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7.xml"/>
  <Override ContentType="application/vnd.openxmlformats-officedocument.spreadsheetml.table+xml" PartName="/xl/tables/table6.xml"/>
  <Override ContentType="application/vnd.openxmlformats-officedocument.spreadsheetml.table+xml" PartName="/xl/tables/table8.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aw" sheetId="1" r:id="rId5"/>
    <sheet state="visible" name="Summaries" sheetId="2" r:id="rId6"/>
    <sheet state="visible" name="Numbers" sheetId="3" r:id="rId7"/>
    <sheet state="visible" name="Fun" sheetId="4" r:id="rId8"/>
    <sheet state="visible" name="Calcs" sheetId="5" r:id="rId9"/>
    <sheet state="visible" name="Display_OreTypes" sheetId="6" r:id="rId10"/>
    <sheet state="visible" name="Display_All" sheetId="7" r:id="rId11"/>
    <sheet state="visible" name="Display_Teams" sheetId="8" r:id="rId12"/>
    <sheet state="visible" name="Display_FurnaceType" sheetId="9" r:id="rId13"/>
    <sheet state="visible" name="Display_AirSystems" sheetId="10" r:id="rId14"/>
    <sheet state="visible" name="Display_BurnRate" sheetId="11" r:id="rId15"/>
    <sheet state="visible" name="Display_Yields" sheetId="12" r:id="rId16"/>
    <sheet state="visible" name="Display_Area" sheetId="13" r:id="rId17"/>
    <sheet state="visible" name="Display_Ores" sheetId="14" r:id="rId18"/>
    <sheet state="visible" name="Display_Vinland" sheetId="15" r:id="rId19"/>
    <sheet state="visible" name="Display_Iceland" sheetId="16" r:id="rId20"/>
    <sheet state="visible" name="Display_Turf_to_tools" sheetId="17" r:id="rId21"/>
  </sheets>
  <definedNames>
    <definedName hidden="1" localSheetId="10" name="_xlnm._FilterDatabase">Display_BurnRate!$A$1:$Y$1000</definedName>
    <definedName hidden="1" localSheetId="11" name="_xlnm._FilterDatabase">Display_Yields!$A$1:$F$104</definedName>
    <definedName hidden="1" localSheetId="12" name="_xlnm._FilterDatabase">Display_Area!$A$1:$E$98</definedName>
    <definedName hidden="1" localSheetId="13" name="_xlnm._FilterDatabase">Display_Ores!$A$1:$L$98</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J1">
      <text>
        <t xml:space="preserve">Positive numbers are inset measured from the internal wall, Negative numbers are the distance away from the outside wall (blow hole design)</t>
      </text>
    </comment>
    <comment authorId="0" ref="BV1">
      <text>
        <t xml:space="preserve">Start of first charcoal bucket added to furnace once it is full to end of burn down (extraction) / total charcoal added</t>
      </text>
    </comment>
    <comment authorId="0" ref="BW1">
      <text>
        <t xml:space="preserve">Time from first fire to the smelter being full of charcoal</t>
      </text>
    </comment>
    <comment authorId="0" ref="BZ1">
      <text>
        <t xml:space="preserve">During main sequence avg time per bucket</t>
      </text>
    </comment>
    <comment authorId="0" ref="CA1">
      <text>
        <t xml:space="preserve">Burn Rate (Min/Kg) = Main Sequence (Min) / Charcoal used during main sequence</t>
      </text>
    </comment>
    <comment authorId="0" ref="CD1">
      <text>
        <t xml:space="preserve">Main sequence time / Charcoal burned during the time</t>
      </text>
    </comment>
    <comment authorId="0" ref="CE1">
      <text>
        <t xml:space="preserve">From start of first bucket with Ore to the last bucket of ore
</t>
      </text>
    </comment>
    <comment authorId="0" ref="CF1">
      <text>
        <t xml:space="preserve">Y+ Time is a minimum "At least this time"</t>
      </text>
    </comment>
    <comment authorId="0" ref="CH1">
      <text>
        <t xml:space="preserve">Time from end of preheat to start of first bucket with ore</t>
      </text>
    </comment>
    <comment authorId="0" ref="CI1">
      <text>
        <t xml:space="preserve">Time from end of preheat to the start of burndown (end of last bucket with ore)</t>
      </text>
    </comment>
    <comment authorId="0" ref="CJ1">
      <text>
        <t xml:space="preserve">Time from end of preheat to the start of extraction</t>
      </text>
    </comment>
    <comment authorId="0" ref="CL1">
      <text>
        <t xml:space="preserve">Charcoal added after stack was fully loaded following preheat up until the first ore was added</t>
      </text>
    </comment>
    <comment authorId="0" ref="CN1">
      <text>
        <t xml:space="preserve">Charcoal added between the first and last ore charges</t>
      </text>
    </comment>
    <comment authorId="0" ref="CP1">
      <text>
        <t xml:space="preserve">Charcoal added after all ore was added, but before extraction</t>
      </text>
    </comment>
    <comment authorId="0" ref="BX2">
      <text>
        <t xml:space="preserve">The recorded value of "8" includes 3.5 Kilos after preheat to fill
Ore added @ 22 min
Charcoal charge 1 1.5 Kg @ 22+6 min
Charcoal charge 2 1.5 Kg @ 22+21 min
Ore Added
Charcoal charge 3 1.5 Kg @ 22+71 min to cover that
</t>
      </text>
    </comment>
    <comment authorId="0" ref="BZ2">
      <text>
        <t xml:space="preserve">was 30.5
</t>
      </text>
    </comment>
    <comment authorId="0" ref="CA2">
      <text>
        <t xml:space="preserve">Was 15.0
</t>
      </text>
    </comment>
    <comment authorId="0" ref="CE2">
      <text>
        <t xml:space="preserve">Ore added after 22 minutes
Ore covered after 6 min
15 minute burn, temp check
15 minute burn, temp check
25 minutes - with limited bellows use (10s ever 10 minutes)
Secondary ore charge put on and covered
30 min with bellows (burn down)
</t>
      </text>
    </comment>
    <comment authorId="0" ref="CK2">
      <text>
        <t xml:space="preserve">including shock charge</t>
      </text>
    </comment>
    <comment authorId="0" ref="BX3">
      <text>
        <t xml:space="preserve">The recorded number "22" would include the original smelt fill.
The fill amount was not recorded but we can compare relative volumes.  Volume for smelt 2 is 1.22x larger than smelt 1.  Smelt 1 used 3.5 Kg to fill thus smelt 2 likely used 1.22*3.5=4.27 Kg</t>
      </text>
    </comment>
    <comment authorId="0" ref="CE3">
      <text>
        <t xml:space="preserve">Was listed as "about 8 hours"
1225 start preheat
1350 end preheat (fill smelter)
1441 1st ore
    3 ore, 8 charcoal
1808 Last Ore (shock charge)
 2 charcoal
2013 Extraction</t>
      </text>
    </comment>
    <comment authorId="0" ref="CK3">
      <text>
        <t xml:space="preserve">including shock charge</t>
      </text>
    </comment>
    <comment authorId="0" ref="BX4">
      <text>
        <t xml:space="preserve">Text says we prepped 55 Kg charcoal and "came quite close" to burning it all, the listed numbers on the chart add up to 47.25 but that doesn't include 3 half buckets of "heating" before the 1st ore (2.25 kg)
The difference is likely the original fill of the furnace</t>
      </text>
    </comment>
    <comment authorId="0" ref="CA4">
      <text>
        <t xml:space="preserve">Was 8.8
</t>
      </text>
    </comment>
    <comment authorId="0" ref="CE4">
      <text>
        <t xml:space="preserve">It seems (from the writeup) that we were using "charges" of 1.5 Kg of charcoal.
1349 Preheat done
1.5 buckets added (in 3 charges of 1/2 bucket)
1424 - First ore
1435 - leftover charcoal from ore roasting added (no amt listed)
5 Ore, 9 charcoal charges (20.25 Kg)
1523 Last Main Ore
10 charges of charcoal (20.25 Kg) + shock charge (at 1741)
3 charges (4.5 kg) charcoal
1830 Extraction
</t>
      </text>
    </comment>
    <comment authorId="0" ref="CK4">
      <text>
        <t xml:space="preserve">including shock charge
</t>
      </text>
    </comment>
    <comment authorId="0" ref="BX5">
      <text>
        <t xml:space="preserve">The original "19" includes 4 to fill after preheat</t>
      </text>
    </comment>
    <comment authorId="0" ref="CA5">
      <text>
        <t xml:space="preserve">Was 16.3
</t>
      </text>
    </comment>
    <comment authorId="0" ref="CE5">
      <text>
        <t xml:space="preserve">1036 Start Preheat
1330 Preheat Finished (4 Kg to load)
1406 Ore Start
5 @ 1kg ore charges
4 @ 1Kg charcoal charges
1515 Ore Finished
8@1kg charcoal
1749 Stop everything &amp; cool (call that "extraction")</t>
      </text>
    </comment>
    <comment authorId="0" ref="AN6">
      <text>
        <t xml:space="preserve">5 cm fines &amp; some ash/sand</t>
      </text>
    </comment>
    <comment authorId="0" ref="BX6">
      <text>
        <t xml:space="preserve">102L &amp; 20 Kg total used
7.5 Kg used to fill the smelter
</t>
      </text>
    </comment>
    <comment authorId="0" ref="BZ6">
      <text>
        <t xml:space="preserve">was 15</t>
      </text>
    </comment>
    <comment authorId="0" ref="CE6">
      <text>
        <t xml:space="preserve">Was 5:45
1400 start pre-heat
1617 end pre-heat / fill
4 charcoal charges
1732 ore start
5 ore charges=7.5Kg, 5 charcoal charges
1832 Ore finish
5 charcoal charges
1930 Shock charge added
1 charcoal charge
2040 extract</t>
      </text>
    </comment>
    <comment authorId="0" ref="CK6">
      <text>
        <t xml:space="preserve">including shock charge</t>
      </text>
    </comment>
    <comment authorId="0" ref="CL6">
      <text>
        <t xml:space="preserve">20Kg and 102L measured.  Thus 20/102 to convert volume to mass.  37L used to fill the furnace, 61L is total charcoal used to this point
</t>
      </text>
    </comment>
    <comment authorId="0" ref="BX7">
      <text>
        <t xml:space="preserve">222.6L 22Kg total charcoal.
4.5 Kg used to fill the smelter after pre-heat</t>
      </text>
    </comment>
    <comment authorId="0" ref="BZ7">
      <text>
        <t xml:space="preserve">was 10</t>
      </text>
    </comment>
    <comment authorId="0" ref="CE7">
      <text>
        <t xml:space="preserve">1811 Start pre-heat
1945 End preheat/Fill with charcoal
2059 Start Ore
2207 7 ore charges, 7 charcoal charges (7.5, 10, 7.5, 12, 10,10,10 cm)
2303 Last ore (charge 8), 3 more charcoal charges had gone in (10,10,10,7.5)
0002 Last Time Pt (3 charcoal charges (10, 7.5,10))</t>
      </text>
    </comment>
    <comment authorId="0" ref="CK7">
      <text>
        <t xml:space="preserve">including shock charge</t>
      </text>
    </comment>
    <comment authorId="0" ref="CL7">
      <text>
        <t xml:space="preserve">22Kg and 222.6L measured.  Thus 22/222.6 to convert volume to mass.  45.1L used to fill the furnace</t>
      </text>
    </comment>
    <comment authorId="0" ref="CN7">
      <text>
        <t xml:space="preserve">Formula converts KG/L and generates L using "area" from calcs sheet + depths of charcoal charges
</t>
      </text>
    </comment>
    <comment authorId="0" ref="CP7">
      <text>
        <t xml:space="preserve">Formula converts KG/L and generates L using "area" from calcs sheet + depths of charcoal charges</t>
      </text>
    </comment>
    <comment authorId="0" ref="BX8">
      <text>
        <t xml:space="preserve">12 pounds (5.5 Kg) used to fill the furnace included in the 184 (83.64 Kg) listed as charcoal used</t>
      </text>
    </comment>
    <comment authorId="0" ref="BZ8">
      <text>
        <t xml:space="preserve">Was 8
</t>
      </text>
    </comment>
    <comment authorId="0" ref="CA8">
      <text>
        <t xml:space="preserve">Was 5.3</t>
      </text>
    </comment>
    <comment authorId="0" ref="CE8">
      <text>
        <t xml:space="preserve">was 7 hours
1240 Start Pre-heat
1405 fill stack (3 buckets &amp; 1 more ungraded)
1415 start graded fuel
1434 First ore
    40 Ore charges
    38 charcoal charges
2018 marked as "start burndown"
2037 shock charge (i.e. really "last ore") - 1 extra Ore charge, 2 charcoal charges
2047 last charcoal added</t>
      </text>
    </comment>
    <comment authorId="0" ref="CK8">
      <text>
        <t xml:space="preserve">including shock charge</t>
      </text>
    </comment>
    <comment authorId="0" ref="BX9">
      <text>
        <t xml:space="preserve">7.3 Kg charcoal used for original fill of the 85.45 total Kg used</t>
      </text>
    </comment>
    <comment authorId="0" ref="CA9">
      <text>
        <t xml:space="preserve">was 4.4
</t>
      </text>
    </comment>
    <comment authorId="0" ref="CE9">
      <text>
        <t xml:space="preserve">Was 7h
1200 start pre-heat
1305 fill
    8 lbs, 2 charges
1337 start ore
    33 ore charges 27.95 kg
    39 charcoal charges 164-8 pounds
1946 last ore
2015 last char 2 changes 8 pounds</t>
      </text>
    </comment>
    <comment authorId="0" ref="CJ9">
      <text>
        <t xml:space="preserve">Last charcoal at 2015</t>
      </text>
    </comment>
    <comment authorId="0" ref="BX10">
      <text>
        <t xml:space="preserve">Original fill amount is not recorded for this and later smelts</t>
      </text>
    </comment>
    <comment authorId="0" ref="BZ10">
      <text>
        <t xml:space="preserve">Was 11</t>
      </text>
    </comment>
    <comment authorId="0" ref="CA10">
      <text>
        <t xml:space="preserve">Was 6</t>
      </text>
    </comment>
    <comment authorId="0" ref="CE10">
      <text>
        <t xml:space="preserve">Was 7:30
1115 Pre heat start
1200 Fill, 3 charcoal charges 12#
1240 Ore start
    29 ore 47#
    29 charcoal 116#
1808 Ore stop
    5 charcoal 20#
1926 Extraction</t>
      </text>
    </comment>
    <comment authorId="0" ref="BX11">
      <text>
        <t xml:space="preserve">Does not include rough charcoal used to fill</t>
      </text>
    </comment>
    <comment authorId="0" ref="BZ11">
      <text>
        <t xml:space="preserve">was 12</t>
      </text>
    </comment>
    <comment authorId="0" ref="CA11">
      <text>
        <t xml:space="preserve">was 5.7</t>
      </text>
    </comment>
    <comment authorId="0" ref="CE11">
      <text>
        <t xml:space="preserve">was 5:30
Pre heat start 1100
Fill 1200
    charcoal 3c 12#
1st ore 1309
    ore 16c 24#
    char 18c (80-12)#
Last ore 1646
    char 4
Extract 1728</t>
      </text>
    </comment>
    <comment authorId="0" ref="BZ12">
      <text>
        <t xml:space="preserve">was 9</t>
      </text>
    </comment>
    <comment authorId="0" ref="CA12">
      <text>
        <t xml:space="preserve">was 11
</t>
      </text>
    </comment>
    <comment authorId="0" ref="CE12">
      <text>
        <t xml:space="preserve">was 9 hr
1040 Preheat start
1200 Fill 
    4c 16#
1340 First Ore
    Ore: 20c 24#
    Char: 21c 84#
2022 Last Ore
    1c 4#
2052 Extraction
</t>
      </text>
    </comment>
    <comment authorId="0" ref="BY13">
      <text>
        <t xml:space="preserve">A mix of 5 or 4 lb charges with some uncertainty especially at the end</t>
      </text>
    </comment>
    <comment authorId="0" ref="CE13">
      <text>
        <t xml:space="preserve">1205 Fill
   - 4 charges 20 pounds
1253 First Ore
  - Charcoal: 21 charges 91 lb
  - Ore: 65 charges 49.25 lbs
1630 Last Main Ore
  - Charcoal: 4.5 buckets (18 lb?)
  - Ore: 1 (0.75 lb)
1830 Reduction charge in
  - Charcoal 20lb 5 charges??
1930? Last Time Pt</t>
      </text>
    </comment>
    <comment authorId="0" ref="AN14">
      <text>
        <t xml:space="preserve">Likely 1 fire brick from the drawing</t>
      </text>
    </comment>
    <comment authorId="0" ref="BZ14">
      <text>
        <t xml:space="preserve">was 7</t>
      </text>
    </comment>
    <comment authorId="0" ref="CA14">
      <text>
        <t xml:space="preserve">was 3.6</t>
      </text>
    </comment>
    <comment authorId="0" ref="CE14">
      <text>
        <t xml:space="preserve">Was 6:15 
1200 Fill Furnace
  - 2 charges 10 lbs
1304 First Ore
  - 27 ore charges (42 lb)
  - 27 Charcoal charges (135 lbs)
1628 Last ore/First Gromp
  - 2 charcoal charges = 10 lb
  - 3 gromp charges
1645 Last Gromp
1647 Reduction charge (1.5 lb)
  - 6 charcoal charges = 30 lb
1735 Extraction
  - 2 reheats of bloom
  - 10 lb charcoal added (2 charges)
1825 smelt complete</t>
      </text>
    </comment>
    <comment authorId="0" ref="CK14">
      <text>
        <t xml:space="preserve">+ 3 gromp charges</t>
      </text>
    </comment>
    <comment authorId="0" ref="BZ15">
      <text>
        <t xml:space="preserve">was 10</t>
      </text>
    </comment>
    <comment authorId="0" ref="CA15">
      <text>
        <t xml:space="preserve">was 3.8</t>
      </text>
    </comment>
    <comment authorId="0" ref="CE15">
      <text>
        <t xml:space="preserve">Was 7:30
1200 Fill furnace
  - 4 charges (20 lb)
1251 first ore
  - 33 ore charges (63 lb)
  - 33 charcoal charges 165 lb
1731 Last main ore
  - 4 charcoal charges (20 lb)
1807 Ore reduction charge (3 lb)
1820 Gromps added (3 lb)
  - 6 charcoal charges (30 lb)
1916 Extraction</t>
      </text>
    </comment>
    <comment authorId="0" ref="CK15">
      <text>
        <t xml:space="preserve">+ gromp charge
</t>
      </text>
    </comment>
    <comment authorId="0" ref="BZ16">
      <text>
        <t xml:space="preserve">was 7</t>
      </text>
    </comment>
    <comment authorId="0" ref="CA16">
      <text>
        <t xml:space="preserve">was 2.9</t>
      </text>
    </comment>
    <comment authorId="0" ref="CE16">
      <text>
        <t xml:space="preserve">Was 7:30
1200 Fill
  - 6 charcoal charges 30 lbs
1241 First Ore
  - 29 Ore charges (100 lbs)
  - 29 Charcoal charges 145 lb
1554 Last Ore
  - 3 charcoal charges 15 lb
1640 Extraction</t>
      </text>
    </comment>
    <comment authorId="0" ref="BZ17">
      <text>
        <t xml:space="preserve">was 7</t>
      </text>
    </comment>
    <comment authorId="0" ref="CA17">
      <text>
        <t xml:space="preserve">was 3.4</t>
      </text>
    </comment>
    <comment authorId="0" ref="CE17">
      <text>
        <t xml:space="preserve">Was 4:00
1200 Fill
  - 1 charcoal 5lbs
12:10 First Ore
  - Ore: 29 charges 100 lbs
  - Charcoal: 29 charges 145 lbs
1540 Last Ore
1600 Extraction</t>
      </text>
    </comment>
    <comment authorId="0" ref="BW18">
      <text>
        <t xml:space="preserve">was 1:10 (which is actually 'heat' time) but https://warehamforgeblog.blogspot.com/2006/06/june-10-smelt-draft-report.html gives a 90 minute time</t>
      </text>
    </comment>
    <comment authorId="0" ref="BZ18">
      <text>
        <t xml:space="preserve">was 9</t>
      </text>
    </comment>
    <comment authorId="0" ref="CA18">
      <text>
        <t xml:space="preserve">was 5
</t>
      </text>
    </comment>
    <comment authorId="0" ref="CE18">
      <text>
        <t xml:space="preserve">Was 8:10
1200 Fill
  - 4 charcoal = 16 lb
1310 First Ore
  - Ore: 52 charges 39 lbs + 3.75 lb gromps
  - Charcoal: 40 charges 160 lb
1910 Last main ore
  - 2 charcoal 8 lb
1931 Shock Charge (0.75 lbs)
  - 2 charcoal 8 lb
2002 Extraction</t>
      </text>
    </comment>
    <comment authorId="0" ref="S19">
      <text>
        <t xml:space="preserve">Estimated</t>
      </text>
    </comment>
    <comment authorId="0" ref="BZ19">
      <text>
        <t xml:space="preserve">was 20</t>
      </text>
    </comment>
    <comment authorId="0" ref="CA19">
      <text>
        <t xml:space="preserve">was 6.7
</t>
      </text>
    </comment>
    <comment authorId="0" ref="CE19">
      <text>
        <t xml:space="preserve">Was 6:10
0952 Start Preheat
1200 Fill with charcoal
  - 7 charges (35 lbs)
1357 First Ore
  - Ore: 27 charges 23.25 lbs
  - Charcoal: 17 Charges 85 lb
1804 Last Ore (end of bucket of charcoal)
  - 1 charcoal 5 lb
1812 Last Time Pt</t>
      </text>
    </comment>
    <comment authorId="0" ref="BZ20">
      <text>
        <t xml:space="preserve">was 15</t>
      </text>
    </comment>
    <comment authorId="0" ref="CA20">
      <text>
        <t xml:space="preserve">was 7.4
</t>
      </text>
    </comment>
    <comment authorId="0" ref="CE20">
      <text>
        <t xml:space="preserve">Was 4:00
1210 start preheat
1245 fill with charcoal
  - 4 charges 20 lb
1327 First Ore
  - Ore: 11 charges 18.37 lb
  - Charcoal: 11 charges 55 lbs
1623 Last Ore
  - 3 charges 15 lbs
1642 Last Time Pt</t>
      </text>
    </comment>
    <comment authorId="0" ref="BZ21">
      <text>
        <t xml:space="preserve">was 9</t>
      </text>
    </comment>
    <comment authorId="0" ref="CA21">
      <text>
        <t xml:space="preserve">was 4.8
</t>
      </text>
    </comment>
    <comment authorId="0" ref="CE21">
      <text>
        <t xml:space="preserve">Was 5
1320 Start preheat
1355 Fill
  - 6 charges 24 lb
1426 First Ore
  - Ore: 22 charges 98.25 lb
  - Charcoal: 22 charges 88 lbs
1742 Last Ore
  - Charcoal: 4 charges 16 lbs
1815 Last time pt</t>
      </text>
    </comment>
    <comment authorId="0" ref="BZ22">
      <text>
        <t xml:space="preserve">was 6
</t>
      </text>
    </comment>
    <comment authorId="0" ref="CA22">
      <text>
        <t xml:space="preserve">was 3.8
</t>
      </text>
    </comment>
    <comment authorId="0" ref="CE22">
      <text>
        <t xml:space="preserve">Was 2:40
1200 start preheat
1240 Fill
  - 5 charges 5 Kg
1317 Frist Ore
  - Ore: 11 charges 20.8 Kg
  - Charcoal: 11 charges 11 Kg
1427 Last Ore
  - 3 charcoal 3 kg
1519 Extract</t>
      </text>
    </comment>
    <comment authorId="0" ref="BZ23">
      <text>
        <t xml:space="preserve">was 7
</t>
      </text>
    </comment>
    <comment authorId="0" ref="CA23">
      <text>
        <t xml:space="preserve">was 5.1
</t>
      </text>
    </comment>
    <comment authorId="0" ref="CE23">
      <text>
        <t xml:space="preserve">Was 3:20
1115 Preheat
1200 Fill
  - 5 charcoal charges 20 lbs
1227 First gromps
  - 3 gromps 8.25 lb
  - 3 charcoal 12 lb
1248 First Ore
  - Ore 7 charges, 19.5 lb
  - Charcoal 9 charges, 36 lbs
1331 More gromps
  - Gromps: 7 charges 14.25 lb
  - Slag 3 scoops
  - Charcoal: 7 charges 28 lbs
1432 Last Gromps
  - Slag 3 scoops
  - charcoal: 4 charges 16 lbs
1524 extraction</t>
      </text>
    </comment>
    <comment authorId="0" ref="AN24">
      <text>
        <t xml:space="preserve">At least 3 inch</t>
      </text>
    </comment>
    <comment authorId="0" ref="BZ24">
      <text>
        <t xml:space="preserve">was 8
</t>
      </text>
    </comment>
    <comment authorId="0" ref="CA24">
      <text>
        <t xml:space="preserve">was 5.6
</t>
      </text>
    </comment>
    <comment authorId="0" ref="CE24">
      <text>
        <t xml:space="preserve">Was 4
1200 Preheat start
1255 Fill
  - 5 charcoal = 20lb
1345 First Ore
  - Ore: 21 charges, 27 lbs
  - Charcoal: 21 charges, 84 lbs
1625 Last Main Ore
  - Ore: 1 charge 2 lb
  - 2 charcoal 8 lb
1651 Shock Charge
  - 2 charcoal 8 lb
1705 Last Time
</t>
      </text>
    </comment>
    <comment authorId="0" ref="BZ25">
      <text>
        <t xml:space="preserve">was 9
</t>
      </text>
    </comment>
    <comment authorId="0" ref="CA25">
      <text>
        <t xml:space="preserve">was 5.0
</t>
      </text>
    </comment>
    <comment authorId="0" ref="CE25">
      <text>
        <t xml:space="preserve">Was 5
1200 Preheat Start
1243 Fill
  - 5 charges = 20 lb
1342 First Ore
  - Ore:56 charges 22.7 Kg
  - Charcoal: 22 charges 88 lbs
1654 Last Main Ore
  - 2 charcoal = 8lbs
 - Ore 0.6 Kg
1731 Shock Charge
  - 2 charcoal = 8 lb
1746 Extraction</t>
      </text>
    </comment>
    <comment authorId="0" ref="BZ26">
      <text>
        <t xml:space="preserve">was 9
</t>
      </text>
    </comment>
    <comment authorId="0" ref="CA26">
      <text>
        <t xml:space="preserve">was 6.9
</t>
      </text>
    </comment>
    <comment authorId="0" ref="CE26">
      <text>
        <t xml:space="preserve">Was 3:15
1808 Refill Smelter
  - 3 charcoal 12 lb
1837 First Ore
  - Ore: 44 charges, 10.8 Kg
  - Charcoal: 15 charges, 60 lbs
2057 Last Main Ore
  - 3 gromps no mass listed
  - 1 charcoal 4 lb
2102 Last Gromps
 - 3 charcoal 12 lbs
 - 1.2 Kg Ore
2127 Shock Charge
  - 1 charcoal
2133 Last Time Pt</t>
      </text>
    </comment>
    <comment authorId="0" ref="CK26">
      <text>
        <t xml:space="preserve">+3 gromps</t>
      </text>
    </comment>
    <comment authorId="0" ref="BX27">
      <text>
        <t xml:space="preserve">265.5 Litres</t>
      </text>
    </comment>
    <comment authorId="0" ref="BZ27">
      <text>
        <t xml:space="preserve">was 8
</t>
      </text>
    </comment>
    <comment authorId="0" ref="CA27">
      <text>
        <t xml:space="preserve">was 3.9
</t>
      </text>
    </comment>
    <comment authorId="0" ref="CE27">
      <text>
        <t xml:space="preserve">Was 4
1200 Preheat Start
  - 31.5 L chracoal (6.4 Kg)
1415 Fill
  -  6 charges 54 L (11 Kg)
1519 First Ore
  - Ore: 22 charges 12.32 Kg
  - Charcoal: 16 Charges 144 L (29.3 Kg)
1712 Last Ore
  - 4 charges 36 L 7.32 Kg
1812 Extraction</t>
      </text>
    </comment>
    <comment authorId="0" ref="BZ28">
      <text>
        <t xml:space="preserve">was 21
</t>
      </text>
    </comment>
    <comment authorId="0" ref="CA28">
      <text>
        <t xml:space="preserve">was 13.9
</t>
      </text>
    </comment>
    <comment authorId="0" ref="CE28">
      <text>
        <t xml:space="preserve">Was 4:50
1043 Preheat start
1200 Fill - 37 L to fill
  - 3 additional charges - 37L
1258 First ore
  - Ore:27 charges 12.3 Kg
  - Charcoal:  13 charges - 99L
1717 Last Ore
 - charcoal - 2 charges, 18L
1750 Last Time Pt</t>
      </text>
    </comment>
    <comment authorId="0" ref="BX29">
      <text>
        <t xml:space="preserve">34 buckets used tus 60/34 Kg/bucket</t>
      </text>
    </comment>
    <comment authorId="0" ref="BZ29">
      <text>
        <t xml:space="preserve">was blank
</t>
      </text>
    </comment>
    <comment authorId="0" ref="CA29">
      <text>
        <t xml:space="preserve">was 5.3
</t>
      </text>
    </comment>
    <comment authorId="0" ref="CE29">
      <text>
        <t xml:space="preserve">Was 4
1200 Fill (3 buckets)
  - 5 additional charges
1232 First Ore
  - Ore: 51 charges (49.75
  - Charcoal: 24 charges
1529 Last Ore
  - charcoal 2 buckets
1620 Extraction</t>
      </text>
    </comment>
    <comment authorId="0" ref="BX30">
      <text>
        <t xml:space="preserve">25.5 total buckets</t>
      </text>
    </comment>
    <comment authorId="0" ref="BZ30">
      <text>
        <t xml:space="preserve">was 12
</t>
      </text>
    </comment>
    <comment authorId="0" ref="CA30">
      <text>
        <t xml:space="preserve">was 7.7
</t>
      </text>
    </comment>
    <comment authorId="0" ref="CE30">
      <text>
        <t xml:space="preserve">Was 4:30
1230 Preheat start
   - 1 bucket
1433 Fill (5 buckets)
  - 3 buckets
1509 First Ore
  - Ore: 20 charges, 50.5 Lb
  - Charcoal: 16.5 buckets
1847 Last Ore
1907 Extraction</t>
      </text>
    </comment>
    <comment authorId="0" ref="BX31">
      <text>
        <t xml:space="preserve">30 Buckets</t>
      </text>
    </comment>
    <comment authorId="0" ref="BZ31">
      <text>
        <t xml:space="preserve">was 13
</t>
      </text>
    </comment>
    <comment authorId="0" ref="CA31">
      <text>
        <t xml:space="preserve">was 7.5
</t>
      </text>
    </comment>
    <comment authorId="0" ref="CE31">
      <text>
        <t xml:space="preserve">Was 5:30
1145 Preheat Start
1256 Fill (5 buckets)
  - 3 additional buckets
1339 First Ore
  - Ore: 58 Charges 30 Kg
  - Charcoal 22 Buckets
1815 Last Ore
5.5 Hours (not including pre-heat)  NR Extraction</t>
      </text>
    </comment>
    <comment authorId="0" ref="BX32">
      <text>
        <t xml:space="preserve">36 Buckets</t>
      </text>
    </comment>
    <comment authorId="0" ref="BZ32">
      <text>
        <t xml:space="preserve">was 12
</t>
      </text>
    </comment>
    <comment authorId="0" ref="CA32">
      <text>
        <t xml:space="preserve">was 4.9
</t>
      </text>
    </comment>
    <comment authorId="0" ref="CE32">
      <text>
        <t xml:space="preserve">Was 6:00
1330 Preheat Start
1541Fill (5 buckets)
  - 1 bucket
1551 First Ore
  - Ore: 28 charges 131 lbs
  - Charcoal: 28 buckets
2110 Last Ore
  - 2 buckets
2148 Extraction</t>
      </text>
    </comment>
    <comment authorId="0" ref="BZ33">
      <text>
        <t xml:space="preserve">was 14-17
</t>
      </text>
    </comment>
    <comment authorId="0" ref="CA33">
      <text>
        <t xml:space="preserve">was 6.9
</t>
      </text>
    </comment>
    <comment authorId="0" ref="CE33">
      <text>
        <t xml:space="preserve">Was 5:30
1035 Preheat start
1200 Fill
  - 6 buckets (12 Kg)
1339 First Ore
  - Ore:10 charges 18 Kg
  - Charcoal: 10 charges, 20 Kg 
1600 Last Ore
  - 1 bucket 2kg
1635 Extraction</t>
      </text>
    </comment>
    <comment authorId="0" ref="O34">
      <text>
        <t xml:space="preserve">Furnace shaft at 110, only 55 cm filled</t>
      </text>
    </comment>
    <comment authorId="0" ref="BZ34">
      <text>
        <t xml:space="preserve">was 11 per 2 Kg
</t>
      </text>
    </comment>
    <comment authorId="0" ref="CA34">
      <text>
        <t xml:space="preserve">was 9.0
</t>
      </text>
    </comment>
    <comment authorId="0" ref="CE34">
      <text>
        <t xml:space="preserve">Was 2:30
1214 Preheat Start
  - 12.5 Kg charcoal
1419 Fill
  - 7 charges = 7 Kg
1537 First Ore
  - Ore: 12 charges (13 Kg)
  - Charcoal: 6 charges (6 Kg)
1640 Last Ore
  - 2 charges (2 Kg)
1657 Last Time</t>
      </text>
    </comment>
    <comment authorId="0" ref="O35">
      <text>
        <t xml:space="preserve">Furnace shaft at 110, only 70 cm filled
</t>
      </text>
    </comment>
    <comment authorId="0" ref="BZ35">
      <text>
        <t xml:space="preserve">was 11 per 2 Kg
</t>
      </text>
    </comment>
    <comment authorId="0" ref="CA35">
      <text>
        <t xml:space="preserve">was 7.2
</t>
      </text>
    </comment>
    <comment authorId="0" ref="CE35">
      <text>
        <t xml:space="preserve">Was 2:30
0915 Preheat Start
1025 Fill (3.5 Kg)
  - 6 charges / 6Kg
1105 First Ore
  - Ore: 6 charges 7.5 Kg
  - Charcoal 6 charges 6 Kg
1147 Last Ore
1200 Extract</t>
      </text>
    </comment>
    <comment authorId="0" ref="BZ36">
      <text>
        <t xml:space="preserve">was 9 per 2 Kg
</t>
      </text>
    </comment>
    <comment authorId="0" ref="CA36">
      <text>
        <t xml:space="preserve">was 16.6
</t>
      </text>
    </comment>
    <comment authorId="0" ref="CE36">
      <text>
        <t xml:space="preserve">Was 3:50
0717 Start Preheat
  - 11 Kg
0917 Fill
 - 7 charges 7 Kg
1001 First Ore
  - Ore: 25 charges 15.2 Kg
  - Charcoal: 13 charges 13 Kg 
1235 Last Ore
  - no charcoal
1310 Extraction</t>
      </text>
    </comment>
    <comment authorId="0" ref="BZ37">
      <text>
        <t xml:space="preserve">was 10
</t>
      </text>
    </comment>
    <comment authorId="0" ref="CA37">
      <text>
        <t xml:space="preserve">was 5.7
</t>
      </text>
    </comment>
    <comment authorId="0" ref="CE37">
      <text>
        <t xml:space="preserve">Was 3:20
0940 Preheat Start
1200 Fill 4 buckets 7.4 kg
  - 6 buckets 11.1 kg
1312 First Ore
  - Ore: 10 charges 20 Kg
  - Charcoal:  10.3 buckets (30-11.1 Kg) 
1503 Lsat Ore
  - no charcoal
1520 Extraction</t>
      </text>
    </comment>
    <comment authorId="0" ref="BZ38">
      <text>
        <t xml:space="preserve">was 10
</t>
      </text>
    </comment>
    <comment authorId="0" ref="CA38">
      <text>
        <t xml:space="preserve">was 6.0
</t>
      </text>
    </comment>
    <comment authorId="0" ref="CE38">
      <text>
        <t xml:space="preserve">Was 4:20
1200 Start Preheat
1337 Fill 2.5 bucket 4.63 kg
  - 7 charges 14.8 Kg
1432 First Ore
  - Ore: 21 charges 34.86 Kg
  - Charcoal: 21 charges 58.28-19.43 Kg
1811 Last Ore
   - 2 charges (5.55 Kg)
1850 Extraction (Est)</t>
      </text>
    </comment>
    <comment authorId="0" ref="BZ39">
      <text>
        <t xml:space="preserve">was 13
</t>
      </text>
    </comment>
    <comment authorId="0" ref="CA39">
      <text>
        <t xml:space="preserve">was 7.6
</t>
      </text>
    </comment>
    <comment authorId="0" ref="CE39">
      <text>
        <t xml:space="preserve">Was 4:50
1200 Preheat Start
1318 Fill 4 charge 7.4 kg
  - 3 charges 5.55 Kg
1403 First Ore
  - Ore: 17 charges 22.91 Kg
  - Charcoal: 18 charges 33.3 Kg
1810 Last Ore
  - no charcoal
1830 (6.5 hr) Last Time Pt</t>
      </text>
    </comment>
    <comment authorId="0" ref="BZ40">
      <text>
        <t xml:space="preserve">was 12
</t>
      </text>
    </comment>
    <comment authorId="0" ref="CA40">
      <text>
        <t xml:space="preserve">was 5.7
</t>
      </text>
    </comment>
    <comment authorId="0" ref="CE40">
      <text>
        <t xml:space="preserve">Was 4:50
0922 Preheat Start
1200 Fill (3 bucket, 6 Kg)
  - 4 buckets, 8 Kg
1256 First Ore
  - Ore:17 charges 23.8 Kg
  - Charcoal: 17 charges 34 Kg
1619 Last Ore
  - no charcoal
1700 Extraction</t>
      </text>
    </comment>
    <comment authorId="0" ref="BX41">
      <text>
        <t xml:space="preserve">was 31, got the 38 from   http://warehamforge.com/ironsmelting/smelt/smelt09.html
17 Buckets</t>
      </text>
    </comment>
    <comment authorId="0" ref="BZ41">
      <text>
        <t xml:space="preserve">was 16
</t>
      </text>
    </comment>
    <comment authorId="0" ref="CA41">
      <text>
        <t xml:space="preserve">was 7.5
</t>
      </text>
    </comment>
    <comment authorId="0" ref="CE41">
      <text>
        <t xml:space="preserve">Was 4:30
0908 Preheat Start
1200 Fill 2 buckets
  - 4 buckets
13:11 First Ore
  - Ore: 10 charges 18 Kg
  - Charcoal: 10 buckets
1542 Last Ore
  - 1 bucket
1630 Extraction</t>
      </text>
    </comment>
    <comment authorId="0" ref="BX42">
      <text>
        <t xml:space="preserve">1.76 Kg/bucket</t>
      </text>
    </comment>
    <comment authorId="0" ref="BZ42">
      <text>
        <t xml:space="preserve">was 12
</t>
      </text>
    </comment>
    <comment authorId="0" ref="CA42">
      <text>
        <t xml:space="preserve">was 6.3
</t>
      </text>
    </comment>
    <comment authorId="0" ref="CE42">
      <text>
        <t xml:space="preserve">Was 4:45
1200 Preheat start
1350 Fill (4 buckets 7.04 Kg)
  - 7 buckets (1.76 Kg/bucket)
1524 First Ore
  - Ore: 17 charges 20.5 Kg
  - Charcoal: 15 charges
1834 Last Ore
  - no charcoal
1905 Extraction</t>
      </text>
    </comment>
    <comment authorId="0" ref="BX43">
      <text>
        <t xml:space="preserve">was 31.  http://warehamforge.com/ironsmelting/smelt/smelt09.html says 28
14 Buckets</t>
      </text>
    </comment>
    <comment authorId="0" ref="BZ43">
      <text>
        <t xml:space="preserve">was 16
</t>
      </text>
    </comment>
    <comment authorId="0" ref="CA43">
      <text>
        <t xml:space="preserve">was 8.0
</t>
      </text>
    </comment>
    <comment authorId="0" ref="CE43">
      <text>
        <t xml:space="preserve">Was 3:30
0935 Preheat Start
1109 Fill
  - 2 charges
1200 First Ore
  - Ore: 12 charges 17.96 Kg
  - Charcoal: 11 charges 
1515 Last Ore
 - one bucket
1550 Extraction</t>
      </text>
    </comment>
    <comment authorId="0" ref="BZ44">
      <text>
        <t xml:space="preserve">was unknown
</t>
      </text>
    </comment>
    <comment authorId="0" ref="CA44">
      <text>
        <t xml:space="preserve">was empty
</t>
      </text>
    </comment>
    <comment authorId="0" ref="CE44">
      <text>
        <t xml:space="preserve">Was ?
</t>
      </text>
    </comment>
    <comment authorId="0" ref="BZ45">
      <text>
        <t xml:space="preserve">was 14
</t>
      </text>
    </comment>
    <comment authorId="0" ref="CA45">
      <text>
        <t xml:space="preserve">was 8.8
</t>
      </text>
    </comment>
    <comment authorId="0" ref="CE45">
      <text>
        <t xml:space="preserve">Was 4:30
1000 Preheat Start
1130 Fill (4 Kg)
  - 3 charges 5.25 kg
1210 First Ore
  - Ore:15 charges 20 Kg
  - Charcoal: 14 charges 24.5 kg
1529 Last Ore
  - 1 charge 1.75 kg
1559 Extraction</t>
      </text>
    </comment>
    <comment authorId="0" ref="BZ46">
      <text>
        <t xml:space="preserve">was 9
</t>
      </text>
    </comment>
    <comment authorId="0" ref="CA46">
      <text>
        <t xml:space="preserve">was 6.8
</t>
      </text>
    </comment>
    <comment authorId="0" ref="CE46">
      <text>
        <t xml:space="preserve">Was 3:00
1100 Preheat Start
1214 FIll (2 charges, 2.9 Kg)
  - 4 buckets 5.8 Kg
12:45 First Ore
  - Ore: 18 charges 24.6 Kg
  - Charcoal: 18 Charges 26.1 Kg
1511 Last Ore
  - 2 charges 2.9 Kg
1600 Extraction</t>
      </text>
    </comment>
    <comment authorId="0" ref="R47">
      <text>
        <t xml:space="preserve">http://www.warehamforge.ca/ironsmelting/Africa-11/glow.jpg</t>
      </text>
    </comment>
    <comment authorId="0" ref="BZ47">
      <text>
        <t xml:space="preserve">was 14
</t>
      </text>
    </comment>
    <comment authorId="0" ref="CA47">
      <text>
        <t xml:space="preserve">was 5.5
</t>
      </text>
    </comment>
    <comment authorId="0" ref="CE47">
      <text>
        <t xml:space="preserve">Was 10:00
1420 Preheat start
1653 Fill
  - 4 charges 190 lb
1918 First Ore
  - Ore: 41 charges 200 lb
  - Charcoal: 44 charges 235 lb
0515 Last Ore
1045 Extraction
</t>
      </text>
    </comment>
    <comment authorId="0" ref="BZ48">
      <text>
        <t xml:space="preserve">was 12
</t>
      </text>
    </comment>
    <comment authorId="0" ref="CA48">
      <text>
        <t xml:space="preserve">was 9.4
</t>
      </text>
    </comment>
    <comment authorId="0" ref="CE48">
      <text>
        <t xml:space="preserve">Was 5:45
1200 Preheat Start
1255 Fill  (3 bucket 5.4 Kg)
  - 5 charges, 7.2 Kg
1353 First Ore
  - Ore: 19 charges, 29 Kilos
  - Charcoal: 19 charges, 25.2 Kg
1749 Last Entry &amp; Last Ore
NR Extraction  "6 hr" is given on some charts
</t>
      </text>
    </comment>
    <comment authorId="0" ref="BZ49">
      <text>
        <t xml:space="preserve">was 11
</t>
      </text>
    </comment>
    <comment authorId="0" ref="CA49">
      <text>
        <t xml:space="preserve">was 5.6
</t>
      </text>
    </comment>
    <comment authorId="0" ref="CE49">
      <text>
        <t xml:space="preserve">Was 4:20
1040 Preheat Start
1200 Fill (5.5 Kg)
  - 3 charges 7.4 Kg
1302 First Ore
  - Ore: 18 charges 29.09 Kg
  - Charcoal: 18 charges 33.3 Kg
1555 Last Ore
  - 1 charge, 1.85 Kg
1641 Extraction</t>
      </text>
    </comment>
    <comment authorId="0" ref="AY50">
      <text>
        <t xml:space="preserve">3 kilos lost due to extraction before the burndown was complete</t>
      </text>
    </comment>
    <comment authorId="0" ref="BW50">
      <text>
        <t xml:space="preserve">About 1 Hour</t>
      </text>
    </comment>
    <comment authorId="0" ref="BZ50">
      <text>
        <t xml:space="preserve">was 12
</t>
      </text>
    </comment>
    <comment authorId="0" ref="CA50">
      <text>
        <t xml:space="preserve">was 6.4
</t>
      </text>
    </comment>
    <comment authorId="0" ref="CE50">
      <text>
        <t xml:space="preserve">Was 5:00
Est 1 hr preheat
1200 Fill
  - 4 charges 7.2 Kg
1230 First Ore
  - Ore: 26 charges, 26 Kg
  - Charcoal: 22 charges, 39.6 Kg 
1703 Last Ore
  - None
1703 Extraction
</t>
      </text>
    </comment>
    <comment authorId="0" ref="BZ51">
      <text>
        <t xml:space="preserve">was 10
</t>
      </text>
    </comment>
    <comment authorId="0" ref="CA51">
      <text>
        <t xml:space="preserve">was 5.1
</t>
      </text>
    </comment>
    <comment authorId="0" ref="CE51">
      <text>
        <t xml:space="preserve">Was 5:45
1004 Preheat Start
1200 Fill 3 bucket 5.5 Kg
   - 3 charges 5.5 Kg
1255 First Ore
  - Ore: 28 charges 48 Kg
  - Charcoal: 28 charges, 49.75 Kg
1714 Last Ore
  - 2 charges 4 Kg
1745 Extraction</t>
      </text>
    </comment>
    <comment authorId="0" ref="BZ52">
      <text>
        <t xml:space="preserve">was 11
</t>
      </text>
    </comment>
    <comment authorId="0" ref="CA52">
      <text>
        <t xml:space="preserve">was 5.7
</t>
      </text>
    </comment>
    <comment authorId="0" ref="CE52">
      <text>
        <t xml:space="preserve">Was 4:00
1040 Start Preheat
1130 Fill 6 buckets 10.8 Kg
  - 4 charges 8.5 Kg
1251 First Ore
  - Ore: 14 charges, 19.2 Kg
  - Charcoal: 14 charges,  26.3 Kg
1513 Last Ore
  - 2 charges 3.6 Kg
1600 Extraction
</t>
      </text>
    </comment>
    <comment authorId="0" ref="N53">
      <text>
        <t xml:space="preserve">top is 25.5
tuyere is 28.5
base is 29
stack is 48 </t>
      </text>
    </comment>
    <comment authorId="0" ref="BZ53">
      <text>
        <t xml:space="preserve">was 16
</t>
      </text>
    </comment>
    <comment authorId="0" ref="CA53">
      <text>
        <t xml:space="preserve">was 8.4
</t>
      </text>
    </comment>
    <comment authorId="0" ref="CE53">
      <text>
        <t xml:space="preserve">Was 6:20
0910 Fill 7kg
  - 5 charges, 8.46 Kg
1230 First Ore
  - Ore: 22 charges, 43.87 Kg
  - Charcoal: 21 charges, 37.58 Kg
1758 Last Ore
  - 3 charges, 4.62 Kg
1925 Extraction
</t>
      </text>
    </comment>
    <comment authorId="0" ref="BZ54">
      <text>
        <t xml:space="preserve">was 12
</t>
      </text>
    </comment>
    <comment authorId="0" ref="CA54">
      <text>
        <t xml:space="preserve">was 10.8
</t>
      </text>
    </comment>
    <comment authorId="0" ref="CE54">
      <text>
        <t xml:space="preserve">Was 5:30
1100 Preheat Start
1200 Fill 6.7 kg
  -  6 charges,  14.1 Kg
 1317 First Ore
  - Ore:  18 charges,  31.8 Kg
  - Charcoal:  18 charges, 27 Kg
 1701 Last Ore
  -  1  charges, 1.8 Kg
 1730 Extraction
</t>
      </text>
    </comment>
    <comment authorId="0" ref="BZ55">
      <text>
        <t xml:space="preserve">was 11
</t>
      </text>
    </comment>
    <comment authorId="0" ref="CA55">
      <text>
        <t xml:space="preserve">was 6.7
</t>
      </text>
    </comment>
    <comment authorId="0" ref="CE55">
      <text>
        <t xml:space="preserve">Was 4:00
1200 Preheat Start
1250 Fill 6.5 kg
  -  6 charges, 8.1 Kg
1406 First Ore
  - Ore: 22 charges, 31.8 Kg
  - Charcoal: 22 charges, 33.3 Kg
1817 Last Ore
  - 2 charges, 2.9 Kg
1903 Extraction
</t>
      </text>
    </comment>
    <comment authorId="0" ref="BZ56">
      <text>
        <t xml:space="preserve">was 11
</t>
      </text>
    </comment>
    <comment authorId="0" ref="CA56">
      <text>
        <t xml:space="preserve">was 9.0
</t>
      </text>
    </comment>
    <comment authorId="0" ref="CE56">
      <text>
        <t xml:space="preserve">Was 5:15
0954 Preheat Start
1200 Fill 11 kg
  - 6 charges, 15.4 Kg
1312 First Ore
  - Ore: 20 charges, 24.5 Kg
  - Charcoal:  19 charges, 41.8 Kg
1714 Last Ore
  - 0 charges,  Kg
NR Extraction
</t>
      </text>
    </comment>
    <comment authorId="0" ref="BZ57">
      <text>
        <t xml:space="preserve">was 10
</t>
      </text>
    </comment>
    <comment authorId="0" ref="CA57">
      <text>
        <t xml:space="preserve">was 4.9
</t>
      </text>
    </comment>
    <comment authorId="0" ref="CE57">
      <text>
        <t xml:space="preserve">Was 4:00
1039 Preheat Start
1200 Fill 6.96 kg
  - 5 charges, 8.7 Kg
1245 First Ore
  - Ore: 20 charges, 30.4 Kg
  - Charcoal: 20 charges, 35.28 Kg
1550 Last Ore
  - 1 charges, 1.8 Kg
NR Extraction
</t>
      </text>
    </comment>
    <comment authorId="0" ref="BZ58">
      <text>
        <t xml:space="preserve">was 12
</t>
      </text>
    </comment>
    <comment authorId="0" ref="CA58">
      <text>
        <t xml:space="preserve">was 5.9
</t>
      </text>
    </comment>
    <comment authorId="0" ref="CE58">
      <text>
        <t xml:space="preserve">Was 7:00
1028 Preheat Start
1200 Fill kg
  - 6 charges,  Kg
1336 First Ore
  - Ore: 22 charges, 42.5 Kg
  - Charcoal: 22 charges,  Kg
1800 Last Ore
  - 3 charges,  Kg
1856 Extraction
</t>
      </text>
    </comment>
    <comment authorId="0" ref="AX59">
      <text>
        <t xml:space="preserve">Per http://warehamforgeblog.blogspot.com/2014/06/scottish-dark-ages-iron-smelt.html
25kg red, 0.5 alumina, 1.25 silica, 2.5 flour</t>
      </text>
    </comment>
    <comment authorId="0" ref="BZ59">
      <text>
        <t xml:space="preserve">was 11
</t>
      </text>
    </comment>
    <comment authorId="0" ref="CA59">
      <text>
        <t xml:space="preserve">was 5.7
</t>
      </text>
    </comment>
    <comment authorId="0" ref="CE59">
      <text>
        <t xml:space="preserve">Was 5:35
1045 Preheat Start
1153 Fill 8 kg
  - 8 charges, 18.2 Kg
1321 First Ore
  - Ore: 18 charges, 31.1 Kg
  - Charcoal: 18 charges, 35.6 Kg
1641 Last Ore
  - 2 charges, 3.8 Kg
1729 Extraction
2 compaction sequences with 3.8 kg charcoal</t>
      </text>
    </comment>
    <comment authorId="0" ref="BZ60">
      <text>
        <t xml:space="preserve">was 11
</t>
      </text>
    </comment>
    <comment authorId="0" ref="CA60">
      <text>
        <t xml:space="preserve">was 5.4
</t>
      </text>
    </comment>
    <comment authorId="0" ref="CE60">
      <text>
        <t xml:space="preserve">Was 4:15
1152 Preheat Start
1214 Fill 8 kg
  - 5 charges, 10 Kg
1310 First Ore
  - Ore: 19 charges, 31 Kg
  - Charcoal: 19 charges, 38 Kg
1635 Last Ore
  - 2 charges, 4 Kg
1652 Last Time Pt
</t>
      </text>
    </comment>
    <comment authorId="0" ref="BZ61">
      <text>
        <t xml:space="preserve">was 9
</t>
      </text>
    </comment>
    <comment authorId="0" ref="CA61">
      <text>
        <t xml:space="preserve">was 4
</t>
      </text>
    </comment>
    <comment authorId="0" ref="CE61">
      <text>
        <t xml:space="preserve">Was 5:50
1000 Preheat Start
1112 Fill 8 kg
  - 5 charges, 10 Kg
1158 First Ore
  - Ore: 20 charges, 41 Kg
  - Charcoal: 20 charges, 40 Kg
1439 Last Ore
  - 2 charges, 4 Kg
1500 Last Time Pt
</t>
      </text>
    </comment>
    <comment authorId="0" ref="BZ62">
      <text>
        <t xml:space="preserve">was 13
</t>
      </text>
    </comment>
    <comment authorId="0" ref="CA62">
      <text>
        <t xml:space="preserve">was 6.6
</t>
      </text>
    </comment>
    <comment authorId="0" ref="CE62">
      <text>
        <t xml:space="preserve">Was 5:50
1055 Preheat Start
1114 Fill 7.6 kg
  - 5 charges, 7.6 Kg
1156 First Ore
  - Ore: 20 charges, 40 Kg
  - Charcoal: 20 charges, 38 Kg
1621 Last Ore
  - 4 charges, 7.6 Kg
1710 Last Time Pt
</t>
      </text>
    </comment>
    <comment authorId="0" ref="CE63">
      <text>
        <t xml:space="preserve">1450 Preheat start
1524 Fill
  - 3 charges, 13.5 Kg
1545 Last peat
1551 Reay for next bucket/End</t>
      </text>
    </comment>
    <comment authorId="0" ref="BZ64">
      <text>
        <t xml:space="preserve">was 10
</t>
      </text>
    </comment>
    <comment authorId="0" ref="CA64">
      <text>
        <t xml:space="preserve">was 5.9
</t>
      </text>
    </comment>
    <comment authorId="0" ref="CE64">
      <text>
        <t xml:space="preserve">Was 7:00
1200 Preheat Start
1241 Fill 18.2kg
  - 9 charges, 16.3 Kg
1406 First Ore
  - Ore: 20 charges, 30.83 Kg
  - Charcoal: 20 charges, 36.4 Kg
1739 Last Ore
  - 2 charges, 3.64 Kg
1758 Last Time Pt
</t>
      </text>
    </comment>
    <comment authorId="0" ref="BZ65">
      <text>
        <t xml:space="preserve">was 15
</t>
      </text>
    </comment>
    <comment authorId="0" ref="CA65">
      <text>
        <t xml:space="preserve">was7.5
</t>
      </text>
    </comment>
    <comment authorId="0" ref="CE65">
      <text>
        <t xml:space="preserve">Was 5:53
0930 Preheat Start
1217 Fill 12.75 kg
  - 5 charges, 9.5 Kg
1322 First Ore
  - Ore: 19 charges, 30.5 Kg
  - Charcoal: 19 charges, 36.1 Kg
1806 Last Ore
  - 2 charges, 3.8 Kg
1915 Last Time Pt
</t>
      </text>
    </comment>
    <comment authorId="0" ref="N66">
      <text>
        <t xml:space="preserve">top is 25.5
tuyere is 28.5
base is 29
stack is 48 </t>
      </text>
    </comment>
    <comment authorId="0" ref="BZ66">
      <text>
        <t xml:space="preserve">was 12
</t>
      </text>
    </comment>
    <comment authorId="0" ref="CA66">
      <text>
        <t xml:space="preserve">was6.9
</t>
      </text>
    </comment>
    <comment authorId="0" ref="CE66">
      <text>
        <t xml:space="preserve">Was 5:30
1048 Preheat Start
1155 Fill E.6 kg
  - 5 charges, 9.04 Kg
1252 First Ore
  - Ore: 20 charges, 23 Kg
  - Charcoal: 20 charges, 35.2 Kg
1650 Last Ore
  - 0 charges, 0 Kg
1730 Extraction
</t>
      </text>
    </comment>
    <comment authorId="0" ref="BZ67">
      <text>
        <t xml:space="preserve">was 33
</t>
      </text>
    </comment>
    <comment authorId="0" ref="CA67">
      <text>
        <t xml:space="preserve">was 17.6
</t>
      </text>
    </comment>
    <comment authorId="0" ref="CE67">
      <text>
        <t xml:space="preserve">Was 8:50
NR Preheat Start
1200 Fill 7.2 kg
  - 3 charges, 5.4 Kg
1347 First Ore
  - Ore: 12 charges, 19.6825 Kg
  - Charcoal: 12 charges, 21.6 Kg
2047 Last Ore
  - 1 charges, 1.8 Kg
NR Extraction
</t>
      </text>
    </comment>
    <comment authorId="0" ref="BZ68">
      <text>
        <t xml:space="preserve">was 12
</t>
      </text>
    </comment>
    <comment authorId="0" ref="CA68">
      <text>
        <t xml:space="preserve">was 6.2
</t>
      </text>
    </comment>
    <comment authorId="0" ref="CE68">
      <text>
        <t xml:space="preserve">Was 4:30
0900E Preheat Start
1030 Fill 4 kg
  - 5 charges, 10 Kg
1135 First Ore
  - Ore: 14 charges, 30 Kg
  - Charcoal: 14 charges, 28 Kg
1419 Last Ore
  - 2 charges, 4 Kg
1500+ Last Time Pt
</t>
      </text>
    </comment>
    <comment authorId="0" ref="N69">
      <text>
        <t xml:space="preserve">top is 22
tuyere is (estimate) 28
base is 30
stack is 42
</t>
      </text>
    </comment>
    <comment authorId="0" ref="BZ69">
      <text>
        <t xml:space="preserve">was 13
</t>
      </text>
    </comment>
    <comment authorId="0" ref="CA69">
      <text>
        <t xml:space="preserve">was 5.7
</t>
      </text>
    </comment>
    <comment authorId="0" ref="CE69">
      <text>
        <t xml:space="preserve">Was 6:00
0900 Preheat Start
1020 Fill  8.5 kg
  -  8 charges, 16 Kg
  - 2Kg slag
1133 Slag Start
1203 First Ore
  - Ore: 21 charges, 41 Kg
  - Charcoal:  21 charges, 42 Kg
1607 Last Ore
  - 2 charges, 4 Kg
1630 Last Time Pt
NR Extraction
</t>
      </text>
    </comment>
    <comment authorId="0" ref="N70">
      <text>
        <t xml:space="preserve">top is 20
tuyere is 25
base is 30
stack is 49 </t>
      </text>
    </comment>
    <comment authorId="0" ref="BZ70">
      <text>
        <t xml:space="preserve">was 11
</t>
      </text>
    </comment>
    <comment authorId="0" ref="CA70">
      <text>
        <t xml:space="preserve">was 8.7
</t>
      </text>
    </comment>
    <comment authorId="0" ref="CE70">
      <text>
        <t xml:space="preserve">Was 5:20
0905 Preheat Start
1115 Fill  3.58 kg
  - 4 charges, 5.40 Kg
1215 First Ore
  - Ore: 21 charges, 42.5 Kg
  - Charcoal: 21 charges, 28.35 Kg
1609 Last Ore
  - 2 charges, 2.7 Kg
1650 Extraction
</t>
      </text>
    </comment>
    <comment authorId="0" ref="N71">
      <text>
        <t xml:space="preserve">top is 20
tuyere is 25
base is 30
stack is 49 </t>
      </text>
    </comment>
    <comment authorId="0" ref="BZ71">
      <text>
        <t xml:space="preserve">was 11
</t>
      </text>
    </comment>
    <comment authorId="0" ref="CA71">
      <text>
        <t xml:space="preserve">was 5.0
</t>
      </text>
    </comment>
    <comment authorId="0" ref="CE71">
      <text>
        <t xml:space="preserve">Was 5:20
0945 Preheat Start
1110 Fill 5.4 kg
  - 11 charges, 14.4 Kg
1203 First Slag
1223 First Ore
  - Ore: 18 charges, 35 Kg
  - Charcoal: 18 charges, 23.4 Kg
1413 Last Ore
  - 1 charges, 1.3 Kg
1507 Extraction
</t>
      </text>
    </comment>
    <comment authorId="0" ref="N72">
      <text>
        <t xml:space="preserve">top is 20
tuyere is 25
base is 30
stack is 49 </t>
      </text>
    </comment>
    <comment authorId="0" ref="BZ72">
      <text>
        <t xml:space="preserve">was 9
</t>
      </text>
    </comment>
    <comment authorId="0" ref="CA72">
      <text>
        <t xml:space="preserve">was 7.0
</t>
      </text>
    </comment>
    <comment authorId="0" ref="CE72">
      <text>
        <t xml:space="preserve">Was 3:10
1033 Preheat Start
1120 Fill 6 kg
  - 6 charges, 9 Kg
1143 First Slag
1203 First Ore
  - Ore: 18 charges, 34 Kg
  - Charcoal: 18 charges, 32 Kg
1438 Last Ore
  - 2 charges, 4 Kg
1453 Last Time Pt
</t>
      </text>
    </comment>
    <comment authorId="0" ref="BZ73">
      <text>
        <t xml:space="preserve">was 9
</t>
      </text>
    </comment>
    <comment authorId="0" ref="CE73">
      <text>
        <t xml:space="preserve">Was blank
1500 Preheat Start
1514 Fill 6.25 kg
  - 5 charges, 10 Kg
1610 End Test</t>
      </text>
    </comment>
    <comment authorId="0" ref="N74">
      <text>
        <t xml:space="preserve">Cross section is a 26cm diameter half circle, and then a cut off triangle 26cm base shrinking to 13cm over a height of 20cm</t>
      </text>
    </comment>
    <comment authorId="0" ref="BZ74">
      <text>
        <t xml:space="preserve">was 14
</t>
      </text>
    </comment>
    <comment authorId="0" ref="CA74">
      <text>
        <t xml:space="preserve">was 7.5
</t>
      </text>
    </comment>
    <comment authorId="0" ref="CE74">
      <text>
        <t xml:space="preserve">Was 5:20
1200 Preheat Start
1255 Fill 11.8 kg
  - 8 charges, 15.8 Kg
1417 First Ore
  - Ore: 17 charges, 25 Kg
  - Charcoal: 17 charges, 33.5 Kg
1759 Last Ore
  - 1 charges, 1.9 Kg
1850 Extraction
</t>
      </text>
    </comment>
    <comment authorId="0" ref="BZ75">
      <text>
        <t xml:space="preserve">was 27
</t>
      </text>
    </comment>
    <comment authorId="0" ref="CA75">
      <text>
        <t xml:space="preserve">was 17.5
</t>
      </text>
    </comment>
    <comment authorId="0" ref="CE75">
      <text>
        <t xml:space="preserve">Was 4:05
0935 Preheat Start
1231 Fill NR kg
  - 6 charges, 10.8 Kg
1353 First Slag
1527 First Ore
  - Ore: 4 charges, 4 Kg
  - Charcoal: 4 charges, 7.2 Kg
1637 Last Ore
  - 0 charges, 0 Kg
NR Extraction
</t>
      </text>
    </comment>
    <comment authorId="0" ref="BZ76">
      <text>
        <t xml:space="preserve">was 14
</t>
      </text>
    </comment>
    <comment authorId="0" ref="CA76">
      <text>
        <t xml:space="preserve">was 8.7
</t>
      </text>
    </comment>
    <comment authorId="0" ref="CE76">
      <text>
        <t xml:space="preserve">Was 7:05
0850 Preheat Start
1200 Fill 5.76 kg
  - 6 charges, 11.52 Kg
1350 First Ore
  - Ore: 19 charges, 31.7 Kg
  - Charcoal: 19 charges, 36.48 Kg
1821 Last Ore
  - 1 charges, 1.98 Kg
1905 Extraction
</t>
      </text>
    </comment>
    <comment authorId="0" ref="BZ77">
      <text>
        <t xml:space="preserve">was 30
</t>
      </text>
    </comment>
    <comment authorId="0" ref="CA77">
      <text>
        <t xml:space="preserve">was 12.5
</t>
      </text>
    </comment>
    <comment authorId="0" ref="CE77">
      <text>
        <t xml:space="preserve">Was 5:35
0955 Preheat Start
1200 Fill 7.6 kg
  - 9 charges, 18.6 Kg
1323 First Slag
1439 First Ore
  - Ore: 15 charges, 26.9 Kg
  - Charcoal: 15 charges, 32.7 Kg
2119 Last Ore (also last time pt)
  -  charges,  Kg
 Extraction
</t>
      </text>
    </comment>
    <comment authorId="0" ref="BZ78">
      <text>
        <t xml:space="preserve">was 18
</t>
      </text>
    </comment>
    <comment authorId="0" ref="CA78">
      <text>
        <t xml:space="preserve">was 11
</t>
      </text>
    </comment>
    <comment authorId="0" ref="CE78">
      <text>
        <t xml:space="preserve">Was 7:45
0730 Preheat Start
1041 Fill 6 kg
  - 4 charges, 8 Kg
1159 First Ore
  - Ore: 19 charges, 27.5 Kg
  - Charcoal: 19 charges, 38 Kg
1722 Last Ore
  - 3 charges, 6 Kg
1915 Extraction
</t>
      </text>
    </comment>
    <comment authorId="0" ref="N79">
      <text>
        <t xml:space="preserve">top is 22
tuyere is (estimate) 25
base is 30
stack is 46 </t>
      </text>
    </comment>
    <comment authorId="0" ref="BZ79">
      <text>
        <t xml:space="preserve">was 9
</t>
      </text>
    </comment>
    <comment authorId="0" ref="CA79">
      <text>
        <t xml:space="preserve">was 5
</t>
      </text>
    </comment>
    <comment authorId="0" ref="CE79">
      <text>
        <t xml:space="preserve">Was 3:15
1000 Preheat Start
1200 Fill 4.8 kg
  - 9 charges, 14.5 Kg
1307 First Ore
  - Ore: 14 charges, 20 Kg
  - Charcoal: 14 charges, 22.8 Kg
1507 Last Ore
  - 1 charges, 1.7 Kg
NR Extraction
</t>
      </text>
    </comment>
    <comment authorId="0" ref="N80">
      <text>
        <t xml:space="preserve">top is 25.5
tuyere is 28.5
base is 29
stack is 48 </t>
      </text>
    </comment>
    <comment authorId="0" ref="BZ80">
      <text>
        <t xml:space="preserve">was 12
</t>
      </text>
    </comment>
    <comment authorId="0" ref="CA80">
      <text>
        <t xml:space="preserve">was 7.5
</t>
      </text>
    </comment>
    <comment authorId="0" ref="CE80">
      <text>
        <t xml:space="preserve">Was 5:40
1035 Preheat Start
1135 Fill 7.20 kg
  - 9 charges, 16.2 Kg
1251 First Slag
1319 First Ore
  - Ore: 20 charges, 28.2 Kg
  - Charcoal: 20 charges, 30.6 Kg
1720 Last Ore
  - 2 charges, 3.6 Kg
NR Extraction
1737 Last Time Pt</t>
      </text>
    </comment>
    <comment authorId="0" ref="N81">
      <text>
        <t xml:space="preserve">top is 19
tuyere 33
base is 36
stack is 51 </t>
      </text>
    </comment>
    <comment authorId="0" ref="BZ81">
      <text>
        <t xml:space="preserve">was 12
</t>
      </text>
    </comment>
    <comment authorId="0" ref="CA81">
      <text>
        <t xml:space="preserve">was 7.2
</t>
      </text>
    </comment>
    <comment authorId="0" ref="CE81">
      <text>
        <t xml:space="preserve">Was 6:25
1042 Preheat Start
1200 Fill 9 kg
  - 10 charges, 18 Kg
1259 First Slag
1401 First Ore
  - Ore: 18 charges, 30.3 Kg
  - Charcoal: 19 charges, 34.2 Kg
1750 Last Ore
  - 1 charges, 1.8 Kg
NR Extraction
1825 Last Time Point
</t>
      </text>
    </comment>
    <comment authorId="0" ref="BZ82">
      <text>
        <t xml:space="preserve">was 12
</t>
      </text>
    </comment>
    <comment authorId="0" ref="CA82">
      <text>
        <t xml:space="preserve">was 7.0
</t>
      </text>
    </comment>
    <comment authorId="0" ref="CE82">
      <text>
        <t xml:space="preserve">Was 5:45
0951 Preheat Start
1200 Fill 5.4 kg
  - 6 charges, 10.8 Kg
1326 First Ore
  - Ore: 19 charges, 30.6 Kg
  - Charcoal: 19 charges, 34.2 Kg
1724 Last Ore
  - 0 charges, 0 Kg
1745 Extraction
</t>
      </text>
    </comment>
    <comment authorId="0" ref="BZ83">
      <text>
        <t xml:space="preserve">was 15
</t>
      </text>
    </comment>
    <comment authorId="0" ref="CA83">
      <text>
        <t xml:space="preserve">was 7.3
</t>
      </text>
    </comment>
    <comment authorId="0" ref="CE83">
      <text>
        <t xml:space="preserve">Was 6:00
1005 Preheat Start
1200 Fill 7.2 kg
  - 9 charges, 16.2 Kg
1331 First Slag
1345 First Ore
  - Ore: 18 charges, 30 Kg
  - Charcoal: 18 charges, 32.4 Kg
1757 Last Ore
  - 1 charges, 1.8 Kg
NR Extraction
</t>
      </text>
    </comment>
    <comment authorId="0" ref="BZ84">
      <text>
        <t xml:space="preserve">was 20+
</t>
      </text>
    </comment>
    <comment authorId="0" ref="CA84">
      <text>
        <t xml:space="preserve">was 8.0
</t>
      </text>
    </comment>
    <comment authorId="0" ref="CE84">
      <text>
        <t xml:space="preserve">Was 4:40+
1200 Preheat Start
1246 Fill 5.3 kg
  - 5 charges, 17.3 Kg
1353 First Ore
  - Ore: 8 charges, 19.8 Kg
  - Charcoal: 8 charges, 22.4 Kg
1706 Last Ore
  - 1 charges, 0.9 Kg
NR Extraction
1722 Last Time Pt</t>
      </text>
    </comment>
    <comment authorId="0" ref="K85">
      <text>
        <t xml:space="preserve">A shorter, undamaged part of the tall furnce was moved and re-used</t>
      </text>
    </comment>
    <comment authorId="0" ref="BZ85">
      <text>
        <t xml:space="preserve">was 13
</t>
      </text>
    </comment>
    <comment authorId="0" ref="CA85">
      <text>
        <t xml:space="preserve">was 6.7
</t>
      </text>
    </comment>
    <comment authorId="0" ref="CE85">
      <text>
        <t xml:space="preserve">Was 5:15
1108 Preheat Start
1200 Fill 9.9 kg
  - 11 charges, 19.8 Kg
1315 First Slag
1359 First Ore
  - Ore: 15 charges, 14.5 Kg
  - Charcoal: 14 charges, 25.2 Kg
1646 Last Ore
  - 1 charges, 1.8 Kg
NR Extraction
1714 Last Time Pt</t>
      </text>
    </comment>
    <comment authorId="0" ref="N86">
      <text>
        <t xml:space="preserve">base is a rough circle at 30 x 30
at tuyere it was still pretty much circular at 25 x 25
top changes to oval of 20 x 15 </t>
      </text>
    </comment>
    <comment authorId="0" ref="U86">
      <text>
        <t xml:space="preserve">Circle Dia at base</t>
      </text>
    </comment>
    <comment authorId="0" ref="V86">
      <text>
        <t xml:space="preserve">Semi-major axis of oval at top
</t>
      </text>
    </comment>
    <comment authorId="0" ref="W86">
      <text>
        <t xml:space="preserve">Semi-minor axis of oval at top</t>
      </text>
    </comment>
    <comment authorId="0" ref="BZ86">
      <text>
        <t xml:space="preserve">was 15
</t>
      </text>
    </comment>
    <comment authorId="0" ref="CA86">
      <text>
        <t xml:space="preserve">was 7.9
</t>
      </text>
    </comment>
    <comment authorId="0" ref="CE86">
      <text>
        <t xml:space="preserve">Was 7:30
0943 Preheat Start
1200 Fill NR kg
  - 16 charges, 28.2 Kg
1435 First Slag
1519 First Ore
  - Ore: 16 charges, 26.33 Kg
  - Charcoal: 16 charges, 30.08 Kg
1918 Last Ore
  - 1 charges, 1.88 Kg
2002 Extraction
</t>
      </text>
    </comment>
    <comment authorId="0" ref="U87">
      <text>
        <t xml:space="preserve">Circle Dia at base</t>
      </text>
    </comment>
    <comment authorId="0" ref="V87">
      <text>
        <t xml:space="preserve">Semi-major axis of oval at top
</t>
      </text>
    </comment>
    <comment authorId="0" ref="W87">
      <text>
        <t xml:space="preserve">Semi-minor axis of oval at top</t>
      </text>
    </comment>
    <comment authorId="0" ref="BZ87">
      <text>
        <t xml:space="preserve">was 14
</t>
      </text>
    </comment>
    <comment authorId="0" ref="CA87">
      <text>
        <t xml:space="preserve">was 6.2
</t>
      </text>
    </comment>
    <comment authorId="0" ref="CE87">
      <text>
        <t xml:space="preserve">Was 4:30
1000 Preheat Start
1131 Fill 3.84 kg
  - 7 charges, 13.44 Kg
1242 First Ore
  - Ore: 15 charges, 26.214 Kg
  - Charcoal: 15 charges, 28.8 Kg
1552 Last Ore
  - 1 charges, 1.92 Kg
1634 Extraction
</t>
      </text>
    </comment>
    <comment authorId="0" ref="U88">
      <text>
        <t xml:space="preserve">Circle Dia at base</t>
      </text>
    </comment>
    <comment authorId="0" ref="V88">
      <text>
        <t xml:space="preserve">Semi-major axis of oval at top
</t>
      </text>
    </comment>
    <comment authorId="0" ref="W88">
      <text>
        <t xml:space="preserve">Semi-minor axis of oval at top</t>
      </text>
    </comment>
    <comment authorId="0" ref="BZ88">
      <text>
        <t xml:space="preserve">was 14
</t>
      </text>
    </comment>
    <comment authorId="0" ref="CA88">
      <text>
        <t xml:space="preserve">was 8.2
</t>
      </text>
    </comment>
    <comment authorId="0" ref="CE88">
      <text>
        <t xml:space="preserve">Was 5:25
1000 Preheat Start
1200 Fill 5.4 kg
  - 8 charges, 14.4 Kg
1326 First Ore
  - Ore: 15 charges, 26 Kg
  - Charcoal: 15 charges, 27 Kg
1654 Last Ore
  - 1 charges, 1.8 Kg
NR Extraction
1725 Last Time Pt</t>
      </text>
    </comment>
    <comment authorId="0" ref="BZ89">
      <text>
        <t xml:space="preserve">was 14
</t>
      </text>
    </comment>
    <comment authorId="0" ref="CA89">
      <text>
        <t xml:space="preserve">was 7.9
</t>
      </text>
    </comment>
    <comment authorId="0" ref="CE89">
      <text>
        <t xml:space="preserve">Was 5:20
0920 Preheat Start
1125 Fill 9.9 kg
  - 9 charges, 15.3 Kg
1231 First Slag
1322 First Ore
  - Ore: 14 charges, 25.75 Kg
  - Charcoal: 14 charges, 25.2 Kg
1630 Last Ore
  - 1 charges, 1.8 Kg
1719 Extraction</t>
      </text>
    </comment>
    <comment authorId="0" ref="U90">
      <text>
        <t xml:space="preserve">Circle Dia at base</t>
      </text>
    </comment>
    <comment authorId="0" ref="V90">
      <text>
        <t xml:space="preserve">Semi-major axis of oval at top
</t>
      </text>
    </comment>
    <comment authorId="0" ref="W90">
      <text>
        <t xml:space="preserve">Semi-minor axis of oval at top</t>
      </text>
    </comment>
    <comment authorId="0" ref="BZ90">
      <text>
        <t xml:space="preserve">was 13
</t>
      </text>
    </comment>
    <comment authorId="0" ref="CA90">
      <text>
        <t xml:space="preserve">was 8.4
</t>
      </text>
    </comment>
    <comment authorId="0" ref="CE90">
      <text>
        <t xml:space="preserve">Was 6:40
1035 Preheat Start
1205 Fill 9 kg
  - 10 charges, 19.8 Kg
1332 First Slag
1443 First Ore
  - Ore: 15 charges, 28.5 Kg
  - Charcoal: 15 charges, 27 Kg
1826 Last Ore
  - 2 charges, 3.6 Kg
NR Extraction
1846 Last Tim Pt</t>
      </text>
    </comment>
    <comment authorId="0" ref="U91">
      <text>
        <t xml:space="preserve">Circle Dia at base</t>
      </text>
    </comment>
    <comment authorId="0" ref="V91">
      <text>
        <t xml:space="preserve">Semi-major axis of oval at top
</t>
      </text>
    </comment>
    <comment authorId="0" ref="W91">
      <text>
        <t xml:space="preserve">Semi-minor axis of oval at top</t>
      </text>
    </comment>
    <comment authorId="0" ref="BZ91">
      <text>
        <t xml:space="preserve">was 13
</t>
      </text>
    </comment>
    <comment authorId="0" ref="CA91">
      <text>
        <t xml:space="preserve">was 6.7
</t>
      </text>
    </comment>
    <comment authorId="0" ref="CE91">
      <text>
        <t xml:space="preserve">Was 6:00
0735 Preheat Start
0939 Fill 9.2 kg
  - 9 charges, 16.7 Kg
1044 First Slag
1118 First Ore
  - Ore: 31 charges, 65 Kg
  - Charcoal: 31 charges, 57.35 Kg
1750 Last Ore
  - 1 charges, 1.85 Kg
NR Extraction
1802 Last Time Pt
</t>
      </text>
    </comment>
    <comment authorId="0" ref="BZ92">
      <text>
        <t xml:space="preserve">was 16
</t>
      </text>
    </comment>
    <comment authorId="0" ref="CA92">
      <text>
        <t xml:space="preserve">was 8.7
</t>
      </text>
    </comment>
    <comment authorId="0" ref="CE92">
      <text>
        <t xml:space="preserve">Was 6:30
0953 Preheat Start
1053 Fill 5.4 kg
  - 13 charges, 23.4 Kg
1228 First Slag
1335 First Ore
  - Ore: 20 charges, 25.5 Kg
  - Charcoal: 20 charges, 36 Kg
1845 Last Ore
  - 2 charges, 2.7 Kg
NR Extraction
1930 Last Time Pt
</t>
      </text>
    </comment>
    <comment authorId="0" ref="BZ93">
      <text>
        <t xml:space="preserve">was 12
</t>
      </text>
    </comment>
    <comment authorId="0" ref="CA93">
      <text>
        <t xml:space="preserve">was 5.7
</t>
      </text>
    </comment>
    <comment authorId="0" ref="CE93">
      <text>
        <t xml:space="preserve">Was 5:05
0845 Preheat Start
1011 Fill 7.9 kg
  - 12 charges, 23.6 Kg
1123 First Slag
1216 First Ore
  - Ore: 15 charges, 26 Kg
  - Charcoal: 15 charges, 29.6 Kg
1507 Last Ore
  - 2 charges, 3.9 Kg
NR Extraction
1515 Last Time Pt</t>
      </text>
    </comment>
    <comment authorId="0" ref="AT94">
      <text>
        <t xml:space="preserve">526 for bellows, 830 for blower</t>
      </text>
    </comment>
    <comment authorId="0" ref="BZ94">
      <text>
        <t xml:space="preserve">was 14
</t>
      </text>
    </comment>
    <comment authorId="0" ref="CA94">
      <text>
        <t xml:space="preserve">was 7.4
</t>
      </text>
    </comment>
    <comment authorId="0" ref="CE94">
      <text>
        <t xml:space="preserve">Was 6:10
1200 Preheat Start
1340 Fill 5.7 kg
  - 11 charges, 20.9 Kg
1531 First Slag
1600 First Ore
  - Ore: 16 charges, 24.3 Kg
  - Charcoal: 16 charges, 30.4 Kg
1940 Last Ore
  - 2 charges, 2.9 Kg
NR Extraction
2020 Last Time Pt</t>
      </text>
    </comment>
    <comment authorId="0" ref="BZ95">
      <text>
        <t xml:space="preserve">was 24
</t>
      </text>
    </comment>
    <comment authorId="0" ref="CA95">
      <text>
        <t xml:space="preserve">was 12
</t>
      </text>
    </comment>
    <comment authorId="0" ref="CE95">
      <text>
        <t xml:space="preserve">Was 8:05
0900 Preheat Start
1015 Fill 5.4 kg
  - 4 charges, 7.2 Kg
1140 First Ore
  - Ore: 15 charges, 26.5 Kg
  - Charcoal: 15 charges, 27 Kg
1735 Last Ore
  - 1 charges, 1.8 Kg
NR Extraction
1805 Last Time Pt
</t>
      </text>
    </comment>
    <comment authorId="0" ref="BZ96">
      <text>
        <t xml:space="preserve">was 24-37
</t>
      </text>
    </comment>
    <comment authorId="0" ref="CA96">
      <text>
        <t xml:space="preserve">was 18.1
</t>
      </text>
    </comment>
    <comment authorId="0" ref="CE96">
      <text>
        <t xml:space="preserve">Was 9:55
0900 Preheat Start
1025 Fill 5.4 kg
  - 4 charges, 7.2 Kg
1238 First Ore
  - Ore: 15 charges, 24.5 Kg
  - Charcoal: 15 charges, 41.4 Kg
2021 Last Ore
  - 1 charges, 1.8 Kg
NR  Extraction
2021 Last Time Pt
</t>
      </text>
    </comment>
    <comment authorId="0" ref="M97">
      <text>
        <t xml:space="preserve">top is 29 (to circle)
tuyere is 28.5 (circle)
base is 35 deep x 30
stack is 53 </t>
      </text>
    </comment>
    <comment authorId="0" ref="U97">
      <text>
        <t xml:space="preserve">Semi-major dia at base</t>
      </text>
    </comment>
    <comment authorId="0" ref="V97">
      <text>
        <t xml:space="preserve">Semi-minor diameter at base
</t>
      </text>
    </comment>
    <comment authorId="0" ref="W97">
      <text>
        <t xml:space="preserve">Circular diameter at top</t>
      </text>
    </comment>
    <comment authorId="0" ref="BZ97">
      <text>
        <t xml:space="preserve">was 8
</t>
      </text>
    </comment>
    <comment authorId="0" ref="CA97">
      <text>
        <t xml:space="preserve">was 9.1
</t>
      </text>
    </comment>
    <comment authorId="0" ref="CE97">
      <text>
        <t xml:space="preserve">Was 3:05
1100 Preheat Start
1208 Fill 5 kg
  - 6 charges, 6 Kg
1300 First Ore
  - Ore: 16 charges, 25.5 Kg
  - Charcoal: 16 charges, 16 Kg
1502 Last Ore
  - 1 charges, 1 Kg
NR  Extraction
1512 Last Time Pt</t>
      </text>
    </comment>
    <comment authorId="0" ref="BZ98">
      <text>
        <t xml:space="preserve">was 30
</t>
      </text>
    </comment>
    <comment authorId="0" ref="CA98">
      <text>
        <t xml:space="preserve">was 15
</t>
      </text>
    </comment>
    <comment authorId="0" ref="CE98">
      <text>
        <t xml:space="preserve">Was 10:40
0830 Preheat Start
0926 Fill 8 kg
  - 8 charges, 16 Kg
1303 First Slag
1425 First Ore
  - Ore: 12 charges, 17.5 Kg
  - Charcoal: 12 charges, 22.2 Kg
2102 Last Ore
  - 1 charges, 1.7 Kg
2237 Extraction
</t>
      </text>
    </comment>
    <comment authorId="0" ref="AY99">
      <text>
        <t xml:space="preserve">9 kilos lost due to extraction before the burndown was complete</t>
      </text>
    </comment>
    <comment authorId="0" ref="BZ99">
      <text>
        <t xml:space="preserve">was 22.2
</t>
      </text>
    </comment>
    <comment authorId="0" ref="CA99">
      <text>
        <t xml:space="preserve">was 11.3
</t>
      </text>
    </comment>
    <comment authorId="0" ref="CE99">
      <text>
        <t xml:space="preserve">Was 297
0800 Preheat Start
1021 Fill 7.6 kg
  - 14 charges, 26.6 Kg
1257 First Slag
1438 First Ore
  - Ore: 14 charges, 26.5 Kg
  - Charcoal: 14 charges, 26.6 Kg
1957 Last Ore
  - Rushed extraction due to power failure - no charges
2004 Extraction</t>
      </text>
    </comment>
    <comment authorId="0" ref="CS99">
      <text>
        <t xml:space="preserve">2-2.5 E</t>
      </text>
    </comment>
    <comment authorId="0" ref="BZ100">
      <text>
        <t xml:space="preserve">was 22.2
</t>
      </text>
    </comment>
    <comment authorId="0" ref="CA100">
      <text>
        <t xml:space="preserve">was 11.3
</t>
      </text>
    </comment>
    <comment authorId="0" ref="CE100">
      <text>
        <t xml:space="preserve">0835 Preheat Start
1132 Fill 4.8 kg
  - 4 charges, 6.4 Kg
1336 First Slag
  - 3 charges 4.8 Kg
1500 First Ore
  - Ore: 10 charges, 15 Kg
  - Charcoal: 10 charges, 16 Kg
2032 Last Ore
  - Charcoal 3/4 charge, 1.2 Kg
2115 Cleared/prepped base
2130 Extraction (Est)
2148 Extraction Complete</t>
      </text>
    </comment>
    <comment authorId="0" ref="CE101">
      <text>
        <t xml:space="preserve">1600 Preheat Start (clock time ~1100)
1805 Fill ?? kg (pine)
  - 7 charges, 12.11 Kg
1950 First Ore
  - Ore: 15 charges, 31 Kg
  - Charcoal: 16 charges, 25.15 Kg
XXXX Last Ore
  - Charcoal 1 charge, ?? Kg
0014 Burndown
0101 Extraction (Est)</t>
      </text>
    </comment>
    <comment authorId="0" ref="CE102">
      <text>
        <t xml:space="preserve">0805 Preheat Start
1004 Fill 5*1.8 Kg
  - 8 charges, 8*1.8 Kg
1112 First Slag
  - 4 charges, 4Kg slag, 4*1.8Kg charcoal
1212 First Ore
  - Ore: 11 charges, 16.95 Kg
  - Charcoal: 11 charges, 11*1.8 Kg
1445 Last Ore  (clock had stopped so time is not certain but is likely to only be off by a bit - compare time intervals)
  - Charcoal 2 charge, 2*1.8 Kg
1625 Extraction start
1637 Extracton stop</t>
      </text>
    </comment>
    <comment authorId="0" ref="CS102">
      <text>
        <t xml:space="preserve">0.971 as bloom, 2 kg gromps</t>
      </text>
    </comment>
    <comment authorId="0" ref="CE103">
      <text>
        <t xml:space="preserve">1200 Preheat Start
1316 Fill 4*2.58 Kg
  - 5 charges, 5*2.58 Kg
1427 First Slag
  - 2 charges, 2Kg slag, 2*2.58Kg charcoal
1505 First Ore
  - Ore: 20 charges, 35 Kg
  - Charcoal: 20 charges, 20*2.58 Kg
2053 Last Ore
  - Charcoal 1 charge, 2.58 Kg
NR Extraction start
NR Extracton stop</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N3">
      <text>
        <t xml:space="preserve">Material gathered in the 1970s was used for this smelt.  Numbers per A. Espelund for "4 A67C1 box 2" show 89.5% Fe2O3, 
1.2% SiO2, 
2.45% Al2O3, 
5.33% MnO
0.47 CaO
0.05 MgO
0.01 BaO
0.04 K2O 
0.01 TiO2
0.08 P2O5
For a total of 99.18
Numbers shown in this row are corrected to 100%
LAM samples from 1960s excavation  per Ingstad 1977
LAM293 - 79.5% Fe2O3, 15.8% FeO, 1.9% SiO2, 0.68 MnO, 0.68 CaO, 0 MgO, 0.12 Na2O, 0.14 K2O, 0.38 P2O5
LAM327 - LOI 15.95, 1.4 SIO2, 11.4 FeO, 69.8 Fe2O3, 0.5 MnO, 0.5 CaO, 0 MgO, 0.09 Na2O, 0.1 K2O, 0.26 P2O5
Corrected to 100% Fe2O3 83.0%, FeO 13.6%, SiO2 1.67%,  MnO 0.59%, CaO 0.59%, 0 MgO, Na2O 0.11%, K2O 0.12%, P2O5 0.31%
Text specificaly notes no Aluminum found</t>
      </text>
    </comment>
    <comment authorId="0" ref="N4">
      <text>
        <t xml:space="preserve">From Burnham (Pers Comm)
Averaage 	Tubes 	Chunks
SiO2 	2.24 	1.76 	3.23
TiO2 	0.02 	0.04 	0.02
Al2O3 	3.35 	3.66 	2.38
Fe2O3 	66.53 	60.98 	66.07
FeO 	2.49 	2.56 	1.38
MnO 	0.62 	1.15 	1.45
MgO 	0.08 	0.09 	0.05
CaO 	0.69 	1.05 	0.75
Na2O 	N.D. 	N.D. 	N.D.
K2O 	0.02 	0.03 	0.02
P2O5 	0.12 	0.16 	0.09
CO2 	13.7 	18.7 	14
H2O 	12.63 	12.38 	11.94 </t>
      </text>
    </comment>
    <comment authorId="0" ref="N6">
      <text>
        <t xml:space="preserve">From the Guldforhoved area</t>
      </text>
    </comment>
    <comment authorId="0" ref="A7">
      <text>
        <t xml:space="preserve">(FeAl)24Si4O43(OH)2</t>
      </text>
    </comment>
    <comment authorId="0" ref="N8">
      <text>
        <t xml:space="preserve">Kasztovszky (referred to as "Rockbridge' - Lee's name for his bloomery)
Fe 89%
SI 3.86
P 2.4 -&gt; 5.5 P2O5
As 0
Ca 1.4
Al 0.88
Mn 0.12
K 0.28
Na 0
Mg 0
S 0
Ni 0
Cu 0
Co 0.03
Ti 0.06
Cl 0.01
H 1.99
B 0.00180
Sm 0.00048
Gd 0.00074</t>
      </text>
    </comment>
    <comment authorId="0" ref="X8">
      <text>
        <t xml:space="preserve">This calculates out as 54.3% but Lee's paper lists 58% so this table is corrected to match the source
</t>
      </text>
    </comment>
    <comment authorId="0" ref="N9">
      <text>
        <t xml:space="preserve">Burnham Pers comm
Al2O3 wt% 4.93
CaO wt% 0.09
Fe2O3 wt% 64.84
K2O wt% 1.44
Volatiles wt% 7.46
MgO wt% 0.33
MnO wt% 3.87
Na2O wt% 0.13
P2O5 wt% 2.35
SiO2 wt% 15.01
TiO2 wt% 0.2
Total wt% 100.65</t>
      </text>
    </comment>
    <comment authorId="0" ref="A10">
      <text>
        <t xml:space="preserve">81% Fe, 5% Si02, 2.6% Al2O3, 2% MgO2, 2.3% CaO, LOI 7%
Numbers in the table have been corrected to 100%
MDS from Pottery Supply / Promindsa Spanish Iron Oxide</t>
      </text>
    </comment>
    <comment authorId="0" ref="A11">
      <text>
        <t xml:space="preserve">3.5% SIO2</t>
      </text>
    </comment>
    <comment authorId="0" ref="D12">
      <text>
        <t xml:space="preserve">https://www.researchgate.net/publication/283041174_A_Study_On_The_Fabrication_Of_Iron_Powder_From_Forging_Scale_Using_Hydrogen
</t>
      </text>
    </comment>
    <comment authorId="0" ref="N13">
      <text>
        <t xml:space="preserve">ERROR - Darrell notes on Smelt 49
SiO2 9.4
Al2O3 0.2
MgO 0.2
MnO 4.9
From data sheet, averaged over 6 months.
65.4% Fe (Fe2O3 calculated from that)
0.011 P
MnO 0.19
SiO2 4.87
AL2O3 0.22
CaO 0.90
MgO 0.36
Cr2O3 0.02
TiO2 0.01
S 0.004
Na2O 0.024
K2O 0.024
H2O 1.9
</t>
      </text>
    </comment>
    <comment authorId="0" ref="N16">
      <text>
        <t xml:space="preserve">From Opta Spec Sheet (tds_barshot20.pdf)
Fe3O4 98
SiO2 &lt;1.2 
Al2O3 &lt;1
TiO2 ~0.1
From CrystalGrit
Fe2O3 98-99
SiO2 0.5-1.2
Al2O3 0.2-0.3
CaO Max 0.05
MgO max 0.05
TiO2 0.1-0.3
MnO Max 0.03
P2O5 Max 0.03
Na2O Max 0.03
K2O Max 0.03
S Max 0.01
From Mina Minerals spec sheet
FE2O3 98.18%, 
SiO2 0%, 
Al2O3 0.34%, 
CaO 0.06%, 
MgO 0.05%, 
TiO2 0.18%
From Darrell
Fe3O4 98
SiO2 1
Al2O3 0.25
TiO2 ~0.1
P2O5 0.03
S=0.01
MgO 0.05</t>
      </text>
    </comment>
    <comment authorId="0" ref="A17">
      <text>
        <t xml:space="preserve"> mix of 22.5Kg 'Spanish Red' (Fe2O3) &amp; 2.5 Kg flour</t>
      </text>
    </comment>
    <comment authorId="0" ref="N17">
      <text>
        <t xml:space="preserve">Paul (Pers comm)
Fe2O3 50%
Al2O3 25.5%
SiO2 16.1%
TiO2 5.76%
MgO 0.967 %
CaO 0.795 %
MnO 0.328%
V2O5 0.139%
ZrO2 0.124%
Cr2O3 0.100 %
K2O 0.0649 %
SO3 0.0498 %
Gd2O3 0.0407 %
Ga2O3 0.0134 %
ZnO 0.0121 %
CuO 0.0114 %
Nb2O5 0.00716 %
SrO 0.00604 %
Na2O, Sc2O3, CoO, As2O3, MoO3, Rh, Sn02, CeO2, Dy2O3, Ho2O3, Er2O3, BaO, Tb4O7 - 0.0 PPM, kcps &gt; 0</t>
      </text>
    </comment>
    <comment authorId="0" ref="A18">
      <text>
        <t xml:space="preserve">http://warehamforgeblog.blogspot.com/2009/06/input-output-lam-one-smelt.html
85 % oxide / 5 % silica / 10 % flour
the 'oxide' listed is potter's 'black iron oxide', which chemically is 93 % Fe3O4 / 3.5 % SiO2 / 3.5 Al2O3
ERROR - Darrell note 8.8 SiO2 and 3.3 Al2O3</t>
      </text>
    </comment>
    <comment authorId="0" ref="N18">
      <text>
        <t xml:space="preserve">Burnham (pers comm) 2006-11-28
*Sample ID*		06-0356-0001	
Client ID	Det Limit	MIN01	Volatile-free
units	wt%	wt% 	wt%
SiO2	0.01	17.88 	25.67
*TiO2*	0.01	0.13 	0.19
*Al2O3*	0.01	3.11 	4.46
*Fe2O3T*	0.01	42.4 	60.87
*MnO*	0.01	0.42 	0.60
*MgO*	0.01	0.61 	0.88
*CaO*	0.01	3.55 	5.10
*Na2O*	0.01	0.78 	1.12
*K2O*	0.01	0.71 	1.02
*P2O5*	0.01	0.07 	0.10
*LOI*	0.05	29.61 	
*TOTAL*		99.26 	
Fe2O3T = total Fe expressed as Fe2O3
Values in this row are corrected to 100%</t>
      </text>
    </comment>
    <comment authorId="0" ref="A19">
      <text>
        <t xml:space="preserve">10% Scale</t>
      </text>
    </comment>
    <comment authorId="0" ref="A20">
      <text>
        <t xml:space="preserve">18% scale
</t>
      </text>
    </comment>
    <comment authorId="0" ref="A21">
      <text>
        <t xml:space="preserve">16% scale</t>
      </text>
    </comment>
    <comment authorId="0" ref="N21">
      <text>
        <t xml:space="preserve">Smelt #34 - Darrell notes 
SiO2 31.8%
Al2O3 2.4%
MnO 0.6
</t>
      </text>
    </comment>
    <comment authorId="0" ref="A22">
      <text>
        <t xml:space="preserve">22.5 Kg Spanish Red, 2.5 Kg Silica Sand, 2.5 Kg Flour</t>
      </text>
    </comment>
    <comment authorId="0" ref="A24">
      <text>
        <t xml:space="preserve">http://warehamforgeblog.blogspot.com/2014/06/scottish-dark-ages-iron-smelt.html
 'Spanish Red' oxide = 22.5 kg
Alumina = .5 kg
Silica = 1.25 kg
Wheat Flour = 2.5 kg</t>
      </text>
    </comment>
    <comment authorId="0" ref="A25">
      <text>
        <t xml:space="preserve">Red oxide 27.6 Kg
flour 2.5 Kg
silica sand 2 Kg</t>
      </text>
    </comment>
    <comment authorId="0" ref="A26">
      <text>
        <t xml:space="preserve">Spanish Red 22.5 Kg
Flour 2.5 Kg
Hammer scale 5 Kg
</t>
      </text>
    </comment>
    <comment authorId="0" ref="A27">
      <text>
        <t xml:space="preserve">Red oxide 12.5 Kg 
Flour 1.25 Kg
Hammer scale 5 Kg</t>
      </text>
    </comment>
    <comment authorId="0" ref="A29">
      <text>
        <t xml:space="preserve">
    red iron oxide ± 22 kg (bag broke moving it!)
    whole wheat flour = 2.5 kg
    slack tub scale = 2.5 kg
    forge scale - 4.5 kg
    Potential Total = 31.5 kg (dry)
</t>
      </text>
    </comment>
    <comment authorId="0" ref="A37">
      <text>
        <t xml:space="preserve">http://warehamforgeblog.blogspot.com/2009/06/input-output-lam-one-smelt.html
85 % oxide / 5 % silica / 10 % flour
the 'oxide' listed is potter's 'black iron oxide', which chemically is 93 % Fe3O4 / 3.5 % SiO2 / 3.5 Al2O3
ERROR - Darrell note 8.8 SiO2 and 3.3 Al2O3</t>
      </text>
    </comment>
    <comment authorId="0" ref="N38">
      <text>
        <t xml:space="preserve">Smelt 54</t>
      </text>
    </comment>
    <comment authorId="0" ref="A43">
      <text>
        <t xml:space="preserve">http://warehamforgeblog.blogspot.com/2014/06/scottish-dark-ages-iron-smelt.html
 'Spanish Red' oxide = 22.5 kg
Alumina = .5 kg
Silica = 1.25 kg
Wheat Flour = 2.5 kg</t>
      </text>
    </comment>
    <comment authorId="0" ref="G47">
      <text>
        <t xml:space="preserve">    slack tub scale = 2.5 kg
    forge scale - 4.5 kg
</t>
      </text>
    </comment>
    <comment authorId="0" ref="A79">
      <text>
        <t xml:space="preserve">(FeAl)24Si4O43(OH)2</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H1">
      <text>
        <t xml:space="preserve">If it is listed as an oval (or Circle_to_oval) then we need to consider some cases:
1. Oval &amp; Tuyere Dia is estimated - Then tuyere dia is a scaled amount of the semi-major axis - apply a similar scale to the semi-minor
2. Oval &amp; Tuyere dia is not estimated - semi-major and minor axis are the same at tuyere level
3. Circle to oval - if there is a tuyere measurement it is a circle at that point
4. Oval to circle - use int dia a&amp;b to calculate the oval</t>
      </text>
    </comment>
    <comment authorId="0" ref="I1">
      <text>
        <t xml:space="preserve">A circular smelter but cut off with a flat stone (blow plate).  The difference between the two interior diameters is the thickness of the stone.
Thus we want the area of the circle-area of a segment of height (diff between two diameters)</t>
      </text>
    </comment>
    <comment authorId="0" ref="AA1">
      <text>
        <t xml:space="preserve">Not Used but interesting
</t>
      </text>
    </comment>
    <comment authorId="0" ref="AB1">
      <text>
        <t xml:space="preserve">Errors in this column are handled when it is pulled back to the RAW sheet</t>
      </text>
    </comment>
  </commentList>
</comments>
</file>

<file path=xl/sharedStrings.xml><?xml version="1.0" encoding="utf-8"?>
<sst xmlns="http://schemas.openxmlformats.org/spreadsheetml/2006/main" count="3809" uniqueCount="1136">
  <si>
    <t>Reference</t>
  </si>
  <si>
    <t>Name</t>
  </si>
  <si>
    <t>Smelt Group (Team?)</t>
  </si>
  <si>
    <t>Location</t>
  </si>
  <si>
    <t>Date</t>
  </si>
  <si>
    <t>Period</t>
  </si>
  <si>
    <t>Demo</t>
  </si>
  <si>
    <t>Expt Group</t>
  </si>
  <si>
    <t>Furnace Type</t>
  </si>
  <si>
    <t>Construction</t>
  </si>
  <si>
    <t>Reused</t>
  </si>
  <si>
    <t>Related Smelt</t>
  </si>
  <si>
    <t>Cross Section Shape</t>
  </si>
  <si>
    <t>Profile Shape</t>
  </si>
  <si>
    <t>Shaft Ht Used (cm)</t>
  </si>
  <si>
    <t>Total Shaft Ht (cm)</t>
  </si>
  <si>
    <t>Shaft Material Ht (cm)</t>
  </si>
  <si>
    <t>Shaft Ht Extension (cm)</t>
  </si>
  <si>
    <t>Stack Ht (cm)</t>
  </si>
  <si>
    <t>Ext. Dia (cm)</t>
  </si>
  <si>
    <t>Int. Dia A (cm)</t>
  </si>
  <si>
    <t>Int. Dia B (cm)</t>
  </si>
  <si>
    <t>Int. Dia C (cm)</t>
  </si>
  <si>
    <t>Tuyere Dia A (cm)</t>
  </si>
  <si>
    <t>Tuyere Dia B (cm)</t>
  </si>
  <si>
    <t>Tuyere Dia Est?</t>
  </si>
  <si>
    <t>Calc. Area (cm2)</t>
  </si>
  <si>
    <t>Thickness (cm)</t>
  </si>
  <si>
    <t>Arch Size (cm wxh)</t>
  </si>
  <si>
    <t>Tuyere Type</t>
  </si>
  <si>
    <t>Tuyere ID (cm)</t>
  </si>
  <si>
    <t>Tuyere Tapered</t>
  </si>
  <si>
    <t>Tuyere Angle (Deg)</t>
  </si>
  <si>
    <t>Tuyere Angle Direction</t>
  </si>
  <si>
    <t>Tuyere Angle Est</t>
  </si>
  <si>
    <t>Tuyere Insert (cm)</t>
  </si>
  <si>
    <t>Tuyere Insert Est</t>
  </si>
  <si>
    <t>Base Type</t>
  </si>
  <si>
    <t>Slag Control</t>
  </si>
  <si>
    <t>Base depth (cm)</t>
  </si>
  <si>
    <t>Tuyere Above Base (cm)</t>
  </si>
  <si>
    <t>Tuyere Above Base Est</t>
  </si>
  <si>
    <t>Blower</t>
  </si>
  <si>
    <t>Air Volume Min (L/min)</t>
  </si>
  <si>
    <t>Air Volume Max (L/min)</t>
  </si>
  <si>
    <t>Air Volume Avg (L/min)</t>
  </si>
  <si>
    <t>Air Volume Est?</t>
  </si>
  <si>
    <t>Corrected (L/min)</t>
  </si>
  <si>
    <t>Ideal @ 1.2 (L/Min)</t>
  </si>
  <si>
    <t>Ore 1</t>
  </si>
  <si>
    <t>Ore 1 Mass (Kg)</t>
  </si>
  <si>
    <t>Ore 2</t>
  </si>
  <si>
    <t>Ore 2 Mass (Kg)</t>
  </si>
  <si>
    <t>Ore 3</t>
  </si>
  <si>
    <t>Ore 3 Mass (Kg)</t>
  </si>
  <si>
    <t>Ore 4</t>
  </si>
  <si>
    <t>Ore 4 Mass (Kg)</t>
  </si>
  <si>
    <t>Ore 5</t>
  </si>
  <si>
    <t>Ore 5 Mass (Kg)</t>
  </si>
  <si>
    <t>Ore Weight (Kg)</t>
  </si>
  <si>
    <t>Fe %</t>
  </si>
  <si>
    <t>Ore State</t>
  </si>
  <si>
    <t>Gromps (Kg)</t>
  </si>
  <si>
    <t>Ore + Gromps (Kg)</t>
  </si>
  <si>
    <t>Slag (kg)</t>
  </si>
  <si>
    <t>Tap Slag Added</t>
  </si>
  <si>
    <t>Ore Size (mm)</t>
  </si>
  <si>
    <t>SiO2 (%)</t>
  </si>
  <si>
    <t>Al203 (%)</t>
  </si>
  <si>
    <t>P2O5 (%)</t>
  </si>
  <si>
    <t>SO4</t>
  </si>
  <si>
    <t>MgO (%)</t>
  </si>
  <si>
    <t>MnO (%)</t>
  </si>
  <si>
    <t>Full Sequence (Min/Kg)</t>
  </si>
  <si>
    <t>Preheat (min)</t>
  </si>
  <si>
    <t>Total Charcoal (Kg)</t>
  </si>
  <si>
    <t>Charcoal Est?</t>
  </si>
  <si>
    <t>Avg Rate (min/charge)</t>
  </si>
  <si>
    <t>Burn Rate (Min/Kg)</t>
  </si>
  <si>
    <t>Charcoal Type</t>
  </si>
  <si>
    <t>Charcoal Source</t>
  </si>
  <si>
    <t>Main Sequence (Min/Kg)</t>
  </si>
  <si>
    <t>Main Sequence (Min)</t>
  </si>
  <si>
    <t>Main Sequence Est</t>
  </si>
  <si>
    <t>First Slag (Min)</t>
  </si>
  <si>
    <t>First Ore (Min)</t>
  </si>
  <si>
    <t>Last Ore (Min)</t>
  </si>
  <si>
    <t>End Burn Down (Min)</t>
  </si>
  <si>
    <t>Num Ore Charges</t>
  </si>
  <si>
    <t>Heat Sequence Charcoal (Kg)</t>
  </si>
  <si>
    <t>Heat Sequence Charcoal (Charges)</t>
  </si>
  <si>
    <t>Main Sequence Charcoal (Kg)</t>
  </si>
  <si>
    <t>Main Sequence Charcoal (Charges)</t>
  </si>
  <si>
    <t>Burndown Sequence Charcoal (Kg)</t>
  </si>
  <si>
    <t>Burndown Sequence Charcoal (Charges)</t>
  </si>
  <si>
    <t>Extraction</t>
  </si>
  <si>
    <t>Bloom Weight (Kg)</t>
  </si>
  <si>
    <t>Bloom Condition</t>
  </si>
  <si>
    <t>Carbon Content (est)</t>
  </si>
  <si>
    <t>Density</t>
  </si>
  <si>
    <t>Yield (%)</t>
  </si>
  <si>
    <t>Yield % Fe</t>
  </si>
  <si>
    <t>Slag Type Recovered</t>
  </si>
  <si>
    <t>Slag Recovered (Kg)</t>
  </si>
  <si>
    <t>Objectives</t>
  </si>
  <si>
    <t>Notes</t>
  </si>
  <si>
    <t>Vinland Theory</t>
  </si>
  <si>
    <t>Parks Canada</t>
  </si>
  <si>
    <t>L'Anse aux Meadows NL</t>
  </si>
  <si>
    <t>Viking Age</t>
  </si>
  <si>
    <t>N</t>
  </si>
  <si>
    <t>Vinland</t>
  </si>
  <si>
    <t>boxed bowl</t>
  </si>
  <si>
    <t>stone slabs, clay seal</t>
  </si>
  <si>
    <t>Rectangle</t>
  </si>
  <si>
    <t>box</t>
  </si>
  <si>
    <t>NR</t>
  </si>
  <si>
    <t>na</t>
  </si>
  <si>
    <t>none</t>
  </si>
  <si>
    <t>steel pipe</t>
  </si>
  <si>
    <t>Up</t>
  </si>
  <si>
    <t>natural</t>
  </si>
  <si>
    <t>Norse twin smith's</t>
  </si>
  <si>
    <t>Y</t>
  </si>
  <si>
    <t>L'AM Bog Ore</t>
  </si>
  <si>
    <t>roasted</t>
  </si>
  <si>
    <t>to 10 (natural)</t>
  </si>
  <si>
    <t>oak - hickory</t>
  </si>
  <si>
    <t>Royal Oak</t>
  </si>
  <si>
    <t>top</t>
  </si>
  <si>
    <t>prills</t>
  </si>
  <si>
    <t>cast iron?</t>
  </si>
  <si>
    <t>poor</t>
  </si>
  <si>
    <t>B Wallace, A Espelund</t>
  </si>
  <si>
    <t>primary experiment on forms suggested by LAM</t>
  </si>
  <si>
    <t>restricted by materials and equipment</t>
  </si>
  <si>
    <t>2 / D1</t>
  </si>
  <si>
    <t>DARC</t>
  </si>
  <si>
    <t>Wareham ON</t>
  </si>
  <si>
    <t>SLM</t>
  </si>
  <si>
    <t>?</t>
  </si>
  <si>
    <t>cold</t>
  </si>
  <si>
    <t>not sintered</t>
  </si>
  <si>
    <t>repeat #1 with shop support</t>
  </si>
  <si>
    <t>development of post smelt measurements</t>
  </si>
  <si>
    <t>3 / D2</t>
  </si>
  <si>
    <t>Taller Stack</t>
  </si>
  <si>
    <t>Romano British</t>
  </si>
  <si>
    <t>medium shaft</t>
  </si>
  <si>
    <t>straw cobb, refactory lined</t>
  </si>
  <si>
    <t>Circle</t>
  </si>
  <si>
    <t>conical</t>
  </si>
  <si>
    <t>15 x 20</t>
  </si>
  <si>
    <t>Flat</t>
  </si>
  <si>
    <t>vacuum blower</t>
  </si>
  <si>
    <t>Guy's Run Goethite</t>
  </si>
  <si>
    <t xml:space="preserve">1 to 5 </t>
  </si>
  <si>
    <t>dismantled</t>
  </si>
  <si>
    <t>sintered mass</t>
  </si>
  <si>
    <t>good</t>
  </si>
  <si>
    <t>5 plus ?</t>
  </si>
  <si>
    <t>after Sauder &amp; Williams</t>
  </si>
  <si>
    <t>application of learned techniques</t>
  </si>
  <si>
    <t>burn out at about 3/4 of reaction haults</t>
  </si>
  <si>
    <t>4 / D3</t>
  </si>
  <si>
    <t>Low Stack</t>
  </si>
  <si>
    <t>boxed short shaft</t>
  </si>
  <si>
    <t>straw cobb in stone slabs</t>
  </si>
  <si>
    <t>cylinder</t>
  </si>
  <si>
    <t>10 +</t>
  </si>
  <si>
    <t>Down</t>
  </si>
  <si>
    <t>Norse / hand crank</t>
  </si>
  <si>
    <t>125 / ?</t>
  </si>
  <si>
    <t>1 to 5</t>
  </si>
  <si>
    <t>vapourized</t>
  </si>
  <si>
    <t>sluggish</t>
  </si>
  <si>
    <t>after P. Crew</t>
  </si>
  <si>
    <t>establish standard smelter</t>
  </si>
  <si>
    <t>too wet walls slump for poor tuyere placement</t>
  </si>
  <si>
    <t>Early Iron 1</t>
  </si>
  <si>
    <t>Cooperstown NY</t>
  </si>
  <si>
    <t>short shaft</t>
  </si>
  <si>
    <t>straw cobb partial bank</t>
  </si>
  <si>
    <t>8 varies</t>
  </si>
  <si>
    <t>charcoal fines</t>
  </si>
  <si>
    <t>mixed hardwood</t>
  </si>
  <si>
    <t>home made</t>
  </si>
  <si>
    <t>pre bloom mass</t>
  </si>
  <si>
    <t>no tapping</t>
  </si>
  <si>
    <t>combined above</t>
  </si>
  <si>
    <t>application of historic methods</t>
  </si>
  <si>
    <t>iron starting to condense in sliced sections</t>
  </si>
  <si>
    <t>6 / D4</t>
  </si>
  <si>
    <t>Econo Norse test</t>
  </si>
  <si>
    <t>modern</t>
  </si>
  <si>
    <t>Econo Norse</t>
  </si>
  <si>
    <t>fire brick partial bank</t>
  </si>
  <si>
    <t>Nonagon</t>
  </si>
  <si>
    <t>7.5 +</t>
  </si>
  <si>
    <t>fragmented</t>
  </si>
  <si>
    <t>medium</t>
  </si>
  <si>
    <t>group design</t>
  </si>
  <si>
    <t>develop easy to build test furnace</t>
  </si>
  <si>
    <t>prototype teaching furnace.</t>
  </si>
  <si>
    <t>Smeltfest</t>
  </si>
  <si>
    <t>Lexington VA</t>
  </si>
  <si>
    <t>fire brick in sheet</t>
  </si>
  <si>
    <t>Septagon</t>
  </si>
  <si>
    <t>10 x 15</t>
  </si>
  <si>
    <t>sheet copper</t>
  </si>
  <si>
    <t>Magnetite Sand</t>
  </si>
  <si>
    <t>lacy</t>
  </si>
  <si>
    <t>soft</t>
  </si>
  <si>
    <t>teaching model</t>
  </si>
  <si>
    <t>refine test / teaching furnace</t>
  </si>
  <si>
    <t>use of forged copper tuyere</t>
  </si>
  <si>
    <t>solid</t>
  </si>
  <si>
    <t>considerable</t>
  </si>
  <si>
    <t>dupilcate of above</t>
  </si>
  <si>
    <t>OABA demo</t>
  </si>
  <si>
    <t>OABA</t>
  </si>
  <si>
    <t>Octagon</t>
  </si>
  <si>
    <t>10 x 15 E</t>
  </si>
  <si>
    <t>various</t>
  </si>
  <si>
    <t>inconsistant</t>
  </si>
  <si>
    <t>Stelco Taconite</t>
  </si>
  <si>
    <t>large</t>
  </si>
  <si>
    <t>excessive</t>
  </si>
  <si>
    <t>demonstration</t>
  </si>
  <si>
    <t>introduce method to Ontario Blacksmiths</t>
  </si>
  <si>
    <t>ash / sawdust packing produces much slag</t>
  </si>
  <si>
    <t>10 / D5</t>
  </si>
  <si>
    <t>CanIRON test</t>
  </si>
  <si>
    <t>Ubber Bellows</t>
  </si>
  <si>
    <t>workable</t>
  </si>
  <si>
    <t>Viking Age demonstration</t>
  </si>
  <si>
    <t>develop VA demonstration methods</t>
  </si>
  <si>
    <t>switch to blower at 2:30 @ 815 LpM</t>
  </si>
  <si>
    <t>11 / D6</t>
  </si>
  <si>
    <t>CanIRON 5</t>
  </si>
  <si>
    <t>Annapolis Royal NS</t>
  </si>
  <si>
    <t>Stelco Taconite S</t>
  </si>
  <si>
    <t>small</t>
  </si>
  <si>
    <t>cast iron</t>
  </si>
  <si>
    <t>limited</t>
  </si>
  <si>
    <t>CANIRON 4  - historic demonstration</t>
  </si>
  <si>
    <t>switch to blower at 6:40 (no volume)</t>
  </si>
  <si>
    <t>Early Iron 2</t>
  </si>
  <si>
    <t>recover from Hendrix</t>
  </si>
  <si>
    <t>Teaching</t>
  </si>
  <si>
    <t>Flue Tyle</t>
  </si>
  <si>
    <t>reinforced tile</t>
  </si>
  <si>
    <t>30 x 30</t>
  </si>
  <si>
    <t>forged copper</t>
  </si>
  <si>
    <t>electric blower</t>
  </si>
  <si>
    <t>oak rail ties</t>
  </si>
  <si>
    <t>Cowboy</t>
  </si>
  <si>
    <t>bottom</t>
  </si>
  <si>
    <t>teaching</t>
  </si>
  <si>
    <t>second 'Rescue' bloom only</t>
  </si>
  <si>
    <t>13 / D7</t>
  </si>
  <si>
    <t>Short Shaft</t>
  </si>
  <si>
    <t>ceramic tube</t>
  </si>
  <si>
    <t>considerable silca</t>
  </si>
  <si>
    <t>established design</t>
  </si>
  <si>
    <t>establish repeatable methods</t>
  </si>
  <si>
    <t>general control and understanding</t>
  </si>
  <si>
    <t>Black Rock demo</t>
  </si>
  <si>
    <t>Michigan blacksmiths</t>
  </si>
  <si>
    <t>Traverse City MN</t>
  </si>
  <si>
    <t>15 x 10</t>
  </si>
  <si>
    <t>Michigan Taconite</t>
  </si>
  <si>
    <t xml:space="preserve">environment temperature of limited effect </t>
  </si>
  <si>
    <t>Smeltfest 06</t>
  </si>
  <si>
    <t>Sargent</t>
  </si>
  <si>
    <t>medium shaft on block</t>
  </si>
  <si>
    <t>straw cobb</t>
  </si>
  <si>
    <t>46 to 40</t>
  </si>
  <si>
    <t>9 to 5</t>
  </si>
  <si>
    <t>12 x 18</t>
  </si>
  <si>
    <t>Plynth</t>
  </si>
  <si>
    <t>Opta Hematite</t>
  </si>
  <si>
    <t>raw</t>
  </si>
  <si>
    <t>development</t>
  </si>
  <si>
    <t>use of hematite, modifications to furnace</t>
  </si>
  <si>
    <t>flask shaped with use of hematite</t>
  </si>
  <si>
    <t>short shaft on block</t>
  </si>
  <si>
    <t>9 to 6</t>
  </si>
  <si>
    <t>a bit dry</t>
  </si>
  <si>
    <t>repeat above</t>
  </si>
  <si>
    <t>re-use of smelter # 15</t>
  </si>
  <si>
    <t>17 / D8</t>
  </si>
  <si>
    <t>Spring Smelt</t>
  </si>
  <si>
    <t>half banked short shaft</t>
  </si>
  <si>
    <t>13 x 20</t>
  </si>
  <si>
    <t>Bratton's Run Goethite</t>
  </si>
  <si>
    <t>use of half banked furnace construction</t>
  </si>
  <si>
    <t>all coverted to cast iron or high iron slag</t>
  </si>
  <si>
    <t>18 / D9</t>
  </si>
  <si>
    <t>SCA Bonfield demo</t>
  </si>
  <si>
    <t>Bonfield ON</t>
  </si>
  <si>
    <t>Air</t>
  </si>
  <si>
    <t>40 E</t>
  </si>
  <si>
    <t>7.5 E</t>
  </si>
  <si>
    <t>10 X 15 E</t>
  </si>
  <si>
    <t>small masses only</t>
  </si>
  <si>
    <t>L'Anse aux Meadows</t>
  </si>
  <si>
    <t>layout based on LAM - use of Ubber Bellows</t>
  </si>
  <si>
    <t>problems with bellows design and labour</t>
  </si>
  <si>
    <t>Loki' / Minden</t>
  </si>
  <si>
    <t>Early Iron 3</t>
  </si>
  <si>
    <t>Peters Valley NJ</t>
  </si>
  <si>
    <t>11 x 20</t>
  </si>
  <si>
    <t>Minden Red Ochre</t>
  </si>
  <si>
    <t>small to dust</t>
  </si>
  <si>
    <t>tropical</t>
  </si>
  <si>
    <t>nodules</t>
  </si>
  <si>
    <t>test of ore body</t>
  </si>
  <si>
    <t>assumed low iron content demonstrated</t>
  </si>
  <si>
    <t>none specifically</t>
  </si>
  <si>
    <t>1.9 kg reproduction VA anvil from portion.</t>
  </si>
  <si>
    <t>21 / D10</t>
  </si>
  <si>
    <t>Fall Smelt</t>
  </si>
  <si>
    <t>iron rich slag only</t>
  </si>
  <si>
    <t>3rd reuse of furnace - why this result?</t>
  </si>
  <si>
    <t>Redemption'</t>
  </si>
  <si>
    <t>1 to 5 / walnut</t>
  </si>
  <si>
    <t>Black Diamond</t>
  </si>
  <si>
    <t>Reserection' for # 21</t>
  </si>
  <si>
    <t>self proof of ability</t>
  </si>
  <si>
    <t>Intro Smelting</t>
  </si>
  <si>
    <t>Mikaff, Paddon</t>
  </si>
  <si>
    <t>Hexagon</t>
  </si>
  <si>
    <t>course</t>
  </si>
  <si>
    <t>excellent student results</t>
  </si>
  <si>
    <t>24 / D11</t>
  </si>
  <si>
    <t>Hot Swap</t>
  </si>
  <si>
    <t>hot swap' doouble smelt</t>
  </si>
  <si>
    <t>4th use / expected low return from poor ore</t>
  </si>
  <si>
    <t>25 / D12</t>
  </si>
  <si>
    <t>hot slag bowl</t>
  </si>
  <si>
    <t>1 to 5 / 1</t>
  </si>
  <si>
    <t>excessive silica</t>
  </si>
  <si>
    <t>hot swap' double smelt</t>
  </si>
  <si>
    <t>5th use / expected improvement mixed ore</t>
  </si>
  <si>
    <t>Icelandic 1</t>
  </si>
  <si>
    <t>Peterson, Ross</t>
  </si>
  <si>
    <t>Viking Age Icelandic</t>
  </si>
  <si>
    <t>Icelandic</t>
  </si>
  <si>
    <t>clay,  stone slab front</t>
  </si>
  <si>
    <t>Flat Circle</t>
  </si>
  <si>
    <t>15 x 30</t>
  </si>
  <si>
    <t>room</t>
  </si>
  <si>
    <t>1 to 2.5</t>
  </si>
  <si>
    <t>use of stone slab above tuyere</t>
  </si>
  <si>
    <t>intial use of low air, increased half way</t>
  </si>
  <si>
    <t>27 / D13</t>
  </si>
  <si>
    <t xml:space="preserve"> Icelandic 2</t>
  </si>
  <si>
    <t>angled</t>
  </si>
  <si>
    <t>5 to 10</t>
  </si>
  <si>
    <t>20 x 20</t>
  </si>
  <si>
    <t>poorly sintered</t>
  </si>
  <si>
    <t>minimal</t>
  </si>
  <si>
    <t>all stone slab  - low air</t>
  </si>
  <si>
    <t>1.8 kg unsintered + 2.3 kg gromps = 4.1 kg</t>
  </si>
  <si>
    <t>Martin Group</t>
  </si>
  <si>
    <t>short shaft on brick</t>
  </si>
  <si>
    <t>6 to 8</t>
  </si>
  <si>
    <t xml:space="preserve">Bellows Plate </t>
  </si>
  <si>
    <t>Williams, Keen</t>
  </si>
  <si>
    <t>clay / sand</t>
  </si>
  <si>
    <t>60 to 43</t>
  </si>
  <si>
    <t>9 x 12</t>
  </si>
  <si>
    <t>plate &amp; hole</t>
  </si>
  <si>
    <t>crescent</t>
  </si>
  <si>
    <t>all</t>
  </si>
  <si>
    <t>based on Eindoven</t>
  </si>
  <si>
    <t>test of plate &amp; blow hole</t>
  </si>
  <si>
    <t>better yield than expected</t>
  </si>
  <si>
    <t>DARC Dirt 1</t>
  </si>
  <si>
    <t>above +</t>
  </si>
  <si>
    <t>DD1S</t>
  </si>
  <si>
    <t>all to 25</t>
  </si>
  <si>
    <t>high</t>
  </si>
  <si>
    <t>expected lower yield from method</t>
  </si>
  <si>
    <t>25 x 28</t>
  </si>
  <si>
    <t>column</t>
  </si>
  <si>
    <t>moving hole position</t>
  </si>
  <si>
    <t>32 / D14</t>
  </si>
  <si>
    <t>DARC Dirt 2</t>
  </si>
  <si>
    <t>fire brick in can</t>
  </si>
  <si>
    <t>7.5 hexigon</t>
  </si>
  <si>
    <t>23 x 20</t>
  </si>
  <si>
    <t>test of furnace</t>
  </si>
  <si>
    <t>good function of smaller transportable unit</t>
  </si>
  <si>
    <t>2 Stage test A</t>
  </si>
  <si>
    <t>Espelund</t>
  </si>
  <si>
    <t>Heltborg DK</t>
  </si>
  <si>
    <t>Norway</t>
  </si>
  <si>
    <t>modified medium shaft</t>
  </si>
  <si>
    <t>20 x 30</t>
  </si>
  <si>
    <t>ash &amp; charcoal</t>
  </si>
  <si>
    <t>danish vacuum</t>
  </si>
  <si>
    <t>Guldager Bog Ore</t>
  </si>
  <si>
    <t>1 to 20</t>
  </si>
  <si>
    <t>Denmark</t>
  </si>
  <si>
    <t>to iron rich slag</t>
  </si>
  <si>
    <t>intended step A</t>
  </si>
  <si>
    <t>Olesen's furnace</t>
  </si>
  <si>
    <t>Espelund theoretical</t>
  </si>
  <si>
    <t>slag produciton only</t>
  </si>
  <si>
    <t>2 stage test B</t>
  </si>
  <si>
    <t>15 x 15</t>
  </si>
  <si>
    <t>Iron Rich Slag</t>
  </si>
  <si>
    <t>gromps only</t>
  </si>
  <si>
    <t>complete sequence</t>
  </si>
  <si>
    <t>poor results - question method?</t>
  </si>
  <si>
    <t>method demo</t>
  </si>
  <si>
    <t>Heltborg Bog Ore</t>
  </si>
  <si>
    <t>Swedish Bog Ore</t>
  </si>
  <si>
    <t>varies - fine</t>
  </si>
  <si>
    <t>Olesen's furnace modified</t>
  </si>
  <si>
    <t>demonstration of developed methods</t>
  </si>
  <si>
    <t>less than good result, ore quality?</t>
  </si>
  <si>
    <t>36 / D15</t>
  </si>
  <si>
    <t>DARC Dirt 3</t>
  </si>
  <si>
    <t>half banked short shaft on brick</t>
  </si>
  <si>
    <t>Oval</t>
  </si>
  <si>
    <t>20 x 25 E</t>
  </si>
  <si>
    <t>5 to 25</t>
  </si>
  <si>
    <t>? hardwood</t>
  </si>
  <si>
    <t>crumbly</t>
  </si>
  <si>
    <t>ore test in proven furnace</t>
  </si>
  <si>
    <t>3 x consolidation cycles</t>
  </si>
  <si>
    <t>Quad State demo</t>
  </si>
  <si>
    <t>Cook</t>
  </si>
  <si>
    <t>Troy OH</t>
  </si>
  <si>
    <t>NR clay</t>
  </si>
  <si>
    <t>Jamestown Goethite</t>
  </si>
  <si>
    <t>self tapping</t>
  </si>
  <si>
    <t>excellent demonstration results</t>
  </si>
  <si>
    <t>38 / D16</t>
  </si>
  <si>
    <t>Work Dynamic</t>
  </si>
  <si>
    <t>banked short shaft</t>
  </si>
  <si>
    <t>10 x 20</t>
  </si>
  <si>
    <t>self</t>
  </si>
  <si>
    <t>sitting high</t>
  </si>
  <si>
    <t>Hals, Iceland</t>
  </si>
  <si>
    <t>working systems test / plate and blow hole</t>
  </si>
  <si>
    <t>problems with slag too high, shift to insert</t>
  </si>
  <si>
    <t>39 / D17</t>
  </si>
  <si>
    <t>Icelandic 4</t>
  </si>
  <si>
    <t>10 x 19</t>
  </si>
  <si>
    <t>500 to 840</t>
  </si>
  <si>
    <t>lumpy</t>
  </si>
  <si>
    <t>working systems test</t>
  </si>
  <si>
    <t>40 / D18</t>
  </si>
  <si>
    <t>Vinland 1</t>
  </si>
  <si>
    <t>Viking Age Vinland</t>
  </si>
  <si>
    <t>clay</t>
  </si>
  <si>
    <t>DD2S</t>
  </si>
  <si>
    <t>maple</t>
  </si>
  <si>
    <t>Basques</t>
  </si>
  <si>
    <t>very dense</t>
  </si>
  <si>
    <t>furnace design</t>
  </si>
  <si>
    <t>viability of working space</t>
  </si>
  <si>
    <t>41 / D19</t>
  </si>
  <si>
    <t>Vinland 2</t>
  </si>
  <si>
    <t>clay block &amp; fire brick</t>
  </si>
  <si>
    <t>varies</t>
  </si>
  <si>
    <t>5 + 7</t>
  </si>
  <si>
    <t>box / electric</t>
  </si>
  <si>
    <t>placement of slack tub / Frankenbellows</t>
  </si>
  <si>
    <t>interpret as stubb / failed mechanical design</t>
  </si>
  <si>
    <t>42 / D20</t>
  </si>
  <si>
    <t>Vinland 3</t>
  </si>
  <si>
    <t>27 x 15</t>
  </si>
  <si>
    <t>forged steel pipe</t>
  </si>
  <si>
    <t>smelt bellows</t>
  </si>
  <si>
    <t>top - broken</t>
  </si>
  <si>
    <t>dense</t>
  </si>
  <si>
    <t>human powered air</t>
  </si>
  <si>
    <t>expected lower yield / different placement</t>
  </si>
  <si>
    <t>43 / D21</t>
  </si>
  <si>
    <t>Vinland 4</t>
  </si>
  <si>
    <t>hour glass</t>
  </si>
  <si>
    <t>32 to 25</t>
  </si>
  <si>
    <t>20 x 14</t>
  </si>
  <si>
    <t>22 to 30</t>
  </si>
  <si>
    <t>Maple Leaf</t>
  </si>
  <si>
    <t>major draining</t>
  </si>
  <si>
    <t>all historic method</t>
  </si>
  <si>
    <t>expected lower yield / working layout</t>
  </si>
  <si>
    <t>44 / D22</t>
  </si>
  <si>
    <t>Vinland 5 demo</t>
  </si>
  <si>
    <t>DARC / Parks Canada</t>
  </si>
  <si>
    <t>33 to 29</t>
  </si>
  <si>
    <t>7 to 9</t>
  </si>
  <si>
    <t>25 x 20</t>
  </si>
  <si>
    <t>lumpy fragments</t>
  </si>
  <si>
    <t>demonstration on site</t>
  </si>
  <si>
    <t>proof of historic method</t>
  </si>
  <si>
    <t>45 / D23</t>
  </si>
  <si>
    <t>CanIRON 8 test</t>
  </si>
  <si>
    <t>CanIRON 9 demo</t>
  </si>
  <si>
    <t>team experience</t>
  </si>
  <si>
    <t>needs more practice</t>
  </si>
  <si>
    <t>Africa'</t>
  </si>
  <si>
    <t>Africian</t>
  </si>
  <si>
    <t>flask with shaft</t>
  </si>
  <si>
    <t>dome</t>
  </si>
  <si>
    <t>slag pit</t>
  </si>
  <si>
    <t>mulitple - clay</t>
  </si>
  <si>
    <t>sticks / straw</t>
  </si>
  <si>
    <t>at floor</t>
  </si>
  <si>
    <t>passive</t>
  </si>
  <si>
    <t>massive block</t>
  </si>
  <si>
    <t>Burkino Fasso</t>
  </si>
  <si>
    <t>proof of concept only</t>
  </si>
  <si>
    <t>too much focus on fine detail / modify method</t>
  </si>
  <si>
    <t>Experiment &amp; Iron</t>
  </si>
  <si>
    <t>Brown Students</t>
  </si>
  <si>
    <t>Bristol RI</t>
  </si>
  <si>
    <t>8.5 x 25</t>
  </si>
  <si>
    <t>ceramic / pipe</t>
  </si>
  <si>
    <t>2.5 / 2</t>
  </si>
  <si>
    <t>standard</t>
  </si>
  <si>
    <t>proves viablity of progam</t>
  </si>
  <si>
    <t>D24</t>
  </si>
  <si>
    <t>spongy</t>
  </si>
  <si>
    <t>too much detail on construction</t>
  </si>
  <si>
    <t>D25</t>
  </si>
  <si>
    <t>CanIRON 8 demo</t>
  </si>
  <si>
    <t>Fergus ON</t>
  </si>
  <si>
    <t>DD1Fd</t>
  </si>
  <si>
    <t>public demonstration</t>
  </si>
  <si>
    <t>good team performance</t>
  </si>
  <si>
    <t>48 / D26</t>
  </si>
  <si>
    <t>Slag Pit 1</t>
  </si>
  <si>
    <t>Burnham, Peterson</t>
  </si>
  <si>
    <t>Celtic Iron Age</t>
  </si>
  <si>
    <t>short shaft / slag pit</t>
  </si>
  <si>
    <t>19 x 10</t>
  </si>
  <si>
    <t>Slag Pit</t>
  </si>
  <si>
    <t>DD1</t>
  </si>
  <si>
    <t>van de Manakker</t>
  </si>
  <si>
    <t>proof of concept</t>
  </si>
  <si>
    <t>questionable ore means no iron</t>
  </si>
  <si>
    <t>Slag Pit 2</t>
  </si>
  <si>
    <t>Peterson</t>
  </si>
  <si>
    <t>block</t>
  </si>
  <si>
    <t>repeat with good ore proves system</t>
  </si>
  <si>
    <t>Production</t>
  </si>
  <si>
    <t>manure cobb in can</t>
  </si>
  <si>
    <t>40 to 35</t>
  </si>
  <si>
    <t>NR to 5</t>
  </si>
  <si>
    <t>23 x 23</t>
  </si>
  <si>
    <t>maple / oak - hickory</t>
  </si>
  <si>
    <t>Maple Leaf / Royal Oak</t>
  </si>
  <si>
    <t>top - bottom</t>
  </si>
  <si>
    <t>Lee Sauder</t>
  </si>
  <si>
    <t>production furnace build</t>
  </si>
  <si>
    <t>solid durable design as expected</t>
  </si>
  <si>
    <t>51 / D27</t>
  </si>
  <si>
    <t>Icelandic 5</t>
  </si>
  <si>
    <t>36 - 34</t>
  </si>
  <si>
    <t>10 x 14</t>
  </si>
  <si>
    <t>ash &amp; fines</t>
  </si>
  <si>
    <t>tapped</t>
  </si>
  <si>
    <t>DD1Sb</t>
  </si>
  <si>
    <t>6.36 / 7.05</t>
  </si>
  <si>
    <t>Hals Iceland</t>
  </si>
  <si>
    <t>resume Icelandic series</t>
  </si>
  <si>
    <t>re-familurization</t>
  </si>
  <si>
    <t>Celtic Festival</t>
  </si>
  <si>
    <t>Celtic College</t>
  </si>
  <si>
    <t>Goderich ON</t>
  </si>
  <si>
    <t>41- 37</t>
  </si>
  <si>
    <t>6 to 5</t>
  </si>
  <si>
    <t>15 x 11</t>
  </si>
  <si>
    <t>proven design</t>
  </si>
  <si>
    <t>excellent demonstration &amp; teaching</t>
  </si>
  <si>
    <t>ICMS demo</t>
  </si>
  <si>
    <t>ICMS</t>
  </si>
  <si>
    <t>Kalamzoo MI</t>
  </si>
  <si>
    <t>7.5 to 4.5</t>
  </si>
  <si>
    <t>15 x 6.5</t>
  </si>
  <si>
    <t>DD1Fe</t>
  </si>
  <si>
    <t>workshop / demo</t>
  </si>
  <si>
    <t>Evarts, Eamon</t>
  </si>
  <si>
    <t>manure cobb</t>
  </si>
  <si>
    <t>18 x 10</t>
  </si>
  <si>
    <t>Quebec Rock</t>
  </si>
  <si>
    <t>all to 5 / 25</t>
  </si>
  <si>
    <t>good results / teaching</t>
  </si>
  <si>
    <t>Students</t>
  </si>
  <si>
    <t>Washington College MD</t>
  </si>
  <si>
    <t>roasted?</t>
  </si>
  <si>
    <t>all to 5</t>
  </si>
  <si>
    <t>1.2 kg as bloom</t>
  </si>
  <si>
    <t>3.2 kg as cast</t>
  </si>
  <si>
    <t xml:space="preserve">teaching </t>
  </si>
  <si>
    <t>T2T prototype</t>
  </si>
  <si>
    <t>Peterson +</t>
  </si>
  <si>
    <t>Pictish 200 - 400 AD</t>
  </si>
  <si>
    <t>Turf-to-Tools</t>
  </si>
  <si>
    <t>short shaft on stone</t>
  </si>
  <si>
    <t>clay / sand over wicker</t>
  </si>
  <si>
    <t>52 to 32</t>
  </si>
  <si>
    <t>8 to 5</t>
  </si>
  <si>
    <t>18 x 21</t>
  </si>
  <si>
    <t>DD1M</t>
  </si>
  <si>
    <t>Basques / Royal Oak</t>
  </si>
  <si>
    <t>Culduthel, Scotland</t>
  </si>
  <si>
    <t>test wicker frame / build</t>
  </si>
  <si>
    <t>cracking from internal frame</t>
  </si>
  <si>
    <t>T2T 1A</t>
  </si>
  <si>
    <t>SSW</t>
  </si>
  <si>
    <t>Lumsden Scotland</t>
  </si>
  <si>
    <t>45 to 30</t>
  </si>
  <si>
    <t>25 x 18</t>
  </si>
  <si>
    <t>leaf blower 1</t>
  </si>
  <si>
    <t>Macaulayite</t>
  </si>
  <si>
    <t>Scotland Taconite</t>
  </si>
  <si>
    <t>DD1-SSW</t>
  </si>
  <si>
    <t>beech</t>
  </si>
  <si>
    <t>Scotland</t>
  </si>
  <si>
    <t>thin disk</t>
  </si>
  <si>
    <t>build / resource test</t>
  </si>
  <si>
    <t>questionable ore body</t>
  </si>
  <si>
    <t>T2T 1B</t>
  </si>
  <si>
    <t>build test / skills development</t>
  </si>
  <si>
    <t>uncertain why low yield</t>
  </si>
  <si>
    <t>T2T 1C</t>
  </si>
  <si>
    <t>NR to 30</t>
  </si>
  <si>
    <t>leaf blower 2</t>
  </si>
  <si>
    <t>all to 25 / 5</t>
  </si>
  <si>
    <t>bones test</t>
  </si>
  <si>
    <t>T1</t>
  </si>
  <si>
    <t>Peat Test</t>
  </si>
  <si>
    <t>Scotish</t>
  </si>
  <si>
    <t>peat pellets</t>
  </si>
  <si>
    <t>peat fuel test</t>
  </si>
  <si>
    <t>temperatures suggest possible</t>
  </si>
  <si>
    <t>60 / D28</t>
  </si>
  <si>
    <t>Icelandic 6</t>
  </si>
  <si>
    <t>sod only</t>
  </si>
  <si>
    <t>turf</t>
  </si>
  <si>
    <t>18 x 20</t>
  </si>
  <si>
    <t>22 to 12</t>
  </si>
  <si>
    <t>Y-</t>
  </si>
  <si>
    <t>DD1Fa</t>
  </si>
  <si>
    <t>build elements</t>
  </si>
  <si>
    <t>function with raw earth / sod only</t>
  </si>
  <si>
    <t>61 / D29</t>
  </si>
  <si>
    <t>Icelandic 7</t>
  </si>
  <si>
    <t>sod w clay liner</t>
  </si>
  <si>
    <t>3-3.5</t>
  </si>
  <si>
    <t>thinner liner endures</t>
  </si>
  <si>
    <t>use of May 2012 furnace</t>
  </si>
  <si>
    <t>resonable return</t>
  </si>
  <si>
    <t>50 Year / demo</t>
  </si>
  <si>
    <t>SCA</t>
  </si>
  <si>
    <t>Danville IN</t>
  </si>
  <si>
    <t>41 to 36</t>
  </si>
  <si>
    <t>7.7 to 4.8</t>
  </si>
  <si>
    <t>25 x 15</t>
  </si>
  <si>
    <t>multiple twin</t>
  </si>
  <si>
    <t>all to 25 / 10</t>
  </si>
  <si>
    <t>speculative</t>
  </si>
  <si>
    <t>multiple small bellows with bladder test</t>
  </si>
  <si>
    <t>ARTEfakty A</t>
  </si>
  <si>
    <t>ARTEfakty</t>
  </si>
  <si>
    <t>Proszkow Poland</t>
  </si>
  <si>
    <t>NR to 32</t>
  </si>
  <si>
    <t>NR to 3</t>
  </si>
  <si>
    <t>20 x 15</t>
  </si>
  <si>
    <t>Harres Bog Ore</t>
  </si>
  <si>
    <t>Poland</t>
  </si>
  <si>
    <t>to museum</t>
  </si>
  <si>
    <t>ARTEfakty B</t>
  </si>
  <si>
    <t>short shaft on clay</t>
  </si>
  <si>
    <t>44 to 30</t>
  </si>
  <si>
    <t>7 to 3</t>
  </si>
  <si>
    <t>28 x 20</t>
  </si>
  <si>
    <t>T2T 2A</t>
  </si>
  <si>
    <t>46 to 28</t>
  </si>
  <si>
    <t>8 to 4</t>
  </si>
  <si>
    <t>Lecht Scotland Goethite</t>
  </si>
  <si>
    <t>all to 10</t>
  </si>
  <si>
    <t>local resource test</t>
  </si>
  <si>
    <t>T2T 2B</t>
  </si>
  <si>
    <t>T2T 2C</t>
  </si>
  <si>
    <t>Celtic Iron</t>
  </si>
  <si>
    <t>SCC</t>
  </si>
  <si>
    <t>Aberfeldy Scotland</t>
  </si>
  <si>
    <t>25 x 22</t>
  </si>
  <si>
    <t>shop vac</t>
  </si>
  <si>
    <t>Celtic Iron Age ?</t>
  </si>
  <si>
    <t>build and firing test only</t>
  </si>
  <si>
    <t>build and firing only</t>
  </si>
  <si>
    <t>70 / D30</t>
  </si>
  <si>
    <t>Icelandic 8</t>
  </si>
  <si>
    <t>Amaranth ON</t>
  </si>
  <si>
    <t>mounded short shaft</t>
  </si>
  <si>
    <t>Cut-teardrop</t>
  </si>
  <si>
    <t>24 x 12</t>
  </si>
  <si>
    <t>wood ash</t>
  </si>
  <si>
    <t>full scale build</t>
  </si>
  <si>
    <t>liner applied down cut shaft = problems</t>
  </si>
  <si>
    <t>ExARC Iron</t>
  </si>
  <si>
    <t>ReARC</t>
  </si>
  <si>
    <t>Williamsburg VA</t>
  </si>
  <si>
    <t>37 to 33</t>
  </si>
  <si>
    <t>6 to 4</t>
  </si>
  <si>
    <t>28 x 12</t>
  </si>
  <si>
    <t>Nature-Glo</t>
  </si>
  <si>
    <t>teaching, use of smelting bellows</t>
  </si>
  <si>
    <t>haulted due to schedule</t>
  </si>
  <si>
    <t>von Eschen</t>
  </si>
  <si>
    <t>24 x 8</t>
  </si>
  <si>
    <t>1020-30</t>
  </si>
  <si>
    <t>Milton ON</t>
  </si>
  <si>
    <t>41 to 35</t>
  </si>
  <si>
    <t>17 x 10</t>
  </si>
  <si>
    <t>1010-30</t>
  </si>
  <si>
    <t>air supply varies considerably (221 - 560)</t>
  </si>
  <si>
    <t>Vinland 6</t>
  </si>
  <si>
    <t>NR clay, stick core</t>
  </si>
  <si>
    <t>2 x 20</t>
  </si>
  <si>
    <t>520 A</t>
  </si>
  <si>
    <t>big variation on burn rates (9 - 24)</t>
  </si>
  <si>
    <t>42 to 30</t>
  </si>
  <si>
    <t>23 x 17</t>
  </si>
  <si>
    <t>sticks with cap</t>
  </si>
  <si>
    <t>shortened cyle for event</t>
  </si>
  <si>
    <t>Slag Pit 3</t>
  </si>
  <si>
    <t>short shaft on brick / slag pit</t>
  </si>
  <si>
    <t>23 x23</t>
  </si>
  <si>
    <t>weeds with cap</t>
  </si>
  <si>
    <t>756 to 840</t>
  </si>
  <si>
    <t>Viking Age Iron</t>
  </si>
  <si>
    <t>Hurstwic</t>
  </si>
  <si>
    <t>50 to ?</t>
  </si>
  <si>
    <t>6 to NR</t>
  </si>
  <si>
    <t>Viking Age ?</t>
  </si>
  <si>
    <t xml:space="preserve">  new red oxide @ 51% Fe</t>
  </si>
  <si>
    <t>CAMELOT</t>
  </si>
  <si>
    <t>students, Gissing</t>
  </si>
  <si>
    <t>Waterloo ON</t>
  </si>
  <si>
    <t>7 to 4.5</t>
  </si>
  <si>
    <t>CAMELOT conference</t>
  </si>
  <si>
    <t>Norse in America</t>
  </si>
  <si>
    <t>Peterson, Robertson</t>
  </si>
  <si>
    <t>NR to 6</t>
  </si>
  <si>
    <t>26 x 18</t>
  </si>
  <si>
    <t>Americas Lost Vikings' filming</t>
  </si>
  <si>
    <t>Roman Passive</t>
  </si>
  <si>
    <t>Roman</t>
  </si>
  <si>
    <t>tall shaft</t>
  </si>
  <si>
    <t>47 to 37</t>
  </si>
  <si>
    <t>10 to 5</t>
  </si>
  <si>
    <t xml:space="preserve"> 4 x steel pipe</t>
  </si>
  <si>
    <t>all to 10 / 25</t>
  </si>
  <si>
    <t>Roman / Rehder</t>
  </si>
  <si>
    <t>theoretical system</t>
  </si>
  <si>
    <t>charcoal 5 - 35, low temperatures</t>
  </si>
  <si>
    <t>Gromps</t>
  </si>
  <si>
    <t>672 to 756</t>
  </si>
  <si>
    <t>lumps</t>
  </si>
  <si>
    <t>theoretical method</t>
  </si>
  <si>
    <t>although iron recovered, more control needed</t>
  </si>
  <si>
    <t>Stone Block A</t>
  </si>
  <si>
    <t>Goltz, Cogswell</t>
  </si>
  <si>
    <t>stone blocks, clay seal</t>
  </si>
  <si>
    <t>Circle to Oval</t>
  </si>
  <si>
    <t>60 to 45</t>
  </si>
  <si>
    <t>15 to 10</t>
  </si>
  <si>
    <t>30 x 18</t>
  </si>
  <si>
    <t>DD1Fb</t>
  </si>
  <si>
    <t>disk</t>
  </si>
  <si>
    <t>Iceland</t>
  </si>
  <si>
    <t>use of granite blocks</t>
  </si>
  <si>
    <t>Block / Slag Bowl</t>
  </si>
  <si>
    <t>Peterson, Burton</t>
  </si>
  <si>
    <t>30 x 20</t>
  </si>
  <si>
    <t>previous bowl</t>
  </si>
  <si>
    <t>previous slag bowl remains left in place</t>
  </si>
  <si>
    <t>2nd use of furnace</t>
  </si>
  <si>
    <t>Stone Block C</t>
  </si>
  <si>
    <t>Peterson, Cogswell</t>
  </si>
  <si>
    <t>3rd use of furnace</t>
  </si>
  <si>
    <t>85 / D31</t>
  </si>
  <si>
    <t>Bones</t>
  </si>
  <si>
    <t>42 to 36</t>
  </si>
  <si>
    <t>7 to 4</t>
  </si>
  <si>
    <t>disk, crumbly</t>
  </si>
  <si>
    <t xml:space="preserve">hypothetical </t>
  </si>
  <si>
    <t>effect of addition of bone</t>
  </si>
  <si>
    <t>finished to bar for carbon test</t>
  </si>
  <si>
    <t>Smelting Course</t>
  </si>
  <si>
    <t>Porter</t>
  </si>
  <si>
    <t>DD1Fc</t>
  </si>
  <si>
    <t>4th use of furnace</t>
  </si>
  <si>
    <t>87 / D32</t>
  </si>
  <si>
    <t>65 for 65</t>
  </si>
  <si>
    <t>22 x 15</t>
  </si>
  <si>
    <t>DD1-65</t>
  </si>
  <si>
    <t>past work</t>
  </si>
  <si>
    <t>celebration of 20 years at 65th</t>
  </si>
  <si>
    <t>5 use of furnace, use of all previous ores</t>
  </si>
  <si>
    <t>88 / D33</t>
  </si>
  <si>
    <t>Icelandic Clay A</t>
  </si>
  <si>
    <t>160 x 150</t>
  </si>
  <si>
    <t>NR x 12</t>
  </si>
  <si>
    <t>to 672</t>
  </si>
  <si>
    <t>tap + bowl</t>
  </si>
  <si>
    <t>sods laid as liner progresses</t>
  </si>
  <si>
    <t>89 / D34</t>
  </si>
  <si>
    <t>Icelandic Clay B</t>
  </si>
  <si>
    <t>23 x 16</t>
  </si>
  <si>
    <t>bowl left in place</t>
  </si>
  <si>
    <t>full scale build, repeat use</t>
  </si>
  <si>
    <t>repair damage to front area (turtle)</t>
  </si>
  <si>
    <t>90 / D35</t>
  </si>
  <si>
    <t>Wind &amp; Weather</t>
  </si>
  <si>
    <t>42 to 34</t>
  </si>
  <si>
    <t>blower / smelt bellows</t>
  </si>
  <si>
    <t>slightly spongy</t>
  </si>
  <si>
    <t>all left in place</t>
  </si>
  <si>
    <t>comparison of blower to smelting bellows</t>
  </si>
  <si>
    <t>all left in place for weathering</t>
  </si>
  <si>
    <t>91 / D36</t>
  </si>
  <si>
    <t>Low &amp; Longer A</t>
  </si>
  <si>
    <t>manure cobb / LAM</t>
  </si>
  <si>
    <t>39 to 33</t>
  </si>
  <si>
    <t xml:space="preserve">Royal Oak </t>
  </si>
  <si>
    <t>very spongy</t>
  </si>
  <si>
    <t>LAM clay test / lower air volume</t>
  </si>
  <si>
    <t>Low &amp; Longer B</t>
  </si>
  <si>
    <t>Peterson, Kuntze, Hafner</t>
  </si>
  <si>
    <t>very crumbly</t>
  </si>
  <si>
    <t>previous</t>
  </si>
  <si>
    <t>lower air volume repeated</t>
  </si>
  <si>
    <t>Caherconnell</t>
  </si>
  <si>
    <t>Jeffery, O Duhghail</t>
  </si>
  <si>
    <t>Caherconnell Ireland</t>
  </si>
  <si>
    <t>Irish ?</t>
  </si>
  <si>
    <t>Oval to Circle</t>
  </si>
  <si>
    <t>thin ash</t>
  </si>
  <si>
    <t>small blower</t>
  </si>
  <si>
    <t>Antrim Irish Hematite</t>
  </si>
  <si>
    <t>Ireland</t>
  </si>
  <si>
    <t>lacy disk</t>
  </si>
  <si>
    <t>previous Irish work</t>
  </si>
  <si>
    <t>test of ore</t>
  </si>
  <si>
    <t>re-use of poor furnace, expected low yields</t>
  </si>
  <si>
    <t>94 / D37</t>
  </si>
  <si>
    <t>Plusing Air</t>
  </si>
  <si>
    <t>DARC, Kuntze</t>
  </si>
  <si>
    <t>39 to 32</t>
  </si>
  <si>
    <t>22 x 10</t>
  </si>
  <si>
    <t>blower / sliding gate</t>
  </si>
  <si>
    <t>instrument fail</t>
  </si>
  <si>
    <t>oak-hickory / ash</t>
  </si>
  <si>
    <t>Royal Oak / Goltz</t>
  </si>
  <si>
    <t>smelter bellows</t>
  </si>
  <si>
    <t>effect of sliding gate air supply</t>
  </si>
  <si>
    <t>expected extended duration</t>
  </si>
  <si>
    <t>95 / D38</t>
  </si>
  <si>
    <t>Pulsing Air Demo</t>
  </si>
  <si>
    <t>DARC, Rodgers</t>
  </si>
  <si>
    <t>Tiverton ON</t>
  </si>
  <si>
    <t>clay / broken furnace</t>
  </si>
  <si>
    <t>35 to 30</t>
  </si>
  <si>
    <t>5 to 2.5</t>
  </si>
  <si>
    <t>20 x 9</t>
  </si>
  <si>
    <t>ash</t>
  </si>
  <si>
    <t>Goltz</t>
  </si>
  <si>
    <t>air fail, no burn down 9 - 12 kg in stack</t>
  </si>
  <si>
    <t>96 / D39</t>
  </si>
  <si>
    <t>Pulsing Air Followup</t>
  </si>
  <si>
    <t>Peterson, Hafner, Hickey</t>
  </si>
  <si>
    <t>16 x 10</t>
  </si>
  <si>
    <t xml:space="preserve">
  large, typical cupped / dense</t>
  </si>
  <si>
    <t>Artfire One</t>
  </si>
  <si>
    <t>Caroll/Patton/Logan</t>
  </si>
  <si>
    <t>medium shaft on plinth</t>
  </si>
  <si>
    <t>manure cobb / block</t>
  </si>
  <si>
    <t>blower (bouncy castle)</t>
  </si>
  <si>
    <t>Leslie Plate Ore</t>
  </si>
  <si>
    <t>oak</t>
  </si>
  <si>
    <t>unknown</t>
  </si>
  <si>
    <t>half cast, half bloom</t>
  </si>
  <si>
    <t>98 / D40</t>
  </si>
  <si>
    <t>Return to Icelandic</t>
  </si>
  <si>
    <t>Peterson, Hafner, Hickey, Cogswell</t>
  </si>
  <si>
    <t>88/D33</t>
  </si>
  <si>
    <t>Reuse after long delay</t>
  </si>
  <si>
    <t>Koss/Ferral/Gallant</t>
  </si>
  <si>
    <t>3 to 5</t>
  </si>
  <si>
    <t>Gatineau Magnetite</t>
  </si>
  <si>
    <t>tropical (Brazil)</t>
  </si>
  <si>
    <t>no bloom recovered</t>
  </si>
  <si>
    <t>Variable</t>
  </si>
  <si>
    <t>Number of Settings</t>
  </si>
  <si>
    <t>Furnace Shape</t>
  </si>
  <si>
    <t>Furnace Area</t>
  </si>
  <si>
    <t>infinate</t>
  </si>
  <si>
    <t>Furnace Volume</t>
  </si>
  <si>
    <t>Air Flow</t>
  </si>
  <si>
    <t>Air Pressure</t>
  </si>
  <si>
    <t>Air Source</t>
  </si>
  <si>
    <t>Ore Type</t>
  </si>
  <si>
    <t>Plus Combinations</t>
  </si>
  <si>
    <t>burn rate</t>
  </si>
  <si>
    <t>graph - on Display_yields tab - but graph is "upside down" which can't be fixed in google sheets.  I have a version in excel I can send</t>
  </si>
  <si>
    <t>Iron Oxide</t>
  </si>
  <si>
    <t>Slag Pre-load</t>
  </si>
  <si>
    <t>Ore Size</t>
  </si>
  <si>
    <t>Charcoal Size</t>
  </si>
  <si>
    <t>Ore Mass</t>
  </si>
  <si>
    <t>graph - on DIsplay Yields</t>
  </si>
  <si>
    <t>Tuyere insert vs blow hole</t>
  </si>
  <si>
    <t>- insert angle</t>
  </si>
  <si>
    <t>- material</t>
  </si>
  <si>
    <t>base depth</t>
  </si>
  <si>
    <t>stack height</t>
  </si>
  <si>
    <t>packing</t>
  </si>
  <si>
    <t>ore additions</t>
  </si>
  <si>
    <t>air moisture</t>
  </si>
  <si>
    <t>Yield Summary</t>
  </si>
  <si>
    <t>Value</t>
  </si>
  <si>
    <t>Yield - No Slag or Gromps</t>
  </si>
  <si>
    <t>Yield - Gromps</t>
  </si>
  <si>
    <t>Yield Slag</t>
  </si>
  <si>
    <t>Yield Gromps and Slag</t>
  </si>
  <si>
    <t>Count</t>
  </si>
  <si>
    <t>Average</t>
  </si>
  <si>
    <t>Boost</t>
  </si>
  <si>
    <t>Avg Slag</t>
  </si>
  <si>
    <t>Avg Gromps</t>
  </si>
  <si>
    <t>Avg Fe %</t>
  </si>
  <si>
    <t>Avg</t>
  </si>
  <si>
    <t>Sum total Time</t>
  </si>
  <si>
    <t>Days Total Time</t>
  </si>
  <si>
    <t>Hours Total Time (inc days)</t>
  </si>
  <si>
    <t>Hours Total Time (excl days)</t>
  </si>
  <si>
    <t>Min Total Time (excl days/hours)</t>
  </si>
  <si>
    <t>Sum M.S. Time</t>
  </si>
  <si>
    <t>Days M.S. Time</t>
  </si>
  <si>
    <t>Hours M.S. Time (inc days)</t>
  </si>
  <si>
    <t>Hours M.S. Time (excl days)</t>
  </si>
  <si>
    <t>Min M.S. Time (excl days/hours)</t>
  </si>
  <si>
    <t>Gromps Fe % Estimate</t>
  </si>
  <si>
    <t>Oxide</t>
  </si>
  <si>
    <t>Total</t>
  </si>
  <si>
    <t>Iron</t>
  </si>
  <si>
    <t>Element</t>
  </si>
  <si>
    <t>Mass</t>
  </si>
  <si>
    <t>Ore</t>
  </si>
  <si>
    <t>SiO2 %</t>
  </si>
  <si>
    <t>MgO %</t>
  </si>
  <si>
    <t>Al2O3 %</t>
  </si>
  <si>
    <t>MnO %</t>
  </si>
  <si>
    <t>CaO %</t>
  </si>
  <si>
    <t>S04</t>
  </si>
  <si>
    <t>P2O5</t>
  </si>
  <si>
    <t>% Oxide</t>
  </si>
  <si>
    <t>% Fe</t>
  </si>
  <si>
    <t>Source</t>
  </si>
  <si>
    <t>Normalize</t>
  </si>
  <si>
    <t>Fe2O3</t>
  </si>
  <si>
    <t>Fe</t>
  </si>
  <si>
    <t>Fe3O4</t>
  </si>
  <si>
    <t>O</t>
  </si>
  <si>
    <t>St. Lunaire Bog Ore</t>
  </si>
  <si>
    <t>Fe2O3 &amp; FeO</t>
  </si>
  <si>
    <t>Burnham</t>
  </si>
  <si>
    <t>FeO</t>
  </si>
  <si>
    <t>Si</t>
  </si>
  <si>
    <t>FeO(OH)</t>
  </si>
  <si>
    <t>Mn</t>
  </si>
  <si>
    <t>H</t>
  </si>
  <si>
    <t>Kasztovszky</t>
  </si>
  <si>
    <t>Oxide %</t>
  </si>
  <si>
    <t>Si02 %</t>
  </si>
  <si>
    <t>MnO</t>
  </si>
  <si>
    <t>CaO</t>
  </si>
  <si>
    <t>Spanish Red</t>
  </si>
  <si>
    <t>Black Oxide</t>
  </si>
  <si>
    <t>Scale</t>
  </si>
  <si>
    <t>Fe3O4, Fe2O3, FeO</t>
  </si>
  <si>
    <t>Stelco</t>
  </si>
  <si>
    <t>Estimated</t>
  </si>
  <si>
    <t>Analog</t>
  </si>
  <si>
    <t>Source %</t>
  </si>
  <si>
    <t>Opta</t>
  </si>
  <si>
    <t>Paul</t>
  </si>
  <si>
    <t>Forge Scale</t>
  </si>
  <si>
    <t>Mixed</t>
  </si>
  <si>
    <t>St. Lunaire ore &amp; scale &amp; Silica</t>
  </si>
  <si>
    <t>St. Lunaire Ore</t>
  </si>
  <si>
    <t>Iron Black</t>
  </si>
  <si>
    <t>Silica Sand</t>
  </si>
  <si>
    <t>Flour</t>
  </si>
  <si>
    <t>Hammer scale</t>
  </si>
  <si>
    <t>Alumina</t>
  </si>
  <si>
    <t>Sand</t>
  </si>
  <si>
    <t>Elemental % to Oxide %</t>
  </si>
  <si>
    <t>From Darrell</t>
  </si>
  <si>
    <t>Element %</t>
  </si>
  <si>
    <t>Oxide Mass</t>
  </si>
  <si>
    <t>Element Mass</t>
  </si>
  <si>
    <t>Proportion</t>
  </si>
  <si>
    <t>Fe3O4 98</t>
  </si>
  <si>
    <t>SiO2 1</t>
  </si>
  <si>
    <t>Al2O3 0.25</t>
  </si>
  <si>
    <t>TiO2 ~0.1</t>
  </si>
  <si>
    <t>SiO2</t>
  </si>
  <si>
    <t>P2O5 0.03</t>
  </si>
  <si>
    <t>P</t>
  </si>
  <si>
    <t>S=0.01</t>
  </si>
  <si>
    <t>As</t>
  </si>
  <si>
    <t>As2O3</t>
  </si>
  <si>
    <t>MgO 0.05</t>
  </si>
  <si>
    <t>Ca</t>
  </si>
  <si>
    <t>Al</t>
  </si>
  <si>
    <t>Al2O3</t>
  </si>
  <si>
    <t>Mg</t>
  </si>
  <si>
    <t>K</t>
  </si>
  <si>
    <t>K2O</t>
  </si>
  <si>
    <t>Na</t>
  </si>
  <si>
    <t>MgO</t>
  </si>
  <si>
    <t>Na2O</t>
  </si>
  <si>
    <t>Cu</t>
  </si>
  <si>
    <t>S</t>
  </si>
  <si>
    <t>Co</t>
  </si>
  <si>
    <t>Ni</t>
  </si>
  <si>
    <t>NiO</t>
  </si>
  <si>
    <t>Ti</t>
  </si>
  <si>
    <t>Cu2O</t>
  </si>
  <si>
    <t>Cl</t>
  </si>
  <si>
    <t>Co2O3</t>
  </si>
  <si>
    <t>B</t>
  </si>
  <si>
    <t>TiO2</t>
  </si>
  <si>
    <t>Sm</t>
  </si>
  <si>
    <t>ClO2</t>
  </si>
  <si>
    <t>Gd</t>
  </si>
  <si>
    <t>H2O</t>
  </si>
  <si>
    <t>Bo</t>
  </si>
  <si>
    <t>Sm2O3</t>
  </si>
  <si>
    <t>Cr</t>
  </si>
  <si>
    <t>Gd2O3</t>
  </si>
  <si>
    <t>Cr2O3</t>
  </si>
  <si>
    <t>from Marcus</t>
  </si>
  <si>
    <t>as sample</t>
  </si>
  <si>
    <t xml:space="preserve">Jamestown </t>
  </si>
  <si>
    <t>Total # Smelts</t>
  </si>
  <si>
    <t>Total Ore</t>
  </si>
  <si>
    <t>Total # Blooms</t>
  </si>
  <si>
    <t>Total Bloom Mass</t>
  </si>
  <si>
    <t>Total Yield</t>
  </si>
  <si>
    <t>Total Yield Fe</t>
  </si>
  <si>
    <t>Total Charcoal</t>
  </si>
  <si>
    <t>Furnaces Built</t>
  </si>
  <si>
    <t>Furnace Reuses</t>
  </si>
  <si>
    <t>There were this many smelts run in furnaces which had been used before</t>
  </si>
  <si>
    <t>Furnaces Reused</t>
  </si>
  <si>
    <t>This many furnaces were run more than once</t>
  </si>
  <si>
    <t>Types of Ore Used</t>
  </si>
  <si>
    <t>Types of Furnaces</t>
  </si>
  <si>
    <t>Air Sources</t>
  </si>
  <si>
    <t>Avg per smelt</t>
  </si>
  <si>
    <t>Total Time</t>
  </si>
  <si>
    <t>Main Sequence Time</t>
  </si>
  <si>
    <t>Darrell Smelts</t>
  </si>
  <si>
    <t>Neil Smelts</t>
  </si>
  <si>
    <t>Avg Bloom Weight</t>
  </si>
  <si>
    <t>Charcoal to extraction</t>
  </si>
  <si>
    <t>Top Extractions</t>
  </si>
  <si>
    <t>Bottom Extractions</t>
  </si>
  <si>
    <t>Dismantled Extractions</t>
  </si>
  <si>
    <t>Calc Volume (cm3)</t>
  </si>
  <si>
    <t>Simp. Diff</t>
  </si>
  <si>
    <t>Simp. Radius</t>
  </si>
  <si>
    <t>Rect</t>
  </si>
  <si>
    <t>Cut- teardrop</t>
  </si>
  <si>
    <t>My shape</t>
  </si>
  <si>
    <t>Air Vol</t>
  </si>
  <si>
    <t>Num Air Vol</t>
  </si>
  <si>
    <t>Neil</t>
  </si>
  <si>
    <t>Darrell</t>
  </si>
  <si>
    <t>Available Fe</t>
  </si>
  <si>
    <t>Fe% Calc</t>
  </si>
  <si>
    <t>Yield Gromps</t>
  </si>
  <si>
    <t>Slag (Kg) - No Gromps</t>
  </si>
  <si>
    <t>Fe% No Slag/Gromps</t>
  </si>
  <si>
    <t>Fe% Gromps</t>
  </si>
  <si>
    <t>Fe% Slag</t>
  </si>
  <si>
    <t>Fe% Slag &amp; Gromps</t>
  </si>
  <si>
    <t>Gromps (Kg) no slag</t>
  </si>
  <si>
    <t>Slag (Kg) with Gromps</t>
  </si>
  <si>
    <t>Gromps (Kg) with Slag</t>
  </si>
  <si>
    <t>Vinland #</t>
  </si>
  <si>
    <t>Iceland #</t>
  </si>
  <si>
    <t>Turf Tool #</t>
  </si>
  <si>
    <t>Slags' SiO2 + Al2O3 (Kg)</t>
  </si>
  <si>
    <t>Slag %</t>
  </si>
  <si>
    <t>Times Used</t>
  </si>
  <si>
    <t>Reused?</t>
  </si>
  <si>
    <t>Ore Mass (Kg)</t>
  </si>
  <si>
    <t>Total Ore (Kg)</t>
  </si>
  <si>
    <t>Preheat (hh:mm)</t>
  </si>
  <si>
    <t>Main Sequence (hh:mm)</t>
  </si>
  <si>
    <t>TEACHING</t>
  </si>
  <si>
    <t>VINLAND</t>
  </si>
  <si>
    <t>ICELANDIC</t>
  </si>
  <si>
    <t>TURF to TOOLS</t>
  </si>
  <si>
    <t>AIR</t>
  </si>
  <si>
    <t>Turf to Tools</t>
  </si>
  <si>
    <t>CALCULATED</t>
  </si>
  <si>
    <t>WIND</t>
  </si>
  <si>
    <t>POWER</t>
  </si>
  <si>
    <t>PLATE</t>
  </si>
  <si>
    <t>TUBE</t>
  </si>
  <si>
    <t>Int. Dia (cm)</t>
  </si>
  <si>
    <t>Tuyere Dia (cm)</t>
  </si>
  <si>
    <t>Area (cm2)</t>
  </si>
  <si>
    <t>Numeric Air Volume</t>
  </si>
  <si>
    <t>Trimmed Average</t>
  </si>
  <si>
    <t>Avg plate/hole</t>
  </si>
  <si>
    <t>Yield smelts 26-&gt;70</t>
  </si>
  <si>
    <t>Trimmed</t>
  </si>
  <si>
    <t>Yield smelts 88-98</t>
  </si>
  <si>
    <t>Inc</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</si>
</sst>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quot;-&quot;mmm&quot;-&quot;yy"/>
    <numFmt numFmtId="165" formatCode="0.0"/>
    <numFmt numFmtId="166" formatCode="0.0%"/>
    <numFmt numFmtId="167" formatCode="#,##0.0"/>
  </numFmts>
  <fonts count="21">
    <font>
      <sz val="9.0"/>
      <color rgb="FF000000"/>
      <name val="Arimo"/>
      <scheme val="minor"/>
    </font>
    <font>
      <b/>
      <sz val="10.0"/>
      <color theme="1"/>
      <name val="Arimo"/>
    </font>
    <font>
      <b/>
      <i/>
      <sz val="10.0"/>
      <color theme="1"/>
      <name val="Arimo"/>
    </font>
    <font>
      <b/>
      <sz val="10.0"/>
      <color theme="1"/>
      <name val="Arial"/>
    </font>
    <font>
      <sz val="10.0"/>
      <color theme="1"/>
      <name val="Arial"/>
    </font>
    <font>
      <i/>
      <sz val="10.0"/>
      <color theme="1"/>
      <name val="Arial"/>
    </font>
    <font>
      <sz val="10.0"/>
      <color theme="1"/>
      <name val="Arimo"/>
    </font>
    <font>
      <i/>
      <sz val="10.0"/>
      <color theme="1"/>
      <name val="Arimo"/>
    </font>
    <font>
      <sz val="9.0"/>
      <color theme="1"/>
      <name val="Arimo"/>
      <scheme val="minor"/>
    </font>
    <font>
      <color theme="1"/>
      <name val="Arimo"/>
      <scheme val="minor"/>
    </font>
    <font>
      <color theme="1"/>
      <name val="Arimo"/>
    </font>
    <font>
      <color theme="1"/>
      <name val="Arial"/>
    </font>
    <font>
      <sz val="10.0"/>
      <color theme="1"/>
      <name val="Arimo"/>
      <scheme val="minor"/>
    </font>
    <font>
      <sz val="10.0"/>
      <color rgb="FF000000"/>
      <name val="Arial"/>
    </font>
    <font>
      <sz val="9.0"/>
      <color rgb="FF000000"/>
      <name val="Arimo"/>
    </font>
    <font>
      <i/>
      <sz val="9.0"/>
      <color rgb="FF000000"/>
      <name val="Arimo"/>
    </font>
    <font>
      <b/>
      <color theme="1"/>
      <name val="Arimo"/>
      <scheme val="minor"/>
    </font>
    <font/>
    <font>
      <i/>
      <color theme="1"/>
      <name val="Arimo"/>
      <scheme val="minor"/>
    </font>
    <font>
      <b/>
      <color rgb="FF000000"/>
      <name val="Arial"/>
    </font>
    <font>
      <color rgb="FF000000"/>
      <name val="Arial"/>
    </font>
  </fonts>
  <fills count="19">
    <fill>
      <patternFill patternType="none"/>
    </fill>
    <fill>
      <patternFill patternType="lightGray"/>
    </fill>
    <fill>
      <patternFill patternType="solid">
        <fgColor rgb="FFF8F9FA"/>
        <bgColor rgb="FFF8F9FA"/>
      </patternFill>
    </fill>
    <fill>
      <patternFill patternType="solid">
        <fgColor rgb="FFF4CCCC"/>
        <bgColor rgb="FFF4CCCC"/>
      </patternFill>
    </fill>
    <fill>
      <patternFill patternType="solid">
        <fgColor rgb="FFFFF2CC"/>
        <bgColor rgb="FFFFF2CC"/>
      </patternFill>
    </fill>
    <fill>
      <patternFill patternType="solid">
        <fgColor rgb="FFFFFF00"/>
        <bgColor rgb="FFFFFF00"/>
      </patternFill>
    </fill>
    <fill>
      <patternFill patternType="solid">
        <fgColor rgb="FFF3F3F3"/>
        <bgColor rgb="FFF3F3F3"/>
      </patternFill>
    </fill>
    <fill>
      <patternFill patternType="solid">
        <fgColor rgb="FFCFE2F3"/>
        <bgColor rgb="FFCFE2F3"/>
      </patternFill>
    </fill>
    <fill>
      <patternFill patternType="solid">
        <fgColor rgb="FFFDE9D9"/>
        <bgColor rgb="FFFDE9D9"/>
      </patternFill>
    </fill>
    <fill>
      <patternFill patternType="solid">
        <fgColor rgb="FFDAEEF3"/>
        <bgColor rgb="FFDAEEF3"/>
      </patternFill>
    </fill>
    <fill>
      <patternFill patternType="solid">
        <fgColor rgb="FFDDD9C4"/>
        <bgColor rgb="FFDDD9C4"/>
      </patternFill>
    </fill>
    <fill>
      <patternFill patternType="solid">
        <fgColor rgb="FFE4DFEC"/>
        <bgColor rgb="FFE4DFEC"/>
      </patternFill>
    </fill>
    <fill>
      <patternFill patternType="solid">
        <fgColor rgb="FFF2DCDB"/>
        <bgColor rgb="FFF2DCDB"/>
      </patternFill>
    </fill>
    <fill>
      <patternFill patternType="solid">
        <fgColor rgb="FFF1C232"/>
        <bgColor rgb="FFF1C232"/>
      </patternFill>
    </fill>
    <fill>
      <patternFill patternType="solid">
        <fgColor rgb="FFFCE5CD"/>
        <bgColor rgb="FFFCE5CD"/>
      </patternFill>
    </fill>
    <fill>
      <patternFill patternType="solid">
        <fgColor rgb="FFD9EAD3"/>
        <bgColor rgb="FFD9EAD3"/>
      </patternFill>
    </fill>
    <fill>
      <patternFill patternType="solid">
        <fgColor rgb="FFD9D2E9"/>
        <bgColor rgb="FFD9D2E9"/>
      </patternFill>
    </fill>
    <fill>
      <patternFill patternType="solid">
        <fgColor rgb="FFEBF1DE"/>
        <bgColor rgb="FFEBF1DE"/>
      </patternFill>
    </fill>
    <fill>
      <patternFill patternType="solid">
        <fgColor rgb="FFC5D9F1"/>
        <bgColor rgb="FFC5D9F1"/>
      </patternFill>
    </fill>
  </fills>
  <borders count="39">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top style="thin">
        <color rgb="FF000000"/>
      </top>
      <bottom style="thin">
        <color rgb="FF000000"/>
      </bottom>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rder>
    <border>
      <right style="thick">
        <color rgb="FF000000"/>
      </right>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0000"/>
      </left>
      <right style="thin">
        <color rgb="FF000000"/>
      </right>
      <top style="thick">
        <color rgb="FF000000"/>
      </top>
      <bottom style="thick">
        <color rgb="FF000000"/>
      </bottom>
    </border>
    <border>
      <left style="thin">
        <color rgb="FF000000"/>
      </left>
      <right style="thin">
        <color rgb="FF000000"/>
      </right>
      <top style="thick">
        <color rgb="FF000000"/>
      </top>
      <bottom style="thick">
        <color rgb="FF000000"/>
      </bottom>
    </border>
    <border>
      <left style="thin">
        <color rgb="FF000000"/>
      </left>
      <right style="thick">
        <color rgb="FF000000"/>
      </right>
      <top style="thick">
        <color rgb="FF000000"/>
      </top>
      <bottom style="thick">
        <color rgb="FF000000"/>
      </bottom>
    </border>
    <border>
      <left style="thick">
        <color rgb="FF000000"/>
      </left>
      <right style="thin">
        <color rgb="FF000000"/>
      </right>
      <bottom style="thin">
        <color rgb="FF000000"/>
      </bottom>
    </border>
    <border>
      <left style="thin">
        <color rgb="FF000000"/>
      </left>
      <right style="thick">
        <color rgb="FF000000"/>
      </right>
      <bottom style="thin">
        <color rgb="FF000000"/>
      </bottom>
    </border>
    <border>
      <left style="thick">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ck">
        <color rgb="FF000000"/>
      </left>
      <right style="thin">
        <color rgb="FF000000"/>
      </right>
      <top style="thin">
        <color rgb="FF000000"/>
      </top>
      <bottom style="thick">
        <color rgb="FF000000"/>
      </bottom>
    </border>
    <border>
      <left style="thin">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left style="thin">
        <color rgb="FF000000"/>
      </left>
      <top style="thick">
        <color rgb="FF000000"/>
      </top>
      <bottom style="thick">
        <color rgb="FF000000"/>
      </bottom>
    </border>
    <border>
      <left style="thin">
        <color rgb="FF000000"/>
      </left>
      <right style="thin">
        <color rgb="FF000000"/>
      </right>
      <top style="thick">
        <color rgb="FF000000"/>
      </top>
      <bottom style="thin">
        <color rgb="FF000000"/>
      </bottom>
    </border>
    <border>
      <left style="thin">
        <color rgb="FF000000"/>
      </left>
      <top style="thin">
        <color rgb="FF000000"/>
      </top>
      <bottom style="thick">
        <color rgb="FF000000"/>
      </bottom>
    </border>
    <border>
      <left style="thick">
        <color rgb="FF000000"/>
      </left>
      <right style="thin">
        <color rgb="FF000000"/>
      </right>
      <top style="thin">
        <color rgb="FF000000"/>
      </top>
    </border>
    <border>
      <left style="thin">
        <color rgb="FF000000"/>
      </left>
      <right style="thin">
        <color rgb="FF000000"/>
      </right>
    </border>
    <border>
      <left style="thin">
        <color rgb="FF000000"/>
      </left>
      <right style="thick">
        <color rgb="FF000000"/>
      </right>
    </border>
    <border>
      <left style="thick">
        <color rgb="FF000000"/>
      </left>
      <right style="thick">
        <color rgb="FF000000"/>
      </right>
      <top style="thick">
        <color rgb="FF000000"/>
      </top>
      <bottom style="thick">
        <color rgb="FF000000"/>
      </bottom>
    </border>
    <border>
      <left style="thick">
        <color rgb="FF000000"/>
      </left>
      <right style="thin">
        <color rgb="FF000000"/>
      </right>
      <top style="thick">
        <color rgb="FF000000"/>
      </top>
      <bottom style="thin">
        <color rgb="FF000000"/>
      </bottom>
    </border>
    <border>
      <left style="thin">
        <color rgb="FF000000"/>
      </left>
      <right style="thick">
        <color rgb="FF000000"/>
      </right>
      <top style="thick">
        <color rgb="FF000000"/>
      </top>
      <bottom style="thin">
        <color rgb="FF000000"/>
      </bottom>
    </border>
    <border>
      <left style="thin">
        <color rgb="FF000000"/>
      </left>
      <right style="thick">
        <color rgb="FF000000"/>
      </right>
      <top style="thin">
        <color rgb="FF000000"/>
      </top>
    </border>
    <border>
      <left style="thick">
        <color rgb="FF000000"/>
      </left>
      <right style="thin">
        <color rgb="FF000000"/>
      </right>
    </border>
    <border>
      <left style="thin">
        <color rgb="FF000000"/>
      </left>
      <right style="thin">
        <color rgb="FF000000"/>
      </right>
      <bottom style="thick">
        <color rgb="FF000000"/>
      </bottom>
    </border>
  </borders>
  <cellStyleXfs count="1">
    <xf borderId="0" fillId="0" fontId="0" numFmtId="0" applyAlignment="1" applyFont="1"/>
  </cellStyleXfs>
  <cellXfs count="393">
    <xf borderId="0" fillId="0" fontId="0" numFmtId="0" xfId="0" applyAlignment="1" applyFont="1">
      <alignment readingOrder="0" shrinkToFit="0" vertical="bottom" wrapText="0"/>
    </xf>
    <xf borderId="0" fillId="0" fontId="1" numFmtId="0" xfId="0" applyAlignment="1" applyFont="1">
      <alignment horizontal="center" readingOrder="0" shrinkToFit="0" wrapText="1"/>
    </xf>
    <xf borderId="0" fillId="0" fontId="1" numFmtId="164" xfId="0" applyAlignment="1" applyFont="1" applyNumberFormat="1">
      <alignment horizontal="center" readingOrder="0" shrinkToFit="0" wrapText="1"/>
    </xf>
    <xf borderId="0" fillId="0" fontId="1" numFmtId="1" xfId="0" applyAlignment="1" applyFont="1" applyNumberFormat="1">
      <alignment horizontal="center" readingOrder="0" shrinkToFit="0" wrapText="1"/>
    </xf>
    <xf borderId="0" fillId="0" fontId="2" numFmtId="1" xfId="0" applyAlignment="1" applyFont="1" applyNumberFormat="1">
      <alignment horizontal="center" readingOrder="0" shrinkToFit="0" wrapText="1"/>
    </xf>
    <xf borderId="0" fillId="0" fontId="3" numFmtId="0" xfId="0" applyAlignment="1" applyFont="1">
      <alignment horizontal="center" readingOrder="0" shrinkToFit="0" wrapText="1"/>
    </xf>
    <xf borderId="0" fillId="0" fontId="1" numFmtId="0" xfId="0" applyAlignment="1" applyFont="1">
      <alignment horizontal="center" readingOrder="0" shrinkToFit="0" vertical="bottom" wrapText="1"/>
    </xf>
    <xf borderId="0" fillId="0" fontId="2" numFmtId="0" xfId="0" applyAlignment="1" applyFont="1">
      <alignment horizontal="center" readingOrder="0" shrinkToFit="0" wrapText="1"/>
    </xf>
    <xf borderId="0" fillId="0" fontId="1" numFmtId="165" xfId="0" applyAlignment="1" applyFont="1" applyNumberFormat="1">
      <alignment horizontal="center" readingOrder="0" shrinkToFit="0" wrapText="1"/>
    </xf>
    <xf borderId="0" fillId="0" fontId="1" numFmtId="4" xfId="0" applyAlignment="1" applyFont="1" applyNumberFormat="1">
      <alignment horizontal="center" readingOrder="0" shrinkToFit="0" wrapText="1"/>
    </xf>
    <xf borderId="0" fillId="0" fontId="1" numFmtId="0" xfId="0" applyAlignment="1" applyFont="1">
      <alignment horizontal="center" shrinkToFit="0" wrapText="1"/>
    </xf>
    <xf borderId="1" fillId="0" fontId="4" numFmtId="0" xfId="0" applyAlignment="1" applyBorder="1" applyFont="1">
      <alignment horizontal="center"/>
    </xf>
    <xf borderId="2" fillId="0" fontId="4" numFmtId="0" xfId="0" applyAlignment="1" applyBorder="1" applyFont="1">
      <alignment horizontal="center"/>
    </xf>
    <xf borderId="2" fillId="0" fontId="4" numFmtId="164" xfId="0" applyAlignment="1" applyBorder="1" applyFont="1" applyNumberFormat="1">
      <alignment horizontal="center"/>
    </xf>
    <xf borderId="2" fillId="0" fontId="4" numFmtId="0" xfId="0" applyAlignment="1" applyBorder="1" applyFont="1">
      <alignment horizontal="center" readingOrder="0"/>
    </xf>
    <xf borderId="2" fillId="0" fontId="4" numFmtId="1" xfId="0" applyAlignment="1" applyBorder="1" applyFont="1" applyNumberFormat="1">
      <alignment horizontal="center"/>
    </xf>
    <xf borderId="2" fillId="0" fontId="5" numFmtId="0" xfId="0" applyAlignment="1" applyBorder="1" applyFont="1">
      <alignment horizontal="center" readingOrder="0"/>
    </xf>
    <xf borderId="2" fillId="0" fontId="5" numFmtId="1" xfId="0" applyAlignment="1" applyBorder="1" applyFont="1" applyNumberFormat="1">
      <alignment horizontal="center"/>
    </xf>
    <xf borderId="2" fillId="0" fontId="4" numFmtId="165" xfId="0" applyAlignment="1" applyBorder="1" applyFont="1" applyNumberFormat="1">
      <alignment horizontal="center"/>
    </xf>
    <xf borderId="2" fillId="0" fontId="4" numFmtId="166" xfId="0" applyAlignment="1" applyBorder="1" applyFont="1" applyNumberFormat="1">
      <alignment horizontal="center"/>
    </xf>
    <xf borderId="2" fillId="0" fontId="6" numFmtId="2" xfId="0" applyAlignment="1" applyBorder="1" applyFont="1" applyNumberFormat="1">
      <alignment horizontal="center"/>
    </xf>
    <xf borderId="2" fillId="0" fontId="6" numFmtId="2" xfId="0" applyAlignment="1" applyBorder="1" applyFont="1" applyNumberFormat="1">
      <alignment horizontal="center" readingOrder="0"/>
    </xf>
    <xf borderId="2" fillId="0" fontId="6" numFmtId="165" xfId="0" applyAlignment="1" applyBorder="1" applyFont="1" applyNumberFormat="1">
      <alignment horizontal="center"/>
    </xf>
    <xf borderId="2" fillId="0" fontId="6" numFmtId="0" xfId="0" applyAlignment="1" applyBorder="1" applyFont="1">
      <alignment horizontal="center" readingOrder="0" vertical="bottom"/>
    </xf>
    <xf borderId="2" fillId="0" fontId="6" numFmtId="0" xfId="0" applyAlignment="1" applyBorder="1" applyFont="1">
      <alignment horizontal="center"/>
    </xf>
    <xf borderId="2" fillId="0" fontId="7" numFmtId="0" xfId="0" applyAlignment="1" applyBorder="1" applyFont="1">
      <alignment horizontal="center"/>
    </xf>
    <xf borderId="2" fillId="0" fontId="7" numFmtId="165" xfId="0" applyAlignment="1" applyBorder="1" applyFont="1" applyNumberFormat="1">
      <alignment horizontal="center"/>
    </xf>
    <xf borderId="2" fillId="0" fontId="6" numFmtId="0" xfId="0" applyAlignment="1" applyBorder="1" applyFont="1">
      <alignment horizontal="center" readingOrder="0"/>
    </xf>
    <xf borderId="2" fillId="0" fontId="6" numFmtId="165" xfId="0" applyAlignment="1" applyBorder="1" applyFont="1" applyNumberFormat="1">
      <alignment horizontal="center" readingOrder="0"/>
    </xf>
    <xf borderId="2" fillId="0" fontId="6" numFmtId="4" xfId="0" applyAlignment="1" applyBorder="1" applyFont="1" applyNumberFormat="1">
      <alignment horizontal="center"/>
    </xf>
    <xf borderId="2" fillId="0" fontId="6" numFmtId="10" xfId="0" applyAlignment="1" applyBorder="1" applyFont="1" applyNumberFormat="1">
      <alignment horizontal="center"/>
    </xf>
    <xf borderId="2" fillId="0" fontId="6" numFmtId="10" xfId="0" applyAlignment="1" applyBorder="1" applyFont="1" applyNumberFormat="1">
      <alignment horizontal="center" readingOrder="0"/>
    </xf>
    <xf borderId="3" fillId="0" fontId="6" numFmtId="0" xfId="0" applyAlignment="1" applyBorder="1" applyFont="1">
      <alignment horizontal="center"/>
    </xf>
    <xf borderId="4" fillId="0" fontId="4" numFmtId="0" xfId="0" applyAlignment="1" applyBorder="1" applyFont="1">
      <alignment horizontal="center"/>
    </xf>
    <xf borderId="5" fillId="0" fontId="4" numFmtId="0" xfId="0" applyAlignment="1" applyBorder="1" applyFont="1">
      <alignment horizontal="center"/>
    </xf>
    <xf borderId="5" fillId="0" fontId="4" numFmtId="164" xfId="0" applyAlignment="1" applyBorder="1" applyFont="1" applyNumberFormat="1">
      <alignment horizontal="center"/>
    </xf>
    <xf borderId="5" fillId="0" fontId="4" numFmtId="0" xfId="0" applyAlignment="1" applyBorder="1" applyFont="1">
      <alignment horizontal="center" readingOrder="0"/>
    </xf>
    <xf borderId="5" fillId="0" fontId="4" numFmtId="1" xfId="0" applyAlignment="1" applyBorder="1" applyFont="1" applyNumberFormat="1">
      <alignment horizontal="center"/>
    </xf>
    <xf borderId="5" fillId="0" fontId="5" numFmtId="1" xfId="0" applyAlignment="1" applyBorder="1" applyFont="1" applyNumberFormat="1">
      <alignment horizontal="center"/>
    </xf>
    <xf borderId="5" fillId="0" fontId="4" numFmtId="0" xfId="0" applyAlignment="1" applyBorder="1" applyFont="1">
      <alignment horizontal="center" readingOrder="0"/>
    </xf>
    <xf borderId="5" fillId="0" fontId="6" numFmtId="0" xfId="0" applyAlignment="1" applyBorder="1" applyFont="1">
      <alignment horizontal="center" readingOrder="0" vertical="bottom"/>
    </xf>
    <xf borderId="5" fillId="0" fontId="6" numFmtId="0" xfId="0" applyAlignment="1" applyBorder="1" applyFont="1">
      <alignment horizontal="center"/>
    </xf>
    <xf borderId="5" fillId="0" fontId="7" numFmtId="0" xfId="0" applyAlignment="1" applyBorder="1" applyFont="1">
      <alignment horizontal="center" readingOrder="0"/>
    </xf>
    <xf borderId="5" fillId="0" fontId="6" numFmtId="0" xfId="0" applyAlignment="1" applyBorder="1" applyFont="1">
      <alignment horizontal="center" readingOrder="0"/>
    </xf>
    <xf borderId="5" fillId="0" fontId="6" numFmtId="165" xfId="0" applyAlignment="1" applyBorder="1" applyFont="1" applyNumberFormat="1">
      <alignment horizontal="center" readingOrder="0"/>
    </xf>
    <xf borderId="6" fillId="0" fontId="6" numFmtId="0" xfId="0" applyAlignment="1" applyBorder="1" applyFont="1">
      <alignment horizontal="center"/>
    </xf>
    <xf borderId="5" fillId="0" fontId="4" numFmtId="16" xfId="0" applyAlignment="1" applyBorder="1" applyFont="1" applyNumberFormat="1">
      <alignment horizontal="center"/>
    </xf>
    <xf borderId="5" fillId="0" fontId="7" numFmtId="0" xfId="0" applyAlignment="1" applyBorder="1" applyFont="1">
      <alignment horizontal="center"/>
    </xf>
    <xf borderId="5" fillId="0" fontId="6" numFmtId="20" xfId="0" applyAlignment="1" applyBorder="1" applyFont="1" applyNumberFormat="1">
      <alignment horizontal="center"/>
    </xf>
    <xf borderId="5" fillId="0" fontId="7" numFmtId="1" xfId="0" applyAlignment="1" applyBorder="1" applyFont="1" applyNumberFormat="1">
      <alignment horizontal="center"/>
    </xf>
    <xf borderId="5" fillId="0" fontId="6" numFmtId="167" xfId="0" applyAlignment="1" applyBorder="1" applyFont="1" applyNumberFormat="1">
      <alignment horizontal="center"/>
    </xf>
    <xf borderId="5" fillId="0" fontId="5" numFmtId="0" xfId="0" applyAlignment="1" applyBorder="1" applyFont="1">
      <alignment horizontal="center" readingOrder="0"/>
    </xf>
    <xf borderId="0" fillId="0" fontId="8" numFmtId="0" xfId="0" applyAlignment="1" applyFont="1">
      <alignment horizontal="center"/>
    </xf>
    <xf borderId="5" fillId="0" fontId="6" numFmtId="165" xfId="0" applyAlignment="1" applyBorder="1" applyFont="1" applyNumberFormat="1">
      <alignment horizontal="center"/>
    </xf>
    <xf borderId="5" fillId="0" fontId="4" numFmtId="164" xfId="0" applyAlignment="1" applyBorder="1" applyFont="1" applyNumberFormat="1">
      <alignment readingOrder="0"/>
    </xf>
    <xf borderId="5" fillId="0" fontId="4" numFmtId="165" xfId="0" applyAlignment="1" applyBorder="1" applyFont="1" applyNumberFormat="1">
      <alignment horizontal="center" readingOrder="0"/>
    </xf>
    <xf borderId="5" fillId="0" fontId="7" numFmtId="165" xfId="0" applyAlignment="1" applyBorder="1" applyFont="1" applyNumberFormat="1">
      <alignment horizontal="center"/>
    </xf>
    <xf borderId="5" fillId="0" fontId="6" numFmtId="1" xfId="0" applyAlignment="1" applyBorder="1" applyFont="1" applyNumberFormat="1">
      <alignment horizontal="center" readingOrder="0"/>
    </xf>
    <xf borderId="2" fillId="0" fontId="6" numFmtId="4" xfId="0" applyAlignment="1" applyBorder="1" applyFont="1" applyNumberFormat="1">
      <alignment horizontal="center" readingOrder="0"/>
    </xf>
    <xf borderId="5" fillId="0" fontId="6" numFmtId="3" xfId="0" applyAlignment="1" applyBorder="1" applyFont="1" applyNumberFormat="1">
      <alignment horizontal="center"/>
    </xf>
    <xf borderId="5" fillId="0" fontId="7" numFmtId="165" xfId="0" applyAlignment="1" applyBorder="1" applyFont="1" applyNumberFormat="1">
      <alignment horizontal="center" readingOrder="0"/>
    </xf>
    <xf borderId="5" fillId="0" fontId="6" numFmtId="165" xfId="0" applyAlignment="1" applyBorder="1" applyFont="1" applyNumberFormat="1">
      <alignment horizontal="center" readingOrder="0" vertical="bottom"/>
    </xf>
    <xf borderId="4" fillId="0" fontId="4" numFmtId="0" xfId="0" applyAlignment="1" applyBorder="1" applyFont="1">
      <alignment horizontal="center" readingOrder="0"/>
    </xf>
    <xf borderId="5" fillId="0" fontId="4" numFmtId="165" xfId="0" applyAlignment="1" applyBorder="1" applyFont="1" applyNumberFormat="1">
      <alignment horizontal="center"/>
    </xf>
    <xf borderId="2" fillId="0" fontId="4" numFmtId="166" xfId="0" applyAlignment="1" applyBorder="1" applyFont="1" applyNumberFormat="1">
      <alignment horizontal="center" readingOrder="0"/>
    </xf>
    <xf borderId="7" fillId="0" fontId="6" numFmtId="0" xfId="0" applyAlignment="1" applyBorder="1" applyFont="1">
      <alignment horizontal="center" readingOrder="0"/>
    </xf>
    <xf borderId="0" fillId="0" fontId="9" numFmtId="0" xfId="0" applyAlignment="1" applyFont="1">
      <alignment horizontal="center" readingOrder="0"/>
    </xf>
    <xf quotePrefix="1" borderId="5" fillId="0" fontId="4" numFmtId="0" xfId="0" applyAlignment="1" applyBorder="1" applyFont="1">
      <alignment horizontal="center"/>
    </xf>
    <xf borderId="5" fillId="2" fontId="4" numFmtId="0" xfId="0" applyAlignment="1" applyBorder="1" applyFill="1" applyFont="1">
      <alignment horizontal="center" readingOrder="0"/>
    </xf>
    <xf borderId="5" fillId="0" fontId="6" numFmtId="0" xfId="0" applyAlignment="1" applyBorder="1" applyFont="1">
      <alignment horizontal="center" vertical="bottom"/>
    </xf>
    <xf borderId="7" fillId="0" fontId="10" numFmtId="0" xfId="0" applyAlignment="1" applyBorder="1" applyFont="1">
      <alignment horizontal="center" vertical="bottom"/>
    </xf>
    <xf borderId="5" fillId="0" fontId="11" numFmtId="0" xfId="0" applyAlignment="1" applyBorder="1" applyFont="1">
      <alignment horizontal="center" vertical="bottom"/>
    </xf>
    <xf borderId="0" fillId="0" fontId="12" numFmtId="0" xfId="0" applyAlignment="1" applyFont="1">
      <alignment horizontal="center" readingOrder="0"/>
    </xf>
    <xf borderId="2" fillId="0" fontId="4" numFmtId="165" xfId="0" applyAlignment="1" applyBorder="1" applyFont="1" applyNumberFormat="1">
      <alignment horizontal="center" readingOrder="0"/>
    </xf>
    <xf borderId="8" fillId="0" fontId="5" numFmtId="1" xfId="0" applyAlignment="1" applyBorder="1" applyFont="1" applyNumberFormat="1">
      <alignment horizontal="center" readingOrder="0" shrinkToFit="0" vertical="bottom" wrapText="0"/>
    </xf>
    <xf borderId="5" fillId="0" fontId="4" numFmtId="1" xfId="0" applyAlignment="1" applyBorder="1" applyFont="1" applyNumberFormat="1">
      <alignment horizontal="center" readingOrder="0"/>
    </xf>
    <xf borderId="8" fillId="0" fontId="5" numFmtId="1" xfId="0" applyAlignment="1" applyBorder="1" applyFont="1" applyNumberFormat="1">
      <alignment horizontal="center" shrinkToFit="0" vertical="bottom" wrapText="0"/>
    </xf>
    <xf borderId="5" fillId="0" fontId="6" numFmtId="166" xfId="0" applyAlignment="1" applyBorder="1" applyFont="1" applyNumberFormat="1">
      <alignment horizontal="center"/>
    </xf>
    <xf borderId="5" fillId="0" fontId="5" numFmtId="0" xfId="0" applyAlignment="1" applyBorder="1" applyFont="1">
      <alignment horizontal="center"/>
    </xf>
    <xf borderId="5" fillId="0" fontId="13" numFmtId="0" xfId="0" applyAlignment="1" applyBorder="1" applyFont="1">
      <alignment horizontal="center"/>
    </xf>
    <xf borderId="5" fillId="0" fontId="14" numFmtId="0" xfId="0" applyBorder="1" applyFont="1"/>
    <xf borderId="7" fillId="0" fontId="6" numFmtId="0" xfId="0" applyAlignment="1" applyBorder="1" applyFont="1">
      <alignment horizontal="center"/>
    </xf>
    <xf borderId="5" fillId="0" fontId="4" numFmtId="164" xfId="0" applyAlignment="1" applyBorder="1" applyFont="1" applyNumberFormat="1">
      <alignment horizontal="center" readingOrder="0"/>
    </xf>
    <xf borderId="5" fillId="0" fontId="14" numFmtId="0" xfId="0" applyAlignment="1" applyBorder="1" applyFont="1">
      <alignment horizontal="center" readingOrder="0"/>
    </xf>
    <xf borderId="5" fillId="0" fontId="13" numFmtId="0" xfId="0" applyAlignment="1" applyBorder="1" applyFont="1">
      <alignment horizontal="center" readingOrder="0"/>
    </xf>
    <xf borderId="2" fillId="0" fontId="5" numFmtId="0" xfId="0" applyAlignment="1" applyBorder="1" applyFont="1">
      <alignment horizontal="center"/>
    </xf>
    <xf borderId="2" fillId="0" fontId="6" numFmtId="49" xfId="0" applyAlignment="1" applyBorder="1" applyFont="1" applyNumberFormat="1">
      <alignment horizontal="center" readingOrder="0"/>
    </xf>
    <xf borderId="5" fillId="0" fontId="4" numFmtId="17" xfId="0" applyAlignment="1" applyBorder="1" applyFont="1" applyNumberFormat="1">
      <alignment horizontal="center"/>
    </xf>
    <xf quotePrefix="1" borderId="5" fillId="0" fontId="6" numFmtId="0" xfId="0" applyAlignment="1" applyBorder="1" applyFont="1">
      <alignment horizontal="center"/>
    </xf>
    <xf borderId="4" fillId="0" fontId="6" numFmtId="0" xfId="0" applyAlignment="1" applyBorder="1" applyFont="1">
      <alignment horizontal="center"/>
    </xf>
    <xf borderId="5" fillId="0" fontId="6" numFmtId="164" xfId="0" applyAlignment="1" applyBorder="1" applyFont="1" applyNumberFormat="1">
      <alignment horizontal="center"/>
    </xf>
    <xf borderId="4" fillId="0" fontId="6" numFmtId="0" xfId="0" applyAlignment="1" applyBorder="1" applyFont="1">
      <alignment horizontal="center" readingOrder="0"/>
    </xf>
    <xf borderId="2" fillId="0" fontId="1" numFmtId="0" xfId="0" applyAlignment="1" applyBorder="1" applyFont="1">
      <alignment horizontal="center"/>
    </xf>
    <xf borderId="5" fillId="0" fontId="4" numFmtId="166" xfId="0" applyAlignment="1" applyBorder="1" applyFont="1" applyNumberFormat="1">
      <alignment horizontal="center"/>
    </xf>
    <xf borderId="5" fillId="0" fontId="6" numFmtId="2" xfId="0" applyAlignment="1" applyBorder="1" applyFont="1" applyNumberFormat="1">
      <alignment horizontal="center"/>
    </xf>
    <xf borderId="5" fillId="0" fontId="6" numFmtId="2" xfId="0" applyAlignment="1" applyBorder="1" applyFont="1" applyNumberFormat="1">
      <alignment horizontal="center" readingOrder="0"/>
    </xf>
    <xf borderId="5" fillId="0" fontId="6" numFmtId="10" xfId="0" applyAlignment="1" applyBorder="1" applyFont="1" applyNumberFormat="1">
      <alignment horizontal="center"/>
    </xf>
    <xf borderId="5" fillId="0" fontId="6" numFmtId="4" xfId="0" applyAlignment="1" applyBorder="1" applyFont="1" applyNumberFormat="1">
      <alignment horizontal="center"/>
    </xf>
    <xf borderId="5" fillId="0" fontId="6" numFmtId="10" xfId="0" applyAlignment="1" applyBorder="1" applyFont="1" applyNumberFormat="1">
      <alignment horizontal="center" readingOrder="0"/>
    </xf>
    <xf borderId="5" fillId="0" fontId="6" numFmtId="164" xfId="0" applyAlignment="1" applyBorder="1" applyFont="1" applyNumberFormat="1">
      <alignment horizontal="center" readingOrder="0"/>
    </xf>
    <xf borderId="5" fillId="0" fontId="6" numFmtId="1" xfId="0" applyAlignment="1" applyBorder="1" applyFont="1" applyNumberFormat="1">
      <alignment horizontal="center"/>
    </xf>
    <xf borderId="0" fillId="0" fontId="6" numFmtId="0" xfId="0" applyAlignment="1" applyFont="1">
      <alignment horizontal="center"/>
    </xf>
    <xf borderId="5" fillId="0" fontId="6" numFmtId="0" xfId="0" applyAlignment="1" applyBorder="1" applyFont="1">
      <alignment vertical="bottom"/>
    </xf>
    <xf borderId="0" fillId="0" fontId="6" numFmtId="164" xfId="0" applyAlignment="1" applyFont="1" applyNumberFormat="1">
      <alignment horizontal="center"/>
    </xf>
    <xf borderId="0" fillId="0" fontId="6" numFmtId="1" xfId="0" applyAlignment="1" applyFont="1" applyNumberFormat="1">
      <alignment horizontal="center"/>
    </xf>
    <xf borderId="0" fillId="0" fontId="7" numFmtId="1" xfId="0" applyAlignment="1" applyFont="1" applyNumberFormat="1">
      <alignment horizontal="center"/>
    </xf>
    <xf borderId="0" fillId="0" fontId="4" numFmtId="0" xfId="0" applyAlignment="1" applyFont="1">
      <alignment horizontal="center"/>
    </xf>
    <xf borderId="0" fillId="0" fontId="6" numFmtId="0" xfId="0" applyAlignment="1" applyFont="1">
      <alignment vertical="bottom"/>
    </xf>
    <xf borderId="0" fillId="0" fontId="7" numFmtId="0" xfId="0" applyAlignment="1" applyFont="1">
      <alignment horizontal="center"/>
    </xf>
    <xf borderId="0" fillId="0" fontId="6" numFmtId="165" xfId="0" applyAlignment="1" applyFont="1" applyNumberFormat="1">
      <alignment horizontal="center"/>
    </xf>
    <xf borderId="0" fillId="0" fontId="6" numFmtId="4" xfId="0" applyAlignment="1" applyFont="1" applyNumberFormat="1">
      <alignment horizontal="center"/>
    </xf>
    <xf borderId="0" fillId="0" fontId="14" numFmtId="0" xfId="0" applyAlignment="1" applyFont="1">
      <alignment horizontal="center"/>
    </xf>
    <xf borderId="0" fillId="0" fontId="9" numFmtId="164" xfId="0" applyFont="1" applyNumberFormat="1"/>
    <xf borderId="0" fillId="0" fontId="14" numFmtId="1" xfId="0" applyFont="1" applyNumberFormat="1"/>
    <xf borderId="0" fillId="0" fontId="15" numFmtId="1" xfId="0" applyFont="1" applyNumberFormat="1"/>
    <xf borderId="0" fillId="0" fontId="4" numFmtId="0" xfId="0" applyAlignment="1" applyFont="1">
      <alignment horizontal="center"/>
    </xf>
    <xf borderId="0" fillId="0" fontId="4" numFmtId="0" xfId="0" applyFont="1"/>
    <xf borderId="0" fillId="0" fontId="14" numFmtId="0" xfId="0" applyFont="1"/>
    <xf borderId="0" fillId="0" fontId="6" numFmtId="0" xfId="0" applyAlignment="1" applyFont="1">
      <alignment vertical="bottom"/>
    </xf>
    <xf borderId="0" fillId="0" fontId="15" numFmtId="0" xfId="0" applyFont="1"/>
    <xf borderId="0" fillId="0" fontId="14" numFmtId="165" xfId="0" applyFont="1" applyNumberFormat="1"/>
    <xf borderId="0" fillId="0" fontId="14" numFmtId="4" xfId="0" applyFont="1" applyNumberFormat="1"/>
    <xf borderId="0" fillId="0" fontId="9" numFmtId="4" xfId="0" applyFont="1" applyNumberFormat="1"/>
    <xf borderId="0" fillId="0" fontId="16" numFmtId="0" xfId="0" applyAlignment="1" applyFont="1">
      <alignment readingOrder="0"/>
    </xf>
    <xf borderId="0" fillId="0" fontId="16" numFmtId="165" xfId="0" applyAlignment="1" applyFont="1" applyNumberFormat="1">
      <alignment readingOrder="0"/>
    </xf>
    <xf borderId="0" fillId="0" fontId="9" numFmtId="0" xfId="0" applyAlignment="1" applyFont="1">
      <alignment readingOrder="0"/>
    </xf>
    <xf borderId="0" fillId="0" fontId="9" numFmtId="0" xfId="0" applyFont="1"/>
    <xf borderId="0" fillId="0" fontId="9" numFmtId="49" xfId="0" applyFont="1" applyNumberFormat="1"/>
    <xf borderId="0" fillId="0" fontId="8" numFmtId="0" xfId="0" applyFont="1"/>
    <xf borderId="0" fillId="0" fontId="8" numFmtId="0" xfId="0" applyAlignment="1" applyFont="1">
      <alignment readingOrder="0"/>
    </xf>
    <xf borderId="0" fillId="0" fontId="9" numFmtId="10" xfId="0" applyFont="1" applyNumberFormat="1"/>
    <xf borderId="5" fillId="0" fontId="9" numFmtId="0" xfId="0" applyBorder="1" applyFont="1"/>
    <xf borderId="6" fillId="0" fontId="16" numFmtId="0" xfId="0" applyAlignment="1" applyBorder="1" applyFont="1">
      <alignment horizontal="center" readingOrder="0"/>
    </xf>
    <xf borderId="8" fillId="0" fontId="17" numFmtId="0" xfId="0" applyBorder="1" applyFont="1"/>
    <xf borderId="4" fillId="0" fontId="17" numFmtId="0" xfId="0" applyBorder="1" applyFont="1"/>
    <xf borderId="5" fillId="0" fontId="16" numFmtId="0" xfId="0" applyAlignment="1" applyBorder="1" applyFont="1">
      <alignment readingOrder="0"/>
    </xf>
    <xf borderId="5" fillId="0" fontId="16" numFmtId="0" xfId="0" applyAlignment="1" applyBorder="1" applyFont="1">
      <alignment readingOrder="0" shrinkToFit="0" wrapText="1"/>
    </xf>
    <xf borderId="5" fillId="0" fontId="16" numFmtId="0" xfId="0" applyAlignment="1" applyBorder="1" applyFont="1">
      <alignment readingOrder="0"/>
    </xf>
    <xf borderId="5" fillId="0" fontId="9" numFmtId="3" xfId="0" applyBorder="1" applyFont="1" applyNumberFormat="1"/>
    <xf borderId="5" fillId="0" fontId="9" numFmtId="10" xfId="0" applyBorder="1" applyFont="1" applyNumberFormat="1"/>
    <xf borderId="5" fillId="0" fontId="9" numFmtId="9" xfId="0" applyBorder="1" applyFont="1" applyNumberFormat="1"/>
    <xf borderId="5" fillId="0" fontId="9" numFmtId="4" xfId="0" applyBorder="1" applyFont="1" applyNumberFormat="1"/>
    <xf borderId="5" fillId="0" fontId="9" numFmtId="2" xfId="0" applyBorder="1" applyFont="1" applyNumberFormat="1"/>
    <xf borderId="0" fillId="0" fontId="16" numFmtId="0" xfId="0" applyAlignment="1" applyFont="1">
      <alignment horizontal="right" readingOrder="0"/>
    </xf>
    <xf borderId="0" fillId="0" fontId="9" numFmtId="3" xfId="0" applyAlignment="1" applyFont="1" applyNumberFormat="1">
      <alignment readingOrder="0"/>
    </xf>
    <xf borderId="0" fillId="0" fontId="9" numFmtId="3" xfId="0" applyFont="1" applyNumberFormat="1"/>
    <xf borderId="0" fillId="0" fontId="9" numFmtId="0" xfId="0" applyAlignment="1" applyFont="1">
      <alignment readingOrder="0"/>
    </xf>
    <xf borderId="0" fillId="0" fontId="16" numFmtId="9" xfId="0" applyAlignment="1" applyFont="1" applyNumberFormat="1">
      <alignment readingOrder="0"/>
    </xf>
    <xf borderId="0" fillId="0" fontId="9" numFmtId="49" xfId="0" applyAlignment="1" applyFont="1" applyNumberFormat="1">
      <alignment readingOrder="0"/>
    </xf>
    <xf borderId="0" fillId="0" fontId="9" numFmtId="0" xfId="0" applyAlignment="1" applyFont="1">
      <alignment readingOrder="0"/>
    </xf>
    <xf borderId="0" fillId="0" fontId="9" numFmtId="0" xfId="0" applyAlignment="1" applyFont="1">
      <alignment horizontal="left" readingOrder="0" shrinkToFit="0" vertical="center" wrapText="0"/>
    </xf>
    <xf borderId="0" fillId="0" fontId="9" numFmtId="49" xfId="0" applyAlignment="1" applyFont="1" applyNumberFormat="1">
      <alignment horizontal="left" readingOrder="0" shrinkToFit="0" vertical="center" wrapText="0"/>
    </xf>
    <xf borderId="0" fillId="0" fontId="9" numFmtId="0" xfId="0" applyAlignment="1" applyFont="1">
      <alignment horizontal="left" readingOrder="0" shrinkToFit="0" vertical="center" wrapText="0"/>
    </xf>
    <xf borderId="0" fillId="0" fontId="9" numFmtId="0" xfId="0" applyAlignment="1" applyFont="1">
      <alignment readingOrder="0" shrinkToFit="0" vertical="center" wrapText="0"/>
    </xf>
    <xf borderId="0" fillId="0" fontId="9" numFmtId="0" xfId="0" applyAlignment="1" applyFont="1">
      <alignment shrinkToFit="0" vertical="center" wrapText="0"/>
    </xf>
    <xf borderId="0" fillId="0" fontId="9" numFmtId="10" xfId="0" applyAlignment="1" applyFont="1" applyNumberFormat="1">
      <alignment shrinkToFit="0" vertical="center" wrapText="0"/>
    </xf>
    <xf borderId="0" fillId="0" fontId="9" numFmtId="0" xfId="0" applyAlignment="1" applyFont="1">
      <alignment readingOrder="0" shrinkToFit="0" vertical="center" wrapText="0"/>
    </xf>
    <xf borderId="0" fillId="0" fontId="9" numFmtId="0" xfId="0" applyAlignment="1" applyFont="1">
      <alignment readingOrder="0" shrinkToFit="0" vertical="center" wrapText="0"/>
    </xf>
    <xf borderId="0" fillId="0" fontId="9" numFmtId="2" xfId="0" applyAlignment="1" applyFont="1" applyNumberFormat="1">
      <alignment readingOrder="0" shrinkToFit="0" vertical="center" wrapText="0"/>
    </xf>
    <xf borderId="0" fillId="0" fontId="9" numFmtId="10" xfId="0" applyAlignment="1" applyFont="1" applyNumberFormat="1">
      <alignment readingOrder="0" shrinkToFit="0" vertical="center" wrapText="0"/>
    </xf>
    <xf borderId="0" fillId="0" fontId="9" numFmtId="166" xfId="0" applyAlignment="1" applyFont="1" applyNumberFormat="1">
      <alignment horizontal="right" shrinkToFit="0" vertical="center" wrapText="0"/>
    </xf>
    <xf borderId="0" fillId="0" fontId="9" numFmtId="0" xfId="0" applyAlignment="1" applyFont="1">
      <alignment readingOrder="0" shrinkToFit="0" vertical="center" wrapText="0"/>
    </xf>
    <xf borderId="0" fillId="0" fontId="9" numFmtId="0" xfId="0" applyAlignment="1" applyFont="1">
      <alignment shrinkToFit="0" vertical="center" wrapText="0"/>
    </xf>
    <xf borderId="0" fillId="0" fontId="9" numFmtId="2" xfId="0" applyAlignment="1" applyFont="1" applyNumberFormat="1">
      <alignment shrinkToFit="0" vertical="center" wrapText="0"/>
    </xf>
    <xf borderId="0" fillId="0" fontId="9" numFmtId="166" xfId="0" applyAlignment="1" applyFont="1" applyNumberFormat="1">
      <alignment horizontal="right" readingOrder="0" shrinkToFit="0" vertical="center" wrapText="0"/>
    </xf>
    <xf borderId="0" fillId="0" fontId="9" numFmtId="9" xfId="0" applyAlignment="1" applyFont="1" applyNumberFormat="1">
      <alignment readingOrder="0" shrinkToFit="0" vertical="center" wrapText="0"/>
    </xf>
    <xf borderId="0" fillId="0" fontId="9" numFmtId="165" xfId="0" applyAlignment="1" applyFont="1" applyNumberFormat="1">
      <alignment readingOrder="0" shrinkToFit="0" vertical="center" wrapText="0"/>
    </xf>
    <xf borderId="0" fillId="0" fontId="9" numFmtId="0" xfId="0" applyAlignment="1" applyFont="1">
      <alignment readingOrder="0"/>
    </xf>
    <xf borderId="0" fillId="3" fontId="9" numFmtId="0" xfId="0" applyAlignment="1" applyFill="1" applyFont="1">
      <alignment readingOrder="0" shrinkToFit="0" vertical="center" wrapText="0"/>
    </xf>
    <xf borderId="0" fillId="0" fontId="9" numFmtId="0" xfId="0" applyAlignment="1" applyFont="1">
      <alignment shrinkToFit="0" vertical="center" wrapText="0"/>
    </xf>
    <xf borderId="0" fillId="0" fontId="9" numFmtId="166" xfId="0" applyAlignment="1" applyFont="1" applyNumberFormat="1">
      <alignment shrinkToFit="0" vertical="center" wrapText="0"/>
    </xf>
    <xf borderId="0" fillId="0" fontId="9" numFmtId="166" xfId="0" applyAlignment="1" applyFont="1" applyNumberFormat="1">
      <alignment readingOrder="0" shrinkToFit="0" vertical="center" wrapText="0"/>
    </xf>
    <xf borderId="0" fillId="0" fontId="9" numFmtId="0" xfId="0" applyFont="1"/>
    <xf borderId="0" fillId="0" fontId="9" numFmtId="9" xfId="0" applyFont="1" applyNumberFormat="1"/>
    <xf borderId="0" fillId="0" fontId="9" numFmtId="165" xfId="0" applyFont="1" applyNumberFormat="1"/>
    <xf borderId="0" fillId="0" fontId="9" numFmtId="165" xfId="0" applyAlignment="1" applyFont="1" applyNumberFormat="1">
      <alignment horizontal="left" readingOrder="0" shrinkToFit="0" vertical="center" wrapText="0"/>
    </xf>
    <xf borderId="0" fillId="0" fontId="9" numFmtId="4" xfId="0" applyAlignment="1" applyFont="1" applyNumberFormat="1">
      <alignment readingOrder="0" shrinkToFit="0" vertical="center" wrapText="0"/>
    </xf>
    <xf borderId="0" fillId="0" fontId="9" numFmtId="4" xfId="0" applyAlignment="1" applyFont="1" applyNumberFormat="1">
      <alignment shrinkToFit="0" vertical="center" wrapText="0"/>
    </xf>
    <xf borderId="0" fillId="0" fontId="9" numFmtId="165" xfId="0" applyAlignment="1" applyFont="1" applyNumberFormat="1">
      <alignment shrinkToFit="0" vertical="center" wrapText="0"/>
    </xf>
    <xf borderId="9" fillId="0" fontId="16" numFmtId="0" xfId="0" applyAlignment="1" applyBorder="1" applyFont="1">
      <alignment readingOrder="0"/>
    </xf>
    <xf borderId="10" fillId="0" fontId="9" numFmtId="0" xfId="0" applyBorder="1" applyFont="1"/>
    <xf borderId="10" fillId="0" fontId="16" numFmtId="0" xfId="0" applyAlignment="1" applyBorder="1" applyFont="1">
      <alignment readingOrder="0"/>
    </xf>
    <xf borderId="11" fillId="0" fontId="9" numFmtId="0" xfId="0" applyBorder="1" applyFont="1"/>
    <xf borderId="12" fillId="0" fontId="16" numFmtId="0" xfId="0" applyAlignment="1" applyBorder="1" applyFont="1">
      <alignment readingOrder="0"/>
    </xf>
    <xf borderId="13" fillId="0" fontId="16" numFmtId="0" xfId="0" applyAlignment="1" applyBorder="1" applyFont="1">
      <alignment readingOrder="0"/>
    </xf>
    <xf borderId="12" fillId="0" fontId="9" numFmtId="0" xfId="0" applyAlignment="1" applyBorder="1" applyFont="1">
      <alignment readingOrder="0"/>
    </xf>
    <xf borderId="0" fillId="0" fontId="9" numFmtId="0" xfId="0" applyFont="1"/>
    <xf borderId="0" fillId="0" fontId="9" numFmtId="0" xfId="0" applyAlignment="1" applyFont="1">
      <alignment readingOrder="0"/>
    </xf>
    <xf borderId="13" fillId="0" fontId="9" numFmtId="0" xfId="0" applyBorder="1" applyFont="1"/>
    <xf borderId="0" fillId="4" fontId="9" numFmtId="0" xfId="0" applyAlignment="1" applyFill="1" applyFont="1">
      <alignment readingOrder="0"/>
    </xf>
    <xf borderId="14" fillId="0" fontId="9" numFmtId="0" xfId="0" applyAlignment="1" applyBorder="1" applyFont="1">
      <alignment readingOrder="0"/>
    </xf>
    <xf borderId="15" fillId="0" fontId="9" numFmtId="0" xfId="0" applyAlignment="1" applyBorder="1" applyFont="1">
      <alignment readingOrder="0"/>
    </xf>
    <xf borderId="15" fillId="0" fontId="9" numFmtId="0" xfId="0" applyBorder="1" applyFont="1"/>
    <xf borderId="15" fillId="0" fontId="9" numFmtId="0" xfId="0" applyAlignment="1" applyBorder="1" applyFont="1">
      <alignment readingOrder="0"/>
    </xf>
    <xf borderId="16" fillId="0" fontId="9" numFmtId="0" xfId="0" applyBorder="1" applyFont="1"/>
    <xf borderId="0" fillId="5" fontId="9" numFmtId="0" xfId="0" applyAlignment="1" applyFill="1" applyFont="1">
      <alignment readingOrder="0"/>
    </xf>
    <xf borderId="0" fillId="5" fontId="9" numFmtId="0" xfId="0" applyFont="1"/>
    <xf borderId="0" fillId="5" fontId="18" numFmtId="0" xfId="0" applyAlignment="1" applyFont="1">
      <alignment readingOrder="0"/>
    </xf>
    <xf borderId="0" fillId="0" fontId="9" numFmtId="0" xfId="0" applyAlignment="1" applyFont="1">
      <alignment horizontal="right"/>
    </xf>
    <xf borderId="0" fillId="0" fontId="9" numFmtId="9" xfId="0" applyAlignment="1" applyFont="1" applyNumberFormat="1">
      <alignment horizontal="right"/>
    </xf>
    <xf borderId="0" fillId="0" fontId="9" numFmtId="10" xfId="0" applyAlignment="1" applyFont="1" applyNumberFormat="1">
      <alignment horizontal="right"/>
    </xf>
    <xf borderId="0" fillId="0" fontId="9" numFmtId="165" xfId="0" applyAlignment="1" applyFont="1" applyNumberFormat="1">
      <alignment horizontal="right"/>
    </xf>
    <xf borderId="0" fillId="0" fontId="16" numFmtId="0" xfId="0" applyAlignment="1" applyFont="1">
      <alignment shrinkToFit="0" wrapText="1"/>
    </xf>
    <xf borderId="0" fillId="0" fontId="16" numFmtId="165" xfId="0" applyAlignment="1" applyFont="1" applyNumberFormat="1">
      <alignment horizontal="center" shrinkToFit="0" wrapText="1"/>
    </xf>
    <xf borderId="0" fillId="0" fontId="16" numFmtId="0" xfId="0" applyAlignment="1" applyFont="1">
      <alignment readingOrder="0" shrinkToFit="0" wrapText="1"/>
    </xf>
    <xf borderId="0" fillId="6" fontId="16" numFmtId="0" xfId="0" applyAlignment="1" applyFill="1" applyFont="1">
      <alignment readingOrder="0" shrinkToFit="0" wrapText="1"/>
    </xf>
    <xf borderId="5" fillId="6" fontId="3" numFmtId="165" xfId="0" applyAlignment="1" applyBorder="1" applyFont="1" applyNumberFormat="1">
      <alignment horizontal="center" readingOrder="0" shrinkToFit="0" wrapText="1"/>
    </xf>
    <xf quotePrefix="1" borderId="0" fillId="0" fontId="19" numFmtId="0" xfId="0" applyAlignment="1" applyFont="1">
      <alignment horizontal="center" readingOrder="0" shrinkToFit="0" vertical="bottom" wrapText="1"/>
    </xf>
    <xf borderId="0" fillId="0" fontId="9" numFmtId="165" xfId="0" applyAlignment="1" applyFont="1" applyNumberFormat="1">
      <alignment horizontal="center"/>
    </xf>
    <xf borderId="0" fillId="6" fontId="9" numFmtId="0" xfId="0" applyFont="1"/>
    <xf borderId="0" fillId="6" fontId="9" numFmtId="165" xfId="0" applyFont="1" applyNumberFormat="1"/>
    <xf borderId="0" fillId="0" fontId="9" numFmtId="0" xfId="0" applyAlignment="1" applyFont="1">
      <alignment shrinkToFit="0" wrapText="1"/>
    </xf>
    <xf borderId="2" fillId="0" fontId="9" numFmtId="0" xfId="0" applyAlignment="1" applyBorder="1" applyFont="1">
      <alignment horizontal="center" readingOrder="0"/>
    </xf>
    <xf borderId="0" fillId="0" fontId="9" numFmtId="2" xfId="0" applyFont="1" applyNumberFormat="1"/>
    <xf borderId="0" fillId="0" fontId="9" numFmtId="0" xfId="0" applyAlignment="1" applyFont="1">
      <alignment readingOrder="0" shrinkToFit="0" wrapText="1"/>
    </xf>
    <xf borderId="0" fillId="0" fontId="9" numFmtId="10" xfId="0" applyAlignment="1" applyFont="1" applyNumberFormat="1">
      <alignment readingOrder="0" shrinkToFit="0" wrapText="1"/>
    </xf>
    <xf borderId="0" fillId="0" fontId="9" numFmtId="165" xfId="0" applyAlignment="1" applyFont="1" applyNumberFormat="1">
      <alignment readingOrder="0" shrinkToFit="0" wrapText="1"/>
    </xf>
    <xf borderId="0" fillId="0" fontId="9" numFmtId="1" xfId="0" applyAlignment="1" applyFont="1" applyNumberFormat="1">
      <alignment shrinkToFit="0" wrapText="1"/>
    </xf>
    <xf borderId="0" fillId="0" fontId="16" numFmtId="0" xfId="0" applyFont="1"/>
    <xf borderId="0" fillId="0" fontId="16" numFmtId="0" xfId="0" applyAlignment="1" applyFont="1">
      <alignment horizontal="right"/>
    </xf>
    <xf borderId="0" fillId="0" fontId="16" numFmtId="0" xfId="0" applyAlignment="1" applyFont="1">
      <alignment horizontal="left" readingOrder="0" shrinkToFit="0" vertical="center" wrapText="0"/>
    </xf>
    <xf borderId="0" fillId="0" fontId="16" numFmtId="0" xfId="0" applyAlignment="1" applyFont="1">
      <alignment horizontal="left" readingOrder="0" shrinkToFit="0" vertical="center" wrapText="0"/>
    </xf>
    <xf borderId="0" fillId="0" fontId="9" numFmtId="166" xfId="0" applyAlignment="1" applyFont="1" applyNumberFormat="1">
      <alignment horizontal="right"/>
    </xf>
    <xf borderId="0" fillId="0" fontId="16" numFmtId="0" xfId="0" applyAlignment="1" applyFont="1">
      <alignment shrinkToFit="0" vertical="center" wrapText="0"/>
    </xf>
    <xf borderId="0" fillId="0" fontId="16" numFmtId="166" xfId="0" applyAlignment="1" applyFont="1" applyNumberFormat="1">
      <alignment horizontal="center" shrinkToFit="0" vertical="center" wrapText="0"/>
    </xf>
    <xf borderId="0" fillId="0" fontId="16" numFmtId="0" xfId="0" applyAlignment="1" applyFont="1">
      <alignment horizontal="center" shrinkToFit="0" vertical="center" wrapText="0"/>
    </xf>
    <xf borderId="0" fillId="0" fontId="16" numFmtId="0" xfId="0" applyAlignment="1" applyFont="1">
      <alignment horizontal="center" readingOrder="0" shrinkToFit="0" vertical="center" wrapText="0"/>
    </xf>
    <xf borderId="0" fillId="0" fontId="16" numFmtId="0" xfId="0" applyAlignment="1" applyFont="1">
      <alignment readingOrder="0" shrinkToFit="0" vertical="center" wrapText="0"/>
    </xf>
    <xf borderId="17" fillId="7" fontId="16" numFmtId="0" xfId="0" applyAlignment="1" applyBorder="1" applyFill="1" applyFont="1">
      <alignment horizontal="center" shrinkToFit="0" wrapText="1"/>
    </xf>
    <xf borderId="18" fillId="7" fontId="16" numFmtId="0" xfId="0" applyAlignment="1" applyBorder="1" applyFont="1">
      <alignment horizontal="center" shrinkToFit="0" wrapText="1"/>
    </xf>
    <xf borderId="18" fillId="7" fontId="16" numFmtId="164" xfId="0" applyAlignment="1" applyBorder="1" applyFont="1" applyNumberFormat="1">
      <alignment horizontal="center" shrinkToFit="0" wrapText="1"/>
    </xf>
    <xf borderId="18" fillId="7" fontId="16" numFmtId="0" xfId="0" applyAlignment="1" applyBorder="1" applyFont="1">
      <alignment horizontal="center" readingOrder="0" shrinkToFit="0" wrapText="1"/>
    </xf>
    <xf borderId="18" fillId="7" fontId="16" numFmtId="165" xfId="0" applyAlignment="1" applyBorder="1" applyFont="1" applyNumberFormat="1">
      <alignment horizontal="center" shrinkToFit="0" wrapText="1"/>
    </xf>
    <xf borderId="18" fillId="7" fontId="16" numFmtId="1" xfId="0" applyAlignment="1" applyBorder="1" applyFont="1" applyNumberFormat="1">
      <alignment horizontal="center" readingOrder="0" shrinkToFit="0" wrapText="1"/>
    </xf>
    <xf borderId="18" fillId="7" fontId="16" numFmtId="165" xfId="0" applyAlignment="1" applyBorder="1" applyFont="1" applyNumberFormat="1">
      <alignment horizontal="center" readingOrder="0" shrinkToFit="0" wrapText="1"/>
    </xf>
    <xf borderId="18" fillId="7" fontId="16" numFmtId="4" xfId="0" applyAlignment="1" applyBorder="1" applyFont="1" applyNumberFormat="1">
      <alignment horizontal="center" readingOrder="0" shrinkToFit="0" wrapText="1"/>
    </xf>
    <xf borderId="19" fillId="7" fontId="16" numFmtId="0" xfId="0" applyAlignment="1" applyBorder="1" applyFont="1">
      <alignment horizontal="center" readingOrder="0" shrinkToFit="0" wrapText="1"/>
    </xf>
    <xf borderId="15" fillId="7" fontId="16" numFmtId="0" xfId="0" applyAlignment="1" applyBorder="1" applyFont="1">
      <alignment horizontal="center" readingOrder="0" shrinkToFit="0" wrapText="1"/>
    </xf>
    <xf borderId="20" fillId="0" fontId="9" numFmtId="0" xfId="0" applyAlignment="1" applyBorder="1" applyFont="1">
      <alignment horizontal="center"/>
    </xf>
    <xf borderId="2" fillId="0" fontId="9" numFmtId="0" xfId="0" applyAlignment="1" applyBorder="1" applyFont="1">
      <alignment horizontal="center"/>
    </xf>
    <xf borderId="2" fillId="0" fontId="9" numFmtId="164" xfId="0" applyAlignment="1" applyBorder="1" applyFont="1" applyNumberFormat="1">
      <alignment horizontal="center"/>
    </xf>
    <xf borderId="2" fillId="0" fontId="9" numFmtId="165" xfId="0" applyAlignment="1" applyBorder="1" applyFont="1" applyNumberFormat="1">
      <alignment horizontal="center"/>
    </xf>
    <xf borderId="2" fillId="0" fontId="9" numFmtId="1" xfId="0" applyAlignment="1" applyBorder="1" applyFont="1" applyNumberFormat="1">
      <alignment horizontal="center" readingOrder="0"/>
    </xf>
    <xf borderId="2" fillId="0" fontId="9" numFmtId="166" xfId="0" applyAlignment="1" applyBorder="1" applyFont="1" applyNumberFormat="1">
      <alignment horizontal="center" readingOrder="0" shrinkToFit="0" wrapText="1"/>
    </xf>
    <xf borderId="2" fillId="0" fontId="9" numFmtId="0" xfId="0" applyAlignment="1" applyBorder="1" applyFont="1">
      <alignment horizontal="center" readingOrder="0" shrinkToFit="0" wrapText="1"/>
    </xf>
    <xf borderId="2" fillId="0" fontId="9" numFmtId="165" xfId="0" applyAlignment="1" applyBorder="1" applyFont="1" applyNumberFormat="1">
      <alignment horizontal="center" readingOrder="0" shrinkToFit="0" wrapText="1"/>
    </xf>
    <xf borderId="2" fillId="0" fontId="9" numFmtId="10" xfId="0" applyAlignment="1" applyBorder="1" applyFont="1" applyNumberFormat="1">
      <alignment horizontal="center" readingOrder="0" shrinkToFit="0" wrapText="1"/>
    </xf>
    <xf borderId="21" fillId="0" fontId="9" numFmtId="0" xfId="0" applyAlignment="1" applyBorder="1" applyFont="1">
      <alignment horizontal="center" readingOrder="0" shrinkToFit="0" wrapText="1"/>
    </xf>
    <xf borderId="0" fillId="0" fontId="16" numFmtId="0" xfId="0" applyAlignment="1" applyFont="1">
      <alignment horizontal="center" readingOrder="0" shrinkToFit="0" wrapText="1"/>
    </xf>
    <xf borderId="22" fillId="0" fontId="9" numFmtId="0" xfId="0" applyAlignment="1" applyBorder="1" applyFont="1">
      <alignment horizontal="center"/>
    </xf>
    <xf borderId="5" fillId="0" fontId="9" numFmtId="0" xfId="0" applyAlignment="1" applyBorder="1" applyFont="1">
      <alignment horizontal="center"/>
    </xf>
    <xf borderId="5" fillId="0" fontId="9" numFmtId="164" xfId="0" applyAlignment="1" applyBorder="1" applyFont="1" applyNumberFormat="1">
      <alignment horizontal="center"/>
    </xf>
    <xf borderId="5" fillId="0" fontId="9" numFmtId="0" xfId="0" applyAlignment="1" applyBorder="1" applyFont="1">
      <alignment horizontal="center" readingOrder="0"/>
    </xf>
    <xf borderId="5" fillId="0" fontId="9" numFmtId="1" xfId="0" applyAlignment="1" applyBorder="1" applyFont="1" applyNumberFormat="1">
      <alignment horizontal="center" readingOrder="0"/>
    </xf>
    <xf borderId="5" fillId="0" fontId="9" numFmtId="166" xfId="0" applyAlignment="1" applyBorder="1" applyFont="1" applyNumberFormat="1">
      <alignment horizontal="center" readingOrder="0" shrinkToFit="0" wrapText="1"/>
    </xf>
    <xf borderId="5" fillId="0" fontId="9" numFmtId="0" xfId="0" applyAlignment="1" applyBorder="1" applyFont="1">
      <alignment horizontal="center" readingOrder="0" shrinkToFit="0" wrapText="1"/>
    </xf>
    <xf borderId="5" fillId="0" fontId="9" numFmtId="165" xfId="0" applyAlignment="1" applyBorder="1" applyFont="1" applyNumberFormat="1">
      <alignment horizontal="center" readingOrder="0" shrinkToFit="0" wrapText="1"/>
    </xf>
    <xf borderId="23" fillId="0" fontId="9" numFmtId="0" xfId="0" applyAlignment="1" applyBorder="1" applyFont="1">
      <alignment horizontal="center" readingOrder="0" shrinkToFit="0" wrapText="1"/>
    </xf>
    <xf borderId="5" fillId="0" fontId="9" numFmtId="16" xfId="0" applyAlignment="1" applyBorder="1" applyFont="1" applyNumberFormat="1">
      <alignment horizontal="center" readingOrder="0" shrinkToFit="0" wrapText="1"/>
    </xf>
    <xf borderId="5" fillId="0" fontId="9" numFmtId="20" xfId="0" applyAlignment="1" applyBorder="1" applyFont="1" applyNumberFormat="1">
      <alignment horizontal="center" readingOrder="0" shrinkToFit="0" wrapText="1"/>
    </xf>
    <xf borderId="5" fillId="0" fontId="9" numFmtId="16" xfId="0" applyAlignment="1" applyBorder="1" applyFont="1" applyNumberFormat="1">
      <alignment horizontal="center" readingOrder="0"/>
    </xf>
    <xf borderId="5" fillId="0" fontId="9" numFmtId="17" xfId="0" applyAlignment="1" applyBorder="1" applyFont="1" applyNumberFormat="1">
      <alignment horizontal="center" readingOrder="0"/>
    </xf>
    <xf borderId="5" fillId="0" fontId="9" numFmtId="165" xfId="0" applyAlignment="1" applyBorder="1" applyFont="1" applyNumberFormat="1">
      <alignment horizontal="center"/>
    </xf>
    <xf borderId="5" fillId="0" fontId="9" numFmtId="10" xfId="0" applyAlignment="1" applyBorder="1" applyFont="1" applyNumberFormat="1">
      <alignment horizontal="center" readingOrder="0" shrinkToFit="0" wrapText="1"/>
    </xf>
    <xf borderId="0" fillId="0" fontId="9" numFmtId="0" xfId="0" applyAlignment="1" applyFont="1">
      <alignment horizontal="center"/>
    </xf>
    <xf borderId="24" fillId="0" fontId="9" numFmtId="0" xfId="0" applyAlignment="1" applyBorder="1" applyFont="1">
      <alignment horizontal="center"/>
    </xf>
    <xf borderId="25" fillId="0" fontId="9" numFmtId="0" xfId="0" applyAlignment="1" applyBorder="1" applyFont="1">
      <alignment horizontal="center"/>
    </xf>
    <xf borderId="25" fillId="0" fontId="9" numFmtId="164" xfId="0" applyAlignment="1" applyBorder="1" applyFont="1" applyNumberFormat="1">
      <alignment horizontal="center"/>
    </xf>
    <xf borderId="25" fillId="0" fontId="9" numFmtId="0" xfId="0" applyAlignment="1" applyBorder="1" applyFont="1">
      <alignment horizontal="center" readingOrder="0"/>
    </xf>
    <xf borderId="25" fillId="0" fontId="9" numFmtId="165" xfId="0" applyAlignment="1" applyBorder="1" applyFont="1" applyNumberFormat="1">
      <alignment horizontal="center"/>
    </xf>
    <xf borderId="25" fillId="0" fontId="9" numFmtId="1" xfId="0" applyAlignment="1" applyBorder="1" applyFont="1" applyNumberFormat="1">
      <alignment horizontal="center" readingOrder="0"/>
    </xf>
    <xf borderId="25" fillId="0" fontId="9" numFmtId="0" xfId="0" applyAlignment="1" applyBorder="1" applyFont="1">
      <alignment horizontal="center" readingOrder="0" shrinkToFit="0" wrapText="1"/>
    </xf>
    <xf borderId="25" fillId="0" fontId="9" numFmtId="165" xfId="0" applyAlignment="1" applyBorder="1" applyFont="1" applyNumberFormat="1">
      <alignment horizontal="center" readingOrder="0" shrinkToFit="0" wrapText="1"/>
    </xf>
    <xf borderId="26" fillId="0" fontId="9" numFmtId="0" xfId="0" applyAlignment="1" applyBorder="1" applyFont="1">
      <alignment horizontal="center" readingOrder="0" shrinkToFit="0" wrapText="1"/>
    </xf>
    <xf borderId="17" fillId="7" fontId="16" numFmtId="0" xfId="0" applyAlignment="1" applyBorder="1" applyFont="1">
      <alignment horizontal="center"/>
    </xf>
    <xf borderId="18" fillId="7" fontId="16" numFmtId="164" xfId="0" applyAlignment="1" applyBorder="1" applyFont="1" applyNumberFormat="1">
      <alignment horizontal="center"/>
    </xf>
    <xf borderId="18" fillId="7" fontId="16" numFmtId="0" xfId="0" applyAlignment="1" applyBorder="1" applyFont="1">
      <alignment horizontal="center"/>
    </xf>
    <xf borderId="19" fillId="7" fontId="16" numFmtId="0" xfId="0" applyAlignment="1" applyBorder="1" applyFont="1">
      <alignment horizontal="center"/>
    </xf>
    <xf borderId="21" fillId="0" fontId="9" numFmtId="0" xfId="0" applyAlignment="1" applyBorder="1" applyFont="1">
      <alignment horizontal="center"/>
    </xf>
    <xf borderId="23" fillId="0" fontId="9" numFmtId="0" xfId="0" applyAlignment="1" applyBorder="1" applyFont="1">
      <alignment horizontal="center"/>
    </xf>
    <xf borderId="26" fillId="0" fontId="9" numFmtId="0" xfId="0" applyAlignment="1" applyBorder="1" applyFont="1">
      <alignment horizontal="center"/>
    </xf>
    <xf borderId="0" fillId="8" fontId="11" numFmtId="0" xfId="0" applyAlignment="1" applyFill="1" applyFont="1">
      <alignment horizontal="center" readingOrder="0" shrinkToFit="0" vertical="bottom" wrapText="0"/>
    </xf>
    <xf borderId="0" fillId="9" fontId="11" numFmtId="0" xfId="0" applyAlignment="1" applyFill="1" applyFont="1">
      <alignment horizontal="center" readingOrder="0" shrinkToFit="0" vertical="bottom" wrapText="0"/>
    </xf>
    <xf borderId="0" fillId="0" fontId="11" numFmtId="0" xfId="0" applyAlignment="1" applyFont="1">
      <alignment horizontal="center" shrinkToFit="0" vertical="bottom" wrapText="0"/>
    </xf>
    <xf borderId="0" fillId="10" fontId="11" numFmtId="0" xfId="0" applyAlignment="1" applyFill="1" applyFont="1">
      <alignment horizontal="center" readingOrder="0" shrinkToFit="0" vertical="bottom" wrapText="0"/>
    </xf>
    <xf borderId="0" fillId="11" fontId="20" numFmtId="0" xfId="0" applyAlignment="1" applyFill="1" applyFont="1">
      <alignment horizontal="center" readingOrder="0" shrinkToFit="0" vertical="bottom" wrapText="0"/>
    </xf>
    <xf borderId="0" fillId="12" fontId="11" numFmtId="0" xfId="0" applyAlignment="1" applyFill="1" applyFont="1">
      <alignment horizontal="center" readingOrder="0" shrinkToFit="0" vertical="bottom" wrapText="0"/>
    </xf>
    <xf borderId="19" fillId="7" fontId="16" numFmtId="0" xfId="0" applyAlignment="1" applyBorder="1" applyFont="1">
      <alignment horizontal="center" shrinkToFit="0" wrapText="1"/>
    </xf>
    <xf borderId="0" fillId="0" fontId="9" numFmtId="0" xfId="0" applyAlignment="1" applyFont="1">
      <alignment horizontal="center" shrinkToFit="0" wrapText="1"/>
    </xf>
    <xf borderId="5" fillId="0" fontId="9" numFmtId="16" xfId="0" applyAlignment="1" applyBorder="1" applyFont="1" applyNumberFormat="1">
      <alignment horizontal="center"/>
    </xf>
    <xf borderId="5" fillId="0" fontId="9" numFmtId="17" xfId="0" applyAlignment="1" applyBorder="1" applyFont="1" applyNumberFormat="1">
      <alignment horizontal="center"/>
    </xf>
    <xf borderId="0" fillId="13" fontId="9" numFmtId="0" xfId="0" applyAlignment="1" applyFill="1" applyFont="1">
      <alignment horizontal="center" readingOrder="0"/>
    </xf>
    <xf borderId="0" fillId="14" fontId="9" numFmtId="0" xfId="0" applyAlignment="1" applyFill="1" applyFont="1">
      <alignment horizontal="center" readingOrder="0"/>
    </xf>
    <xf borderId="0" fillId="15" fontId="9" numFmtId="0" xfId="0" applyAlignment="1" applyFill="1" applyFont="1">
      <alignment horizontal="center" readingOrder="0"/>
    </xf>
    <xf borderId="0" fillId="16" fontId="9" numFmtId="0" xfId="0" applyAlignment="1" applyFill="1" applyFont="1">
      <alignment horizontal="center" readingOrder="0"/>
    </xf>
    <xf borderId="18" fillId="7" fontId="16" numFmtId="1" xfId="0" applyAlignment="1" applyBorder="1" applyFont="1" applyNumberFormat="1">
      <alignment horizontal="center" shrinkToFit="0" wrapText="1"/>
    </xf>
    <xf borderId="27" fillId="7" fontId="16" numFmtId="165" xfId="0" applyAlignment="1" applyBorder="1" applyFont="1" applyNumberFormat="1">
      <alignment horizontal="center" shrinkToFit="0" wrapText="1"/>
    </xf>
    <xf borderId="19" fillId="7" fontId="16" numFmtId="4" xfId="0" applyAlignment="1" applyBorder="1" applyFont="1" applyNumberFormat="1">
      <alignment horizontal="center" shrinkToFit="0" wrapText="1"/>
    </xf>
    <xf borderId="28" fillId="0" fontId="9" numFmtId="1" xfId="0" applyAlignment="1" applyBorder="1" applyFont="1" applyNumberFormat="1">
      <alignment horizontal="center" shrinkToFit="0" wrapText="1"/>
    </xf>
    <xf borderId="2" fillId="0" fontId="9" numFmtId="1" xfId="0" applyAlignment="1" applyBorder="1" applyFont="1" applyNumberFormat="1">
      <alignment horizontal="center"/>
    </xf>
    <xf borderId="3" fillId="0" fontId="9" numFmtId="165" xfId="0" applyAlignment="1" applyBorder="1" applyFont="1" applyNumberFormat="1">
      <alignment horizontal="center"/>
    </xf>
    <xf borderId="3" fillId="0" fontId="9" numFmtId="10" xfId="0" applyAlignment="1" applyBorder="1" applyFont="1" applyNumberFormat="1">
      <alignment horizontal="center"/>
    </xf>
    <xf borderId="21" fillId="0" fontId="9" numFmtId="10" xfId="0" applyAlignment="1" applyBorder="1" applyFont="1" applyNumberFormat="1">
      <alignment horizontal="center"/>
    </xf>
    <xf borderId="5" fillId="0" fontId="9" numFmtId="1" xfId="0" applyAlignment="1" applyBorder="1" applyFont="1" applyNumberFormat="1">
      <alignment horizontal="center" shrinkToFit="0" wrapText="1"/>
    </xf>
    <xf borderId="5" fillId="0" fontId="9" numFmtId="1" xfId="0" applyAlignment="1" applyBorder="1" applyFont="1" applyNumberFormat="1">
      <alignment horizontal="center"/>
    </xf>
    <xf borderId="6" fillId="0" fontId="9" numFmtId="165" xfId="0" applyAlignment="1" applyBorder="1" applyFont="1" applyNumberFormat="1">
      <alignment horizontal="center"/>
    </xf>
    <xf borderId="6" fillId="0" fontId="9" numFmtId="10" xfId="0" applyAlignment="1" applyBorder="1" applyFont="1" applyNumberFormat="1">
      <alignment horizontal="center"/>
    </xf>
    <xf borderId="23" fillId="0" fontId="9" numFmtId="10" xfId="0" applyAlignment="1" applyBorder="1" applyFont="1" applyNumberFormat="1">
      <alignment horizontal="center"/>
    </xf>
    <xf borderId="25" fillId="0" fontId="9" numFmtId="1" xfId="0" applyAlignment="1" applyBorder="1" applyFont="1" applyNumberFormat="1">
      <alignment horizontal="center" shrinkToFit="0" wrapText="1"/>
    </xf>
    <xf borderId="25" fillId="0" fontId="9" numFmtId="1" xfId="0" applyAlignment="1" applyBorder="1" applyFont="1" applyNumberFormat="1">
      <alignment horizontal="center"/>
    </xf>
    <xf borderId="29" fillId="0" fontId="9" numFmtId="165" xfId="0" applyAlignment="1" applyBorder="1" applyFont="1" applyNumberFormat="1">
      <alignment horizontal="center"/>
    </xf>
    <xf borderId="29" fillId="0" fontId="9" numFmtId="0" xfId="0" applyAlignment="1" applyBorder="1" applyFont="1">
      <alignment horizontal="center"/>
    </xf>
    <xf borderId="0" fillId="11" fontId="10" numFmtId="0" xfId="0" applyAlignment="1" applyFont="1">
      <alignment horizontal="center" readingOrder="0" shrinkToFit="0" vertical="bottom" wrapText="0"/>
    </xf>
    <xf borderId="0" fillId="17" fontId="10" numFmtId="0" xfId="0" applyAlignment="1" applyFill="1" applyFont="1">
      <alignment horizontal="center" readingOrder="0" shrinkToFit="0" vertical="bottom" wrapText="0"/>
    </xf>
    <xf borderId="0" fillId="10" fontId="10" numFmtId="0" xfId="0" applyAlignment="1" applyFont="1">
      <alignment horizontal="center" readingOrder="0" shrinkToFit="0" vertical="bottom" wrapText="0"/>
    </xf>
    <xf borderId="0" fillId="8" fontId="10" numFmtId="0" xfId="0" applyAlignment="1" applyFont="1">
      <alignment horizontal="center" readingOrder="0" shrinkToFit="0" vertical="bottom" wrapText="0"/>
    </xf>
    <xf borderId="0" fillId="18" fontId="14" numFmtId="0" xfId="0" applyAlignment="1" applyFill="1" applyFont="1">
      <alignment horizontal="center" readingOrder="0" shrinkToFit="0" vertical="bottom" wrapText="0"/>
    </xf>
    <xf borderId="17" fillId="7" fontId="9" numFmtId="0" xfId="0" applyAlignment="1" applyBorder="1" applyFont="1">
      <alignment horizontal="center" shrinkToFit="0" wrapText="1"/>
    </xf>
    <xf borderId="18" fillId="7" fontId="9" numFmtId="0" xfId="0" applyAlignment="1" applyBorder="1" applyFont="1">
      <alignment horizontal="center" shrinkToFit="0" wrapText="1"/>
    </xf>
    <xf borderId="18" fillId="7" fontId="9" numFmtId="165" xfId="0" applyAlignment="1" applyBorder="1" applyFont="1" applyNumberFormat="1">
      <alignment horizontal="center" shrinkToFit="0" wrapText="1"/>
    </xf>
    <xf borderId="19" fillId="7" fontId="9" numFmtId="4" xfId="0" applyAlignment="1" applyBorder="1" applyFont="1" applyNumberFormat="1">
      <alignment horizontal="center" readingOrder="0" shrinkToFit="0" wrapText="1"/>
    </xf>
    <xf borderId="0" fillId="0" fontId="9" numFmtId="0" xfId="0" applyAlignment="1" applyFont="1">
      <alignment horizontal="left" shrinkToFit="0" wrapText="1"/>
    </xf>
    <xf borderId="20" fillId="0" fontId="9" numFmtId="0" xfId="0" applyAlignment="1" applyBorder="1" applyFont="1">
      <alignment horizontal="center" shrinkToFit="0" wrapText="1"/>
    </xf>
    <xf borderId="2" fillId="0" fontId="9" numFmtId="0" xfId="0" applyAlignment="1" applyBorder="1" applyFont="1">
      <alignment horizontal="center" shrinkToFit="0" wrapText="1"/>
    </xf>
    <xf borderId="2" fillId="0" fontId="9" numFmtId="165" xfId="0" applyAlignment="1" applyBorder="1" applyFont="1" applyNumberFormat="1">
      <alignment horizontal="center" shrinkToFit="0" wrapText="1"/>
    </xf>
    <xf borderId="21" fillId="0" fontId="9" numFmtId="9" xfId="0" applyAlignment="1" applyBorder="1" applyFont="1" applyNumberFormat="1">
      <alignment horizontal="center" readingOrder="0" shrinkToFit="0" wrapText="1"/>
    </xf>
    <xf borderId="0" fillId="0" fontId="9" numFmtId="0" xfId="0" applyAlignment="1" applyFont="1">
      <alignment horizontal="left"/>
    </xf>
    <xf borderId="22" fillId="0" fontId="9" numFmtId="0" xfId="0" applyAlignment="1" applyBorder="1" applyFont="1">
      <alignment horizontal="center" shrinkToFit="0" wrapText="1"/>
    </xf>
    <xf borderId="5" fillId="0" fontId="9" numFmtId="0" xfId="0" applyAlignment="1" applyBorder="1" applyFont="1">
      <alignment horizontal="center" shrinkToFit="0" wrapText="1"/>
    </xf>
    <xf borderId="22" fillId="0" fontId="9" numFmtId="0" xfId="0" applyAlignment="1" applyBorder="1" applyFont="1">
      <alignment horizontal="left" shrinkToFit="0" wrapText="1"/>
    </xf>
    <xf borderId="5" fillId="0" fontId="9" numFmtId="0" xfId="0" applyAlignment="1" applyBorder="1" applyFont="1">
      <alignment horizontal="left" shrinkToFit="0" wrapText="1"/>
    </xf>
    <xf borderId="5" fillId="0" fontId="9" numFmtId="165" xfId="0" applyAlignment="1" applyBorder="1" applyFont="1" applyNumberFormat="1">
      <alignment horizontal="left" shrinkToFit="0" wrapText="1"/>
    </xf>
    <xf borderId="23" fillId="0" fontId="9" numFmtId="9" xfId="0" applyAlignment="1" applyBorder="1" applyFont="1" applyNumberFormat="1">
      <alignment horizontal="left" readingOrder="0" shrinkToFit="0" wrapText="1"/>
    </xf>
    <xf borderId="30" fillId="0" fontId="9" numFmtId="0" xfId="0" applyAlignment="1" applyBorder="1" applyFont="1">
      <alignment horizontal="center" shrinkToFit="0" wrapText="1"/>
    </xf>
    <xf borderId="7" fillId="0" fontId="9" numFmtId="0" xfId="0" applyAlignment="1" applyBorder="1" applyFont="1">
      <alignment horizontal="center" shrinkToFit="0" wrapText="1"/>
    </xf>
    <xf borderId="31" fillId="0" fontId="9" numFmtId="0" xfId="0" applyAlignment="1" applyBorder="1" applyFont="1">
      <alignment horizontal="center" shrinkToFit="0" wrapText="1"/>
    </xf>
    <xf borderId="31" fillId="0" fontId="9" numFmtId="165" xfId="0" applyAlignment="1" applyBorder="1" applyFont="1" applyNumberFormat="1">
      <alignment horizontal="center" shrinkToFit="0" wrapText="1"/>
    </xf>
    <xf borderId="32" fillId="0" fontId="9" numFmtId="9" xfId="0" applyAlignment="1" applyBorder="1" applyFont="1" applyNumberFormat="1">
      <alignment horizontal="center" readingOrder="0" shrinkToFit="0" wrapText="1"/>
    </xf>
    <xf borderId="5" fillId="0" fontId="9" numFmtId="165" xfId="0" applyAlignment="1" applyBorder="1" applyFont="1" applyNumberFormat="1">
      <alignment horizontal="center" shrinkToFit="0" wrapText="1"/>
    </xf>
    <xf borderId="23" fillId="0" fontId="9" numFmtId="9" xfId="0" applyAlignment="1" applyBorder="1" applyFont="1" applyNumberFormat="1">
      <alignment horizontal="center" readingOrder="0" shrinkToFit="0" wrapText="1"/>
    </xf>
    <xf borderId="24" fillId="0" fontId="9" numFmtId="0" xfId="0" applyAlignment="1" applyBorder="1" applyFont="1">
      <alignment horizontal="center" shrinkToFit="0" wrapText="1"/>
    </xf>
    <xf borderId="25" fillId="0" fontId="9" numFmtId="0" xfId="0" applyAlignment="1" applyBorder="1" applyFont="1">
      <alignment horizontal="center" shrinkToFit="0" wrapText="1"/>
    </xf>
    <xf borderId="25" fillId="0" fontId="9" numFmtId="165" xfId="0" applyAlignment="1" applyBorder="1" applyFont="1" applyNumberFormat="1">
      <alignment horizontal="center" shrinkToFit="0" wrapText="1"/>
    </xf>
    <xf borderId="26" fillId="0" fontId="9" numFmtId="9" xfId="0" applyAlignment="1" applyBorder="1" applyFont="1" applyNumberFormat="1">
      <alignment horizontal="center" readingOrder="0" shrinkToFit="0" wrapText="1"/>
    </xf>
    <xf borderId="18" fillId="7" fontId="9" numFmtId="4" xfId="0" applyAlignment="1" applyBorder="1" applyFont="1" applyNumberFormat="1">
      <alignment horizontal="center" readingOrder="0" shrinkToFit="0" wrapText="1"/>
    </xf>
    <xf borderId="19" fillId="7" fontId="9" numFmtId="0" xfId="0" applyAlignment="1" applyBorder="1" applyFont="1">
      <alignment horizontal="left" shrinkToFit="0" wrapText="1"/>
    </xf>
    <xf borderId="0" fillId="0" fontId="9" numFmtId="0" xfId="0" applyAlignment="1" applyFont="1">
      <alignment horizontal="left" readingOrder="0" shrinkToFit="0" wrapText="1"/>
    </xf>
    <xf borderId="0" fillId="0" fontId="16" numFmtId="0" xfId="0" applyAlignment="1" applyFont="1">
      <alignment horizontal="left" readingOrder="0" shrinkToFit="0" wrapText="1"/>
    </xf>
    <xf borderId="2" fillId="0" fontId="9" numFmtId="9" xfId="0" applyAlignment="1" applyBorder="1" applyFont="1" applyNumberFormat="1">
      <alignment horizontal="center" readingOrder="0" shrinkToFit="0" wrapText="1"/>
    </xf>
    <xf borderId="21" fillId="0" fontId="9" numFmtId="166" xfId="0" applyAlignment="1" applyBorder="1" applyFont="1" applyNumberFormat="1">
      <alignment horizontal="left" shrinkToFit="0" wrapText="1"/>
    </xf>
    <xf borderId="0" fillId="0" fontId="9" numFmtId="0" xfId="0" applyAlignment="1" applyFont="1">
      <alignment horizontal="left" readingOrder="0"/>
    </xf>
    <xf borderId="5" fillId="0" fontId="9" numFmtId="9" xfId="0" applyAlignment="1" applyBorder="1" applyFont="1" applyNumberFormat="1">
      <alignment horizontal="center" readingOrder="0" shrinkToFit="0" wrapText="1"/>
    </xf>
    <xf borderId="23" fillId="0" fontId="9" numFmtId="166" xfId="0" applyAlignment="1" applyBorder="1" applyFont="1" applyNumberFormat="1">
      <alignment horizontal="left" shrinkToFit="0" wrapText="1"/>
    </xf>
    <xf borderId="5" fillId="0" fontId="9" numFmtId="9" xfId="0" applyAlignment="1" applyBorder="1" applyFont="1" applyNumberFormat="1">
      <alignment horizontal="left" readingOrder="0" shrinkToFit="0" wrapText="1"/>
    </xf>
    <xf borderId="23" fillId="0" fontId="9" numFmtId="0" xfId="0" applyAlignment="1" applyBorder="1" applyFont="1">
      <alignment horizontal="left"/>
    </xf>
    <xf borderId="25" fillId="0" fontId="9" numFmtId="9" xfId="0" applyAlignment="1" applyBorder="1" applyFont="1" applyNumberFormat="1">
      <alignment horizontal="center" readingOrder="0" shrinkToFit="0" wrapText="1"/>
    </xf>
    <xf borderId="26" fillId="0" fontId="9" numFmtId="0" xfId="0" applyAlignment="1" applyBorder="1" applyFont="1">
      <alignment horizontal="left" shrinkToFit="0" wrapText="1"/>
    </xf>
    <xf borderId="33" fillId="7" fontId="16" numFmtId="0" xfId="0" applyAlignment="1" applyBorder="1" applyFont="1">
      <alignment horizontal="center" shrinkToFit="0" wrapText="1"/>
    </xf>
    <xf borderId="33" fillId="7" fontId="16" numFmtId="0" xfId="0" applyAlignment="1" applyBorder="1" applyFont="1">
      <alignment horizontal="center" readingOrder="0" shrinkToFit="0" wrapText="1"/>
    </xf>
    <xf borderId="0" fillId="0" fontId="16" numFmtId="0" xfId="0" applyAlignment="1" applyFont="1">
      <alignment horizontal="center" shrinkToFit="0" wrapText="1"/>
    </xf>
    <xf borderId="34" fillId="0" fontId="9" numFmtId="0" xfId="0" applyAlignment="1" applyBorder="1" applyFont="1">
      <alignment horizontal="center"/>
    </xf>
    <xf borderId="28" fillId="0" fontId="9" numFmtId="0" xfId="0" applyAlignment="1" applyBorder="1" applyFont="1">
      <alignment horizontal="center"/>
    </xf>
    <xf borderId="35" fillId="0" fontId="9" numFmtId="165" xfId="0" applyAlignment="1" applyBorder="1" applyFont="1" applyNumberFormat="1">
      <alignment horizontal="center"/>
    </xf>
    <xf borderId="23" fillId="0" fontId="9" numFmtId="165" xfId="0" applyAlignment="1" applyBorder="1" applyFont="1" applyNumberFormat="1">
      <alignment horizontal="center"/>
    </xf>
    <xf borderId="30" fillId="0" fontId="9" numFmtId="0" xfId="0" applyAlignment="1" applyBorder="1" applyFont="1">
      <alignment horizontal="center"/>
    </xf>
    <xf borderId="7" fillId="0" fontId="9" numFmtId="0" xfId="0" applyAlignment="1" applyBorder="1" applyFont="1">
      <alignment horizontal="center"/>
    </xf>
    <xf borderId="36" fillId="0" fontId="9" numFmtId="165" xfId="0" applyAlignment="1" applyBorder="1" applyFont="1" applyNumberFormat="1">
      <alignment horizontal="center"/>
    </xf>
    <xf borderId="26" fillId="0" fontId="9" numFmtId="165" xfId="0" applyAlignment="1" applyBorder="1" applyFont="1" applyNumberFormat="1">
      <alignment horizontal="center"/>
    </xf>
    <xf borderId="2" fillId="0" fontId="9" numFmtId="9" xfId="0" applyAlignment="1" applyBorder="1" applyFont="1" applyNumberFormat="1">
      <alignment horizontal="center"/>
    </xf>
    <xf borderId="21" fillId="0" fontId="9" numFmtId="9" xfId="0" applyAlignment="1" applyBorder="1" applyFont="1" applyNumberFormat="1">
      <alignment horizontal="center"/>
    </xf>
    <xf borderId="2" fillId="0" fontId="9" numFmtId="16" xfId="0" applyAlignment="1" applyBorder="1" applyFont="1" applyNumberFormat="1">
      <alignment horizontal="center"/>
    </xf>
    <xf borderId="5" fillId="0" fontId="9" numFmtId="9" xfId="0" applyAlignment="1" applyBorder="1" applyFont="1" applyNumberFormat="1">
      <alignment horizontal="center"/>
    </xf>
    <xf borderId="23" fillId="0" fontId="9" numFmtId="9" xfId="0" applyAlignment="1" applyBorder="1" applyFont="1" applyNumberFormat="1">
      <alignment horizontal="center"/>
    </xf>
    <xf borderId="25" fillId="0" fontId="9" numFmtId="9" xfId="0" applyAlignment="1" applyBorder="1" applyFont="1" applyNumberFormat="1">
      <alignment horizontal="center"/>
    </xf>
    <xf borderId="26" fillId="0" fontId="9" numFmtId="9" xfId="0" applyAlignment="1" applyBorder="1" applyFont="1" applyNumberFormat="1">
      <alignment horizontal="center"/>
    </xf>
    <xf borderId="28" fillId="0" fontId="9" numFmtId="0" xfId="0" applyAlignment="1" applyBorder="1" applyFont="1">
      <alignment horizontal="center" shrinkToFit="0" wrapText="1"/>
    </xf>
    <xf borderId="2" fillId="0" fontId="9" numFmtId="166" xfId="0" applyAlignment="1" applyBorder="1" applyFont="1" applyNumberFormat="1">
      <alignment horizontal="center"/>
    </xf>
    <xf borderId="2" fillId="0" fontId="9" numFmtId="10" xfId="0" applyAlignment="1" applyBorder="1" applyFont="1" applyNumberFormat="1">
      <alignment horizontal="center"/>
    </xf>
    <xf borderId="37" fillId="0" fontId="9" numFmtId="0" xfId="0" applyAlignment="1" applyBorder="1" applyFont="1">
      <alignment horizontal="center"/>
    </xf>
    <xf borderId="31" fillId="0" fontId="9" numFmtId="0" xfId="0" applyAlignment="1" applyBorder="1" applyFont="1">
      <alignment horizontal="center"/>
    </xf>
    <xf borderId="31" fillId="0" fontId="9" numFmtId="166" xfId="0" applyAlignment="1" applyBorder="1" applyFont="1" applyNumberFormat="1">
      <alignment horizontal="center"/>
    </xf>
    <xf borderId="31" fillId="0" fontId="9" numFmtId="165" xfId="0" applyAlignment="1" applyBorder="1" applyFont="1" applyNumberFormat="1">
      <alignment horizontal="center"/>
    </xf>
    <xf borderId="31" fillId="0" fontId="9" numFmtId="10" xfId="0" applyAlignment="1" applyBorder="1" applyFont="1" applyNumberFormat="1">
      <alignment horizontal="center"/>
    </xf>
    <xf borderId="32" fillId="0" fontId="9" numFmtId="10" xfId="0" applyAlignment="1" applyBorder="1" applyFont="1" applyNumberFormat="1">
      <alignment horizontal="center"/>
    </xf>
    <xf borderId="10" fillId="0" fontId="9" numFmtId="0" xfId="0" applyAlignment="1" applyBorder="1" applyFont="1">
      <alignment horizontal="center"/>
    </xf>
    <xf borderId="0" fillId="0" fontId="9" numFmtId="166" xfId="0" applyAlignment="1" applyFont="1" applyNumberFormat="1">
      <alignment horizontal="center"/>
    </xf>
    <xf borderId="0" fillId="0" fontId="9" numFmtId="0" xfId="0" applyAlignment="1" applyFont="1">
      <alignment horizontal="left" readingOrder="0" shrinkToFit="0" wrapText="0"/>
    </xf>
    <xf borderId="38" fillId="0" fontId="9" numFmtId="0" xfId="0" applyAlignment="1" applyBorder="1" applyFont="1">
      <alignment horizontal="center"/>
    </xf>
    <xf borderId="25" fillId="0" fontId="9" numFmtId="166" xfId="0" applyAlignment="1" applyBorder="1" applyFont="1" applyNumberFormat="1">
      <alignment horizontal="center"/>
    </xf>
    <xf borderId="25" fillId="0" fontId="9" numFmtId="10" xfId="0" applyAlignment="1" applyBorder="1" applyFont="1" applyNumberFormat="1">
      <alignment horizontal="center"/>
    </xf>
    <xf borderId="26" fillId="0" fontId="9" numFmtId="10" xfId="0" applyAlignment="1" applyBorder="1" applyFont="1" applyNumberFormat="1">
      <alignment horizontal="center"/>
    </xf>
    <xf borderId="0" fillId="0" fontId="9" numFmtId="10" xfId="0" applyAlignment="1" applyFont="1" applyNumberFormat="1">
      <alignment horizontal="center"/>
    </xf>
    <xf borderId="0" fillId="0" fontId="9" numFmtId="9" xfId="0" applyAlignment="1" applyFont="1" applyNumberFormat="1">
      <alignment horizontal="center"/>
    </xf>
  </cellXfs>
  <cellStyles count="1">
    <cellStyle xfId="0" name="Normal" builtinId="0"/>
  </cellStyles>
  <dxfs count="17">
    <dxf>
      <font>
        <color rgb="FFFF0000"/>
      </font>
      <fill>
        <patternFill patternType="none"/>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border>
        <left style="thin">
          <color rgb="FF356854"/>
        </left>
        <right style="thin">
          <color rgb="FF356854"/>
        </right>
        <top style="thin">
          <color rgb="FF356854"/>
        </top>
        <bottom style="thin">
          <color rgb="FF356854"/>
        </bottom>
      </border>
    </dxf>
    <dxf>
      <font/>
      <fill>
        <patternFill patternType="solid">
          <fgColor rgb="FFF8F9FA"/>
          <bgColor rgb="FFF8F9FA"/>
        </patternFill>
      </fill>
      <border/>
    </dxf>
    <dxf>
      <font/>
      <fill>
        <patternFill patternType="solid">
          <fgColor rgb="FFF3F3F3"/>
          <bgColor rgb="FFF3F3F3"/>
        </patternFill>
      </fill>
      <border/>
    </dxf>
    <dxf>
      <font/>
      <fill>
        <patternFill patternType="solid">
          <fgColor rgb="FFF6F8F9"/>
          <bgColor rgb="FFF6F8F9"/>
        </patternFill>
      </fill>
      <border/>
    </dxf>
    <dxf>
      <font/>
      <fill>
        <patternFill patternType="solid">
          <fgColor rgb="FFDAEEF3"/>
          <bgColor rgb="FFDAEEF3"/>
        </patternFill>
      </fill>
      <border/>
    </dxf>
    <dxf>
      <font/>
      <fill>
        <patternFill patternType="solid">
          <fgColor rgb="FFFCE5CD"/>
          <bgColor rgb="FFFCE5CD"/>
        </patternFill>
      </fill>
      <border/>
    </dxf>
    <dxf>
      <font/>
      <fill>
        <patternFill patternType="solid">
          <fgColor rgb="FFDDD9C4"/>
          <bgColor rgb="FFDDD9C4"/>
        </patternFill>
      </fill>
      <border/>
    </dxf>
    <dxf>
      <font/>
      <fill>
        <patternFill patternType="solid">
          <fgColor rgb="FFE4DFEC"/>
          <bgColor rgb="FFE4DFEC"/>
        </patternFill>
      </fill>
      <border/>
    </dxf>
    <dxf>
      <font/>
      <fill>
        <patternFill patternType="solid">
          <fgColor rgb="FFF2DCDB"/>
          <bgColor rgb="FFF2DCDB"/>
        </patternFill>
      </fill>
      <border/>
    </dxf>
    <dxf>
      <font/>
      <fill>
        <patternFill patternType="solid">
          <fgColor rgb="FFD9EAD3"/>
          <bgColor rgb="FFD9EAD3"/>
        </patternFill>
      </fill>
      <border/>
    </dxf>
    <dxf>
      <font/>
      <fill>
        <patternFill patternType="solid">
          <fgColor rgb="FFF1C232"/>
          <bgColor rgb="FFF1C232"/>
        </patternFill>
      </fill>
      <border/>
    </dxf>
    <dxf>
      <font/>
      <fill>
        <patternFill patternType="solid">
          <fgColor rgb="FFD9D2E9"/>
          <bgColor rgb="FFD9D2E9"/>
        </patternFill>
      </fill>
      <border/>
    </dxf>
    <dxf>
      <font/>
      <fill>
        <patternFill patternType="solid">
          <fgColor rgb="FFB7E1CD"/>
          <bgColor rgb="FFB7E1CD"/>
        </patternFill>
      </fill>
      <border/>
    </dxf>
  </dxfs>
  <tableStyles count="8">
    <tableStyle count="4" pivot="0" name="Numbers-style">
      <tableStyleElement dxfId="2" type="headerRow"/>
      <tableStyleElement dxfId="3" type="firstRowStripe"/>
      <tableStyleElement dxfId="3" type="secondRowStripe"/>
      <tableStyleElement dxfId="4" size="0" type="wholeTable"/>
    </tableStyle>
    <tableStyle count="4" pivot="0" name="Numbers-style 2">
      <tableStyleElement dxfId="2" type="headerRow"/>
      <tableStyleElement dxfId="3" type="firstRowStripe"/>
      <tableStyleElement dxfId="5" type="secondRowStripe"/>
      <tableStyleElement dxfId="4" size="0" type="wholeTable"/>
    </tableStyle>
    <tableStyle count="4" pivot="0" name="Numbers-style 3">
      <tableStyleElement dxfId="2" type="headerRow"/>
      <tableStyleElement dxfId="3" type="firstRowStripe"/>
      <tableStyleElement dxfId="5" type="secondRowStripe"/>
      <tableStyleElement dxfId="4" size="0" type="wholeTable"/>
    </tableStyle>
    <tableStyle count="4" pivot="0" name="Numbers-style 4">
      <tableStyleElement dxfId="2" type="headerRow"/>
      <tableStyleElement dxfId="3" type="firstRowStripe"/>
      <tableStyleElement dxfId="5" type="secondRowStripe"/>
      <tableStyleElement dxfId="4" size="0" type="wholeTable"/>
    </tableStyle>
    <tableStyle count="4" pivot="0" name="Numbers-style 5">
      <tableStyleElement dxfId="2" type="headerRow"/>
      <tableStyleElement dxfId="3" type="firstRowStripe"/>
      <tableStyleElement dxfId="5" type="secondRowStripe"/>
      <tableStyleElement dxfId="4" size="0" type="wholeTable"/>
    </tableStyle>
    <tableStyle count="4" pivot="0" name="Numbers-style 6">
      <tableStyleElement dxfId="2" type="headerRow"/>
      <tableStyleElement dxfId="3" type="firstRowStripe"/>
      <tableStyleElement dxfId="5" type="secondRowStripe"/>
      <tableStyleElement dxfId="4" size="0" type="wholeTable"/>
    </tableStyle>
    <tableStyle count="4" pivot="0" name="Numbers-style 7">
      <tableStyleElement dxfId="2" type="headerRow"/>
      <tableStyleElement dxfId="3" type="firstRowStripe"/>
      <tableStyleElement dxfId="5" type="secondRowStripe"/>
      <tableStyleElement dxfId="4" size="0" type="wholeTable"/>
    </tableStyle>
    <tableStyle count="4" pivot="0" name="Display_OreTypes-style">
      <tableStyleElement dxfId="2" type="headerRow"/>
      <tableStyleElement dxfId="3" type="firstRowStripe"/>
      <tableStyleElement dxfId="7" type="secondRowStripe"/>
      <tableStyleElement dxfId="4"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Yield vs Ore Mass</a:t>
            </a:r>
          </a:p>
        </c:rich>
      </c:tx>
      <c:overlay val="0"/>
    </c:title>
    <c:plotArea>
      <c:layout/>
      <c:scatterChart>
        <c:scatterStyle val="lineMarker"/>
        <c:varyColors val="0"/>
        <c:ser>
          <c:idx val="0"/>
          <c:order val="0"/>
          <c:tx>
            <c:strRef>
              <c:f>Raw!$BL$1</c:f>
            </c:strRef>
          </c:tx>
          <c:spPr>
            <a:ln>
              <a:noFill/>
            </a:ln>
          </c:spPr>
          <c:marker>
            <c:symbol val="circle"/>
            <c:size val="7"/>
            <c:spPr>
              <a:solidFill>
                <a:schemeClr val="accent1"/>
              </a:solidFill>
              <a:ln cmpd="sng">
                <a:solidFill>
                  <a:schemeClr val="accent1"/>
                </a:solidFill>
              </a:ln>
            </c:spPr>
          </c:marker>
          <c:trendline>
            <c:name/>
            <c:spPr>
              <a:ln w="19050">
                <a:solidFill>
                  <a:srgbClr val="000000"/>
                </a:solidFill>
              </a:ln>
            </c:spPr>
            <c:trendlineType val="linear"/>
            <c:dispRSqr val="0"/>
            <c:dispEq val="0"/>
          </c:trendline>
          <c:xVal>
            <c:numRef>
              <c:f>Raw!$CW$2:$CW$977</c:f>
            </c:numRef>
          </c:xVal>
          <c:yVal>
            <c:numRef>
              <c:f>Raw!$BL$2:$BL$977</c:f>
              <c:numCache/>
            </c:numRef>
          </c:yVal>
        </c:ser>
        <c:dLbls>
          <c:showLegendKey val="0"/>
          <c:showVal val="0"/>
          <c:showCatName val="0"/>
          <c:showSerName val="0"/>
          <c:showPercent val="0"/>
          <c:showBubbleSize val="0"/>
        </c:dLbls>
        <c:axId val="1803677991"/>
        <c:axId val="182854270"/>
      </c:scatterChart>
      <c:valAx>
        <c:axId val="1803677991"/>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Yield %</a:t>
                </a:r>
              </a:p>
            </c:rich>
          </c:tx>
          <c:overlay val="0"/>
        </c:title>
        <c:numFmt formatCode="General" sourceLinked="1"/>
        <c:majorTickMark val="out"/>
        <c:minorTickMark val="none"/>
        <c:tickLblPos val="nextTo"/>
        <c:spPr>
          <a:ln/>
        </c:spPr>
        <c:txPr>
          <a:bodyPr/>
          <a:lstStyle/>
          <a:p>
            <a:pPr lvl="0">
              <a:defRPr b="0">
                <a:solidFill>
                  <a:srgbClr val="000000"/>
                </a:solidFill>
                <a:latin typeface="Arial"/>
              </a:defRPr>
            </a:pPr>
          </a:p>
        </c:txPr>
        <c:crossAx val="182854270"/>
      </c:valAx>
      <c:valAx>
        <c:axId val="18285427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Ore Mass (Kg)</a:t>
                </a:r>
              </a:p>
            </c:rich>
          </c:tx>
          <c:overlay val="0"/>
        </c:title>
        <c:numFmt formatCode="General" sourceLinked="1"/>
        <c:majorTickMark val="none"/>
        <c:minorTickMark val="none"/>
        <c:tickLblPos val="nextTo"/>
        <c:spPr>
          <a:ln/>
        </c:spPr>
        <c:txPr>
          <a:bodyPr/>
          <a:lstStyle/>
          <a:p>
            <a:pPr lvl="0">
              <a:defRPr b="0">
                <a:solidFill>
                  <a:srgbClr val="000000"/>
                </a:solidFill>
                <a:latin typeface="Arial"/>
              </a:defRPr>
            </a:pPr>
          </a:p>
        </c:txPr>
        <c:crossAx val="1803677991"/>
      </c:valAx>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Yield % vs. Burn Rate (Min/Kg)</a:t>
            </a:r>
          </a:p>
        </c:rich>
      </c:tx>
      <c:overlay val="0"/>
    </c:title>
    <c:plotArea>
      <c:layout/>
      <c:scatterChart>
        <c:scatterStyle val="lineMarker"/>
        <c:varyColors val="0"/>
        <c:ser>
          <c:idx val="0"/>
          <c:order val="0"/>
          <c:tx>
            <c:strRef>
              <c:f>Display_Yields!$E$1</c:f>
            </c:strRef>
          </c:tx>
          <c:spPr>
            <a:ln>
              <a:noFill/>
            </a:ln>
          </c:spPr>
          <c:marker>
            <c:symbol val="circle"/>
            <c:size val="7"/>
            <c:spPr>
              <a:solidFill>
                <a:schemeClr val="accent1"/>
              </a:solidFill>
              <a:ln cmpd="sng">
                <a:solidFill>
                  <a:schemeClr val="accent1"/>
                </a:solidFill>
              </a:ln>
            </c:spPr>
          </c:marker>
          <c:trendline>
            <c:name/>
            <c:spPr>
              <a:ln w="19050">
                <a:solidFill>
                  <a:srgbClr val="000000"/>
                </a:solidFill>
              </a:ln>
            </c:spPr>
            <c:trendlineType val="linear"/>
            <c:dispRSqr val="0"/>
            <c:dispEq val="0"/>
          </c:trendline>
          <c:xVal>
            <c:numRef>
              <c:f>Raw!$CW$2:$CW$977</c:f>
            </c:numRef>
          </c:xVal>
          <c:yVal>
            <c:numRef>
              <c:f>Display_Yields!$E$2:$E$99</c:f>
              <c:numCache/>
            </c:numRef>
          </c:yVal>
        </c:ser>
        <c:dLbls>
          <c:showLegendKey val="0"/>
          <c:showVal val="0"/>
          <c:showCatName val="0"/>
          <c:showSerName val="0"/>
          <c:showPercent val="0"/>
          <c:showBubbleSize val="0"/>
        </c:dLbls>
        <c:axId val="1286912956"/>
        <c:axId val="284079922"/>
      </c:scatterChart>
      <c:valAx>
        <c:axId val="1286912956"/>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Yield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84079922"/>
      </c:valAx>
      <c:valAx>
        <c:axId val="28407992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Burn Rate (Min/Kg)</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286912956"/>
      </c:valAx>
    </c:plotArea>
    <c:legend>
      <c:legendPos val="r"/>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Ore Fe % vs Yield %</a:t>
            </a:r>
          </a:p>
        </c:rich>
      </c:tx>
      <c:overlay val="0"/>
    </c:title>
    <c:plotArea>
      <c:layout/>
      <c:scatterChart>
        <c:scatterStyle val="lineMarker"/>
        <c:varyColors val="0"/>
        <c:ser>
          <c:idx val="0"/>
          <c:order val="0"/>
          <c:tx>
            <c:strRef>
              <c:f>Raw!$BL$1</c:f>
            </c:strRef>
          </c:tx>
          <c:spPr>
            <a:ln>
              <a:noFill/>
            </a:ln>
          </c:spPr>
          <c:marker>
            <c:symbol val="circle"/>
            <c:size val="7"/>
            <c:spPr>
              <a:solidFill>
                <a:schemeClr val="accent1"/>
              </a:solidFill>
              <a:ln cmpd="sng">
                <a:solidFill>
                  <a:schemeClr val="accent1"/>
                </a:solidFill>
              </a:ln>
            </c:spPr>
          </c:marker>
          <c:trendline>
            <c:name/>
            <c:spPr>
              <a:ln w="19050">
                <a:solidFill>
                  <a:srgbClr val="000000"/>
                </a:solidFill>
              </a:ln>
            </c:spPr>
            <c:trendlineType val="linear"/>
            <c:dispRSqr val="0"/>
            <c:dispEq val="0"/>
          </c:trendline>
          <c:xVal>
            <c:numRef>
              <c:f>Raw!$CW$2:$CW$977</c:f>
            </c:numRef>
          </c:xVal>
          <c:yVal>
            <c:numRef>
              <c:f>Raw!$BL$2:$BL$977</c:f>
              <c:numCache/>
            </c:numRef>
          </c:yVal>
        </c:ser>
        <c:dLbls>
          <c:showLegendKey val="0"/>
          <c:showVal val="0"/>
          <c:showCatName val="0"/>
          <c:showSerName val="0"/>
          <c:showPercent val="0"/>
          <c:showBubbleSize val="0"/>
        </c:dLbls>
        <c:axId val="2087879688"/>
        <c:axId val="2001314150"/>
      </c:scatterChart>
      <c:valAx>
        <c:axId val="2087879688"/>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Yield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01314150"/>
      </c:valAx>
      <c:valAx>
        <c:axId val="2001314150"/>
        <c:scaling>
          <c:orientation val="minMax"/>
          <c:min val="3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Ore Fe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87879688"/>
      </c:valAx>
    </c:plotArea>
    <c:legend>
      <c:legendPos val="r"/>
      <c:overlay val="0"/>
      <c:txPr>
        <a:bodyPr/>
        <a:lstStyle/>
        <a:p>
          <a:pPr lvl="0">
            <a:defRPr b="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Yield % vs Available Fe (Kg)</a:t>
            </a:r>
          </a:p>
        </c:rich>
      </c:tx>
      <c:overlay val="0"/>
    </c:title>
    <c:plotArea>
      <c:layout/>
      <c:scatterChart>
        <c:scatterStyle val="lineMarker"/>
        <c:varyColors val="0"/>
        <c:ser>
          <c:idx val="0"/>
          <c:order val="0"/>
          <c:tx>
            <c:strRef>
              <c:f>Calcs!$AA$1</c:f>
            </c:strRef>
          </c:tx>
          <c:spPr>
            <a:ln>
              <a:noFill/>
            </a:ln>
          </c:spPr>
          <c:marker>
            <c:symbol val="circle"/>
            <c:size val="7"/>
            <c:spPr>
              <a:solidFill>
                <a:schemeClr val="accent1"/>
              </a:solidFill>
              <a:ln cmpd="sng">
                <a:solidFill>
                  <a:schemeClr val="accent1"/>
                </a:solidFill>
              </a:ln>
            </c:spPr>
          </c:marker>
          <c:trendline>
            <c:name/>
            <c:spPr>
              <a:ln w="19050">
                <a:solidFill>
                  <a:srgbClr val="000000"/>
                </a:solidFill>
              </a:ln>
            </c:spPr>
            <c:trendlineType val="linear"/>
            <c:dispRSqr val="0"/>
            <c:dispEq val="0"/>
          </c:trendline>
          <c:xVal>
            <c:numRef>
              <c:f>Raw!$CW$2:$CW$977</c:f>
            </c:numRef>
          </c:xVal>
          <c:yVal>
            <c:numRef>
              <c:f>Calcs!$AA$2:$AA$1000</c:f>
              <c:numCache/>
            </c:numRef>
          </c:yVal>
        </c:ser>
        <c:dLbls>
          <c:showLegendKey val="0"/>
          <c:showVal val="0"/>
          <c:showCatName val="0"/>
          <c:showSerName val="0"/>
          <c:showPercent val="0"/>
          <c:showBubbleSize val="0"/>
        </c:dLbls>
        <c:axId val="1775064060"/>
        <c:axId val="241338528"/>
      </c:scatterChart>
      <c:valAx>
        <c:axId val="1775064060"/>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Yield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41338528"/>
      </c:valAx>
      <c:valAx>
        <c:axId val="2413385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Available Fe (Kg)</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775064060"/>
      </c:valAx>
    </c:plotArea>
    <c:legend>
      <c:legendPos val="r"/>
      <c:overlay val="0"/>
      <c:txPr>
        <a:bodyPr/>
        <a:lstStyle/>
        <a:p>
          <a:pPr lvl="0">
            <a:defRPr b="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Yield by Content Type</a:t>
            </a:r>
          </a:p>
        </c:rich>
      </c:tx>
      <c:overlay val="0"/>
    </c:title>
    <c:plotArea>
      <c:layout/>
      <c:scatterChart>
        <c:scatterStyle val="lineMarker"/>
        <c:ser>
          <c:idx val="0"/>
          <c:order val="0"/>
          <c:tx>
            <c:strRef>
              <c:f>Calcs!$AC$1</c:f>
            </c:strRef>
          </c:tx>
          <c:spPr>
            <a:ln>
              <a:noFill/>
            </a:ln>
          </c:spPr>
          <c:marker>
            <c:symbol val="circle"/>
            <c:size val="7"/>
            <c:spPr>
              <a:solidFill>
                <a:schemeClr val="accent1"/>
              </a:solidFill>
              <a:ln cmpd="sng">
                <a:solidFill>
                  <a:schemeClr val="accent1"/>
                </a:solidFill>
              </a:ln>
            </c:spPr>
          </c:marker>
          <c:xVal>
            <c:numRef>
              <c:f>Calcs!$AA$2:$AA$104</c:f>
            </c:numRef>
          </c:xVal>
          <c:yVal>
            <c:numRef>
              <c:f>Calcs!$AC$2:$AC$104</c:f>
              <c:numCache/>
            </c:numRef>
          </c:yVal>
        </c:ser>
        <c:ser>
          <c:idx val="1"/>
          <c:order val="1"/>
          <c:tx>
            <c:strRef>
              <c:f>Calcs!$AD$1</c:f>
            </c:strRef>
          </c:tx>
          <c:spPr>
            <a:ln>
              <a:noFill/>
            </a:ln>
          </c:spPr>
          <c:marker>
            <c:symbol val="circle"/>
            <c:size val="7"/>
            <c:spPr>
              <a:solidFill>
                <a:schemeClr val="accent2"/>
              </a:solidFill>
              <a:ln cmpd="sng">
                <a:solidFill>
                  <a:schemeClr val="accent2"/>
                </a:solidFill>
              </a:ln>
            </c:spPr>
          </c:marker>
          <c:xVal>
            <c:numRef>
              <c:f>Calcs!$AA$2:$AA$104</c:f>
            </c:numRef>
          </c:xVal>
          <c:yVal>
            <c:numRef>
              <c:f>Calcs!$AD$2:$AD$104</c:f>
              <c:numCache/>
            </c:numRef>
          </c:yVal>
        </c:ser>
        <c:ser>
          <c:idx val="2"/>
          <c:order val="2"/>
          <c:tx>
            <c:strRef>
              <c:f>Calcs!$AE$1</c:f>
            </c:strRef>
          </c:tx>
          <c:spPr>
            <a:ln>
              <a:noFill/>
            </a:ln>
          </c:spPr>
          <c:marker>
            <c:symbol val="circle"/>
            <c:size val="7"/>
            <c:spPr>
              <a:solidFill>
                <a:schemeClr val="accent3"/>
              </a:solidFill>
              <a:ln cmpd="sng">
                <a:solidFill>
                  <a:schemeClr val="accent3"/>
                </a:solidFill>
              </a:ln>
            </c:spPr>
          </c:marker>
          <c:xVal>
            <c:numRef>
              <c:f>Calcs!$AA$2:$AA$104</c:f>
            </c:numRef>
          </c:xVal>
          <c:yVal>
            <c:numRef>
              <c:f>Calcs!$AE$2:$AE$104</c:f>
              <c:numCache/>
            </c:numRef>
          </c:yVal>
        </c:ser>
        <c:ser>
          <c:idx val="3"/>
          <c:order val="3"/>
          <c:tx>
            <c:strRef>
              <c:f>Calcs!$AF$1</c:f>
            </c:strRef>
          </c:tx>
          <c:spPr>
            <a:ln>
              <a:noFill/>
            </a:ln>
          </c:spPr>
          <c:marker>
            <c:symbol val="circle"/>
            <c:size val="7"/>
            <c:spPr>
              <a:solidFill>
                <a:srgbClr val="FF9900"/>
              </a:solidFill>
              <a:ln cmpd="sng">
                <a:solidFill>
                  <a:srgbClr val="FF9900"/>
                </a:solidFill>
              </a:ln>
            </c:spPr>
          </c:marker>
          <c:xVal>
            <c:numRef>
              <c:f>Calcs!$AA$2:$AA$104</c:f>
            </c:numRef>
          </c:xVal>
          <c:yVal>
            <c:numRef>
              <c:f>Calcs!$AF$2:$AF$104</c:f>
              <c:numCache/>
            </c:numRef>
          </c:yVal>
        </c:ser>
        <c:dLbls>
          <c:showLegendKey val="0"/>
          <c:showVal val="0"/>
          <c:showCatName val="0"/>
          <c:showSerName val="0"/>
          <c:showPercent val="0"/>
          <c:showBubbleSize val="0"/>
        </c:dLbls>
        <c:axId val="1564011322"/>
        <c:axId val="1621538671"/>
      </c:scatterChart>
      <c:valAx>
        <c:axId val="1564011322"/>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Available Fe (Kg)</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621538671"/>
      </c:valAx>
      <c:valAx>
        <c:axId val="162153867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Yield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64011322"/>
      </c:valAx>
    </c:plotArea>
    <c:legend>
      <c:legendPos val="r"/>
      <c:overlay val="0"/>
      <c:txPr>
        <a:bodyPr/>
        <a:lstStyle/>
        <a:p>
          <a:pPr lvl="0">
            <a:defRPr b="0">
              <a:solidFill>
                <a:srgbClr val="1A1A1A"/>
              </a:solidFill>
              <a:latin typeface="+mn-lt"/>
            </a:defRPr>
          </a:pPr>
        </a:p>
      </c:txPr>
    </c:legend>
    <c:plotVisOnly val="1"/>
  </c:chart>
</c:chartSpace>
</file>

<file path=xl/drawings/_rels/drawing1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171450</xdr:colOff>
      <xdr:row>2</xdr:row>
      <xdr:rowOff>85725</xdr:rowOff>
    </xdr:from>
    <xdr:ext cx="5648325" cy="347662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171450</xdr:colOff>
      <xdr:row>29</xdr:row>
      <xdr:rowOff>85725</xdr:rowOff>
    </xdr:from>
    <xdr:ext cx="5715000" cy="353377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15</xdr:col>
      <xdr:colOff>47625</xdr:colOff>
      <xdr:row>6</xdr:row>
      <xdr:rowOff>57150</xdr:rowOff>
    </xdr:from>
    <xdr:ext cx="5715000" cy="3533775"/>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15</xdr:col>
      <xdr:colOff>47625</xdr:colOff>
      <xdr:row>29</xdr:row>
      <xdr:rowOff>85725</xdr:rowOff>
    </xdr:from>
    <xdr:ext cx="5715000" cy="3533775"/>
    <xdr:graphicFrame>
      <xdr:nvGraphicFramePr>
        <xdr:cNvPr id="4" name="Chart 4"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6</xdr:col>
      <xdr:colOff>171450</xdr:colOff>
      <xdr:row>54</xdr:row>
      <xdr:rowOff>114300</xdr:rowOff>
    </xdr:from>
    <xdr:ext cx="6962775" cy="3533775"/>
    <xdr:graphicFrame>
      <xdr:nvGraphicFramePr>
        <xdr:cNvPr id="5" name="Chart 5" title="Chart"/>
        <xdr:cNvGraphicFramePr/>
      </xdr:nvGraphicFramePr>
      <xdr:xfrm>
        <a:off x="0" y="0"/>
        <a:ext cx="0" cy="0"/>
      </xdr:xfrm>
      <a:graphic>
        <a:graphicData uri="http://schemas.openxmlformats.org/drawingml/2006/chart">
          <c:chart r:id="rId5"/>
        </a:graphicData>
      </a:graphic>
    </xdr:graphicFrame>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D7" displayName="Oxides" name="Oxides" id="1">
  <tableColumns count="4">
    <tableColumn name="Oxide" id="1"/>
    <tableColumn name="Total" id="2"/>
    <tableColumn name="Iron" id="3"/>
    <tableColumn name="Fe %" id="4"/>
  </tableColumns>
  <tableStyleInfo name="Numbers-style" showColumnStripes="0" showFirstColumn="1" showLastColumn="1" showRowStripes="1"/>
</table>
</file>

<file path=xl/tables/table2.xml><?xml version="1.0" encoding="utf-8"?>
<table xmlns="http://schemas.openxmlformats.org/spreadsheetml/2006/main" ref="F2:G7" displayName="Element_Mass" name="Element_Mass" id="2">
  <tableColumns count="2">
    <tableColumn name="Element" id="1"/>
    <tableColumn name="Mass" id="2"/>
  </tableColumns>
  <tableStyleInfo name="Numbers-style 2" showColumnStripes="0" showFirstColumn="1" showLastColumn="1" showRowStripes="1"/>
</table>
</file>

<file path=xl/tables/table3.xml><?xml version="1.0" encoding="utf-8"?>
<table xmlns="http://schemas.openxmlformats.org/spreadsheetml/2006/main" ref="N2:Z41" displayName="Ores" name="Ores" id="3">
  <tableColumns count="13">
    <tableColumn name="Ore" id="1"/>
    <tableColumn name="SiO2 %" id="2"/>
    <tableColumn name="MgO %" id="3"/>
    <tableColumn name="Al2O3 %" id="4"/>
    <tableColumn name="MnO %" id="5"/>
    <tableColumn name="CaO %" id="6"/>
    <tableColumn name="S04" id="7"/>
    <tableColumn name="P2O5" id="8"/>
    <tableColumn name="Oxide" id="9"/>
    <tableColumn name="% Oxide" id="10"/>
    <tableColumn name="% Fe" id="11"/>
    <tableColumn name="Source" id="12"/>
    <tableColumn name="Normalize" id="13"/>
  </tableColumns>
  <tableStyleInfo name="Numbers-style 3" showColumnStripes="0" showFirstColumn="1" showLastColumn="1" showRowStripes="1"/>
</table>
</file>

<file path=xl/tables/table4.xml><?xml version="1.0" encoding="utf-8"?>
<table xmlns="http://schemas.openxmlformats.org/spreadsheetml/2006/main" ref="A9:K12" displayName="Sources" name="Sources" id="4">
  <tableColumns count="11">
    <tableColumn name="Source" id="1"/>
    <tableColumn name="Oxide" id="2"/>
    <tableColumn name="Oxide %" id="3"/>
    <tableColumn name="Fe %" id="4"/>
    <tableColumn name="Si02 %" id="5"/>
    <tableColumn name="MgO %" id="6"/>
    <tableColumn name="Al2O3 %" id="7"/>
    <tableColumn name="MnO" id="8"/>
    <tableColumn name="CaO" id="9"/>
    <tableColumn name="SO4" id="10"/>
    <tableColumn name="P2O5" id="11"/>
  </tableColumns>
  <tableStyleInfo name="Numbers-style 4" showColumnStripes="0" showFirstColumn="1" showLastColumn="1" showRowStripes="1"/>
</table>
</file>

<file path=xl/tables/table5.xml><?xml version="1.0" encoding="utf-8"?>
<table xmlns="http://schemas.openxmlformats.org/spreadsheetml/2006/main" ref="A16:K30" displayName="Analogs" name="Analogs" id="5">
  <tableColumns count="11">
    <tableColumn name="Analog" id="1"/>
    <tableColumn name="Source" id="2"/>
    <tableColumn name="Source %" id="3"/>
    <tableColumn name="Fe %" id="4"/>
    <tableColumn name="SiO2 %" id="5"/>
    <tableColumn name="MgO %" id="6"/>
    <tableColumn name="Al2O3 %" id="7"/>
    <tableColumn name="MnO" id="8"/>
    <tableColumn name="CaO" id="9"/>
    <tableColumn name="SO4" id="10"/>
    <tableColumn name="P2O5" id="11"/>
  </tableColumns>
  <tableStyleInfo name="Numbers-style 5" showColumnStripes="0" showFirstColumn="1" showLastColumn="1" showRowStripes="1"/>
</table>
</file>

<file path=xl/tables/table6.xml><?xml version="1.0" encoding="utf-8"?>
<table xmlns="http://schemas.openxmlformats.org/spreadsheetml/2006/main" ref="A35:I48" displayName="Mixes" name="Mixes" id="6">
  <tableColumns count="9">
    <tableColumn name="Analog" id="1"/>
    <tableColumn name="Spanish Red" id="2"/>
    <tableColumn name="St. Lunaire Ore" id="3"/>
    <tableColumn name="Iron Black" id="4"/>
    <tableColumn name="Silica Sand" id="5"/>
    <tableColumn name="Flour" id="6"/>
    <tableColumn name="Hammer scale" id="7"/>
    <tableColumn name="Alumina" id="8"/>
    <tableColumn name="Total" id="9"/>
  </tableColumns>
  <tableStyleInfo name="Numbers-style 6" showColumnStripes="0" showFirstColumn="1" showLastColumn="1" showRowStripes="1"/>
</table>
</file>

<file path=xl/tables/table7.xml><?xml version="1.0" encoding="utf-8"?>
<table xmlns="http://schemas.openxmlformats.org/spreadsheetml/2006/main" ref="N50:O73" displayName="Big_Element" name="Big_Element" id="7">
  <tableColumns count="2">
    <tableColumn name="Element" id="1"/>
    <tableColumn name="Mass" id="2"/>
  </tableColumns>
  <tableStyleInfo name="Numbers-style 7" showColumnStripes="0" showFirstColumn="1" showLastColumn="1" showRowStripes="1"/>
</table>
</file>

<file path=xl/tables/table8.xml><?xml version="1.0" encoding="utf-8"?>
<table xmlns="http://schemas.openxmlformats.org/spreadsheetml/2006/main" ref="G1:I38" displayName="Table1" name="Table1" id="8">
  <tableColumns count="3">
    <tableColumn name="Ore" id="1"/>
    <tableColumn name="% Fe" id="2"/>
    <tableColumn name="Times Used" id="3"/>
  </tableColumns>
  <tableStyleInfo name="Display_OreTypes-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11" Type="http://schemas.openxmlformats.org/officeDocument/2006/relationships/table" Target="../tables/table1.xml"/><Relationship Id="rId13" Type="http://schemas.openxmlformats.org/officeDocument/2006/relationships/table" Target="../tables/table3.xml"/><Relationship Id="rId12" Type="http://schemas.openxmlformats.org/officeDocument/2006/relationships/table" Target="../tables/table2.xml"/><Relationship Id="rId15" Type="http://schemas.openxmlformats.org/officeDocument/2006/relationships/table" Target="../tables/table5.xml"/><Relationship Id="rId14" Type="http://schemas.openxmlformats.org/officeDocument/2006/relationships/table" Target="../tables/table4.xml"/><Relationship Id="rId17" Type="http://schemas.openxmlformats.org/officeDocument/2006/relationships/table" Target="../tables/table7.xml"/><Relationship Id="rId16" Type="http://schemas.openxmlformats.org/officeDocument/2006/relationships/table" Target="../tables/table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3" Type="http://schemas.openxmlformats.org/officeDocument/2006/relationships/table" Target="../tables/table8.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10.86"/>
    <col customWidth="1" min="2" max="2" width="15.0"/>
    <col customWidth="1" min="3" max="3" width="21.71"/>
    <col customWidth="1" min="4" max="4" width="21.43"/>
    <col customWidth="1" min="5" max="5" width="10.14"/>
    <col customWidth="1" min="6" max="6" width="18.43"/>
    <col customWidth="1" min="7" max="7" width="9.71"/>
    <col customWidth="1" min="8" max="8" width="11.57"/>
    <col customWidth="1" min="9" max="9" width="27.0"/>
    <col customWidth="1" min="10" max="10" width="21.14"/>
    <col customWidth="1" min="11" max="12" width="9.14"/>
    <col customWidth="1" min="13" max="13" width="13.0"/>
    <col customWidth="1" min="14" max="15" width="9.14"/>
    <col customWidth="1" min="16" max="19" width="8.86"/>
    <col customWidth="1" min="20" max="20" width="10.86"/>
    <col customWidth="1" min="21" max="21" width="10.0"/>
    <col customWidth="1" min="22" max="22" width="8.86"/>
    <col customWidth="1" min="23" max="25" width="7.86"/>
    <col customWidth="1" min="26" max="26" width="8.0"/>
    <col customWidth="1" min="27" max="27" width="9.29"/>
    <col customWidth="1" min="28" max="29" width="10.86"/>
    <col customWidth="1" min="30" max="30" width="12.29"/>
    <col customWidth="1" min="31" max="31" width="9.86"/>
    <col customWidth="1" min="32" max="37" width="10.86"/>
    <col customWidth="1" min="38" max="39" width="13.43"/>
    <col customWidth="1" min="40" max="42" width="10.86"/>
    <col customWidth="1" min="43" max="43" width="19.71"/>
    <col customWidth="1" min="44" max="46" width="16.14"/>
    <col customWidth="1" min="47" max="47" width="9.0"/>
    <col customWidth="1" min="48" max="48" width="11.0"/>
    <col customWidth="1" min="49" max="49" width="8.14"/>
    <col customWidth="1" min="50" max="50" width="33.0"/>
    <col customWidth="1" min="51" max="51" width="7.43"/>
    <col customWidth="1" min="52" max="52" width="20.29"/>
    <col customWidth="1" min="53" max="53" width="5.86"/>
    <col customWidth="1" min="54" max="54" width="16.43"/>
    <col customWidth="1" min="55" max="55" width="7.57"/>
    <col customWidth="1" min="56" max="56" width="16.71"/>
    <col customWidth="1" min="57" max="61" width="7.57"/>
    <col customWidth="1" min="62" max="62" width="9.29"/>
    <col customWidth="1" min="63" max="66" width="8.43"/>
    <col customWidth="1" min="67" max="67" width="12.29"/>
    <col customWidth="1" min="68" max="68" width="8.14"/>
    <col customWidth="1" min="69" max="69" width="8.71"/>
    <col customWidth="1" min="70" max="72" width="9.0"/>
    <col customWidth="1" min="73" max="73" width="8.29"/>
    <col customWidth="1" min="74" max="74" width="10.43"/>
    <col customWidth="1" min="75" max="75" width="9.57"/>
    <col customWidth="1" min="76" max="76" width="10.29"/>
    <col customWidth="1" min="77" max="77" width="9.57"/>
    <col customWidth="1" min="78" max="78" width="13.43"/>
    <col customWidth="1" min="79" max="79" width="11.14"/>
    <col customWidth="1" min="80" max="80" width="15.14"/>
    <col customWidth="1" min="81" max="81" width="20.0"/>
    <col customWidth="1" min="82" max="83" width="11.29"/>
    <col customWidth="1" min="84" max="84" width="10.29"/>
    <col customWidth="1" min="85" max="86" width="8.86"/>
    <col customWidth="1" min="87" max="87" width="8.14"/>
    <col customWidth="1" min="88" max="88" width="10.57"/>
    <col customWidth="1" min="89" max="89" width="9.29"/>
    <col customWidth="1" min="90" max="95" width="11.71"/>
    <col customWidth="1" min="96" max="96" width="14.29"/>
    <col customWidth="1" min="97" max="97" width="7.43"/>
    <col customWidth="1" min="98" max="98" width="18.14"/>
    <col customWidth="1" min="99" max="101" width="10.86"/>
    <col customWidth="1" min="102" max="102" width="12.14"/>
    <col customWidth="1" min="103" max="103" width="17.0"/>
    <col customWidth="1" min="104" max="104" width="16.86"/>
    <col customWidth="1" min="105" max="105" width="21.29"/>
    <col customWidth="1" min="106" max="106" width="41.43"/>
    <col customWidth="1" min="107" max="107" width="40.71"/>
    <col customWidth="1" min="108" max="108" width="43.14"/>
    <col customWidth="1" min="109" max="117" width="10.86"/>
  </cols>
  <sheetData>
    <row r="1" ht="48.75" customHeight="1">
      <c r="A1" s="1" t="s">
        <v>0</v>
      </c>
      <c r="B1" s="1" t="s">
        <v>1</v>
      </c>
      <c r="C1" s="1" t="s">
        <v>2</v>
      </c>
      <c r="D1" s="1" t="s">
        <v>3</v>
      </c>
      <c r="E1" s="2"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3"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4" t="s">
        <v>47</v>
      </c>
      <c r="AW1" s="4" t="s">
        <v>48</v>
      </c>
      <c r="AX1" s="5" t="s">
        <v>49</v>
      </c>
      <c r="AY1" s="5" t="s">
        <v>50</v>
      </c>
      <c r="AZ1" s="5" t="s">
        <v>51</v>
      </c>
      <c r="BA1" s="5" t="s">
        <v>52</v>
      </c>
      <c r="BB1" s="5" t="s">
        <v>53</v>
      </c>
      <c r="BC1" s="5" t="s">
        <v>54</v>
      </c>
      <c r="BD1" s="1" t="s">
        <v>55</v>
      </c>
      <c r="BE1" s="5" t="s">
        <v>56</v>
      </c>
      <c r="BF1" s="1" t="s">
        <v>57</v>
      </c>
      <c r="BG1" s="5"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6" t="s">
        <v>74</v>
      </c>
      <c r="BX1" s="1" t="s">
        <v>75</v>
      </c>
      <c r="BY1" s="7" t="s">
        <v>76</v>
      </c>
      <c r="BZ1" s="7" t="s">
        <v>77</v>
      </c>
      <c r="CA1" s="8" t="s">
        <v>78</v>
      </c>
      <c r="CB1" s="1" t="s">
        <v>79</v>
      </c>
      <c r="CC1" s="1" t="s">
        <v>80</v>
      </c>
      <c r="CD1" s="1" t="s">
        <v>81</v>
      </c>
      <c r="CE1" s="1" t="s">
        <v>82</v>
      </c>
      <c r="CF1" s="1" t="s">
        <v>83</v>
      </c>
      <c r="CG1" s="1" t="s">
        <v>84</v>
      </c>
      <c r="CH1" s="1" t="s">
        <v>85</v>
      </c>
      <c r="CI1" s="1" t="s">
        <v>86</v>
      </c>
      <c r="CJ1" s="1" t="s">
        <v>87</v>
      </c>
      <c r="CK1" s="1" t="s">
        <v>88</v>
      </c>
      <c r="CL1" s="1" t="s">
        <v>89</v>
      </c>
      <c r="CM1" s="1" t="s">
        <v>90</v>
      </c>
      <c r="CN1" s="1" t="s">
        <v>91</v>
      </c>
      <c r="CO1" s="1" t="s">
        <v>92</v>
      </c>
      <c r="CP1" s="1" t="s">
        <v>93</v>
      </c>
      <c r="CQ1" s="1" t="s">
        <v>94</v>
      </c>
      <c r="CR1" s="1" t="s">
        <v>95</v>
      </c>
      <c r="CS1" s="1" t="s">
        <v>96</v>
      </c>
      <c r="CT1" s="1" t="s">
        <v>97</v>
      </c>
      <c r="CU1" s="8" t="s">
        <v>98</v>
      </c>
      <c r="CV1" s="9" t="s">
        <v>99</v>
      </c>
      <c r="CW1" s="8" t="s">
        <v>100</v>
      </c>
      <c r="CX1" s="9" t="s">
        <v>101</v>
      </c>
      <c r="CY1" s="1" t="s">
        <v>102</v>
      </c>
      <c r="CZ1" s="1" t="s">
        <v>103</v>
      </c>
      <c r="DA1" s="1" t="s">
        <v>0</v>
      </c>
      <c r="DB1" s="1" t="s">
        <v>104</v>
      </c>
      <c r="DC1" s="1" t="s">
        <v>105</v>
      </c>
      <c r="DD1" s="10"/>
      <c r="DE1" s="10"/>
      <c r="DF1" s="10"/>
      <c r="DG1" s="10"/>
      <c r="DH1" s="10"/>
      <c r="DI1" s="10"/>
      <c r="DJ1" s="10"/>
      <c r="DK1" s="10"/>
      <c r="DL1" s="10"/>
      <c r="DM1" s="10"/>
    </row>
    <row r="2" ht="21.75" customHeight="1">
      <c r="A2" s="11">
        <v>1.0</v>
      </c>
      <c r="B2" s="12" t="s">
        <v>106</v>
      </c>
      <c r="C2" s="12" t="s">
        <v>107</v>
      </c>
      <c r="D2" s="12" t="s">
        <v>108</v>
      </c>
      <c r="E2" s="13">
        <v>37069.0</v>
      </c>
      <c r="F2" s="12" t="s">
        <v>109</v>
      </c>
      <c r="G2" s="14" t="s">
        <v>110</v>
      </c>
      <c r="H2" s="14" t="s">
        <v>111</v>
      </c>
      <c r="I2" s="12" t="s">
        <v>112</v>
      </c>
      <c r="J2" s="14" t="s">
        <v>113</v>
      </c>
      <c r="K2" s="12"/>
      <c r="L2" s="12"/>
      <c r="M2" s="14" t="s">
        <v>114</v>
      </c>
      <c r="N2" s="14" t="s">
        <v>115</v>
      </c>
      <c r="O2" s="12">
        <f t="shared" ref="O2:O26" si="1">P2</f>
        <v>50</v>
      </c>
      <c r="P2" s="12">
        <f t="shared" ref="P2:P26" si="2">Q2+R2</f>
        <v>50</v>
      </c>
      <c r="Q2" s="14">
        <v>50.0</v>
      </c>
      <c r="R2" s="12"/>
      <c r="S2" s="12">
        <v>42.0</v>
      </c>
      <c r="T2" s="12" t="s">
        <v>116</v>
      </c>
      <c r="U2" s="14">
        <v>35.0</v>
      </c>
      <c r="V2" s="14">
        <v>30.0</v>
      </c>
      <c r="W2" s="12"/>
      <c r="X2" s="12"/>
      <c r="Y2" s="12"/>
      <c r="Z2" s="12"/>
      <c r="AA2" s="15">
        <f>Calcs!O2</f>
        <v>1050</v>
      </c>
      <c r="AB2" s="14" t="s">
        <v>117</v>
      </c>
      <c r="AC2" s="12" t="s">
        <v>118</v>
      </c>
      <c r="AD2" s="12" t="s">
        <v>119</v>
      </c>
      <c r="AE2" s="12">
        <v>2.5</v>
      </c>
      <c r="AF2" s="14"/>
      <c r="AG2" s="14" t="s">
        <v>116</v>
      </c>
      <c r="AH2" s="14" t="s">
        <v>120</v>
      </c>
      <c r="AI2" s="12"/>
      <c r="AJ2" s="12">
        <v>3.0</v>
      </c>
      <c r="AK2" s="12"/>
      <c r="AL2" s="12" t="s">
        <v>121</v>
      </c>
      <c r="AM2" s="12"/>
      <c r="AN2" s="14">
        <v>10.0</v>
      </c>
      <c r="AO2" s="12">
        <v>5.0</v>
      </c>
      <c r="AP2" s="12"/>
      <c r="AQ2" s="12" t="s">
        <v>122</v>
      </c>
      <c r="AR2" s="14"/>
      <c r="AS2" s="14">
        <v>120.0</v>
      </c>
      <c r="AT2" s="14" t="str">
        <f t="shared" ref="AT2:AT74" si="3">if(AND(AR2&gt;0,AS2&gt;0),(AR2+AS2)/2,)</f>
        <v/>
      </c>
      <c r="AU2" s="16" t="s">
        <v>123</v>
      </c>
      <c r="AV2" s="17"/>
      <c r="AW2" s="17">
        <f t="shared" ref="AW2:AW103" si="4">AA2*1.2</f>
        <v>1260</v>
      </c>
      <c r="AX2" s="14" t="s">
        <v>124</v>
      </c>
      <c r="AY2" s="14">
        <v>1.5</v>
      </c>
      <c r="AZ2" s="12"/>
      <c r="BA2" s="12"/>
      <c r="BB2" s="12"/>
      <c r="BC2" s="12"/>
      <c r="BD2" s="12"/>
      <c r="BE2" s="12"/>
      <c r="BF2" s="12"/>
      <c r="BG2" s="12"/>
      <c r="BH2" s="18">
        <f t="shared" ref="BH2:BH33" si="5">ifs(OR(AY2="NR",BA2="NR",BC2="NR",BE2="NR",BG2="NR"),"NR",OR(AY2="?",BA2="?",BC2="?",BE2="?",BG2="?"),"?",1,AY2+BA2+BC2+BE2+BG2)</f>
        <v>1.5</v>
      </c>
      <c r="BI2" s="19">
        <f>ifs(BH2=0,"na",BH2="NR","NR",BH2="?","?",BK2&gt;0,"?",iserror(Calcs!AB2),"?",1,Calcs!AB2)</f>
        <v>0.6311660934</v>
      </c>
      <c r="BJ2" s="12" t="s">
        <v>125</v>
      </c>
      <c r="BK2" s="12"/>
      <c r="BL2" s="18">
        <f t="shared" ref="BL2:BL103" si="6">ifs(OR(BH2="?",BK2="?"),"?",OR(BH2="NR",BK2="NR"),"NR",1,BH2+BK2)</f>
        <v>1.5</v>
      </c>
      <c r="BM2" s="12"/>
      <c r="BN2" s="12"/>
      <c r="BO2" s="12" t="s">
        <v>126</v>
      </c>
      <c r="BP2" s="20">
        <f>ifs(isblank(AX2),0,BH2="NR","NR",BH2="?","?",1,(AY2*vlookup(AX2,Ores[],2,FALSE)+if(isblank(AZ2),0,BA2*vlookup(AZ2,Ores[],2,FALSE))+if(isblank(BB2),0,BC2*vlookup(BB2,Ores[],2,FALSE))+if(isblank(BD2),0,BE2*vlookup(BD2,Ores[],2,FALSE))+if(isblank(BF2),0,BG2*vlookup(BF2,Ores[],2,FALSE)))/BH2)</f>
        <v>1.250252067</v>
      </c>
      <c r="BQ2" s="20">
        <f>ifs(isblank(AX2),0,BH2="NR","NR",BH2="?","?",1,(AY2*vlookup(AX2,Ores[],4,FALSE)+if(isblank(AZ2),0,BA2*vlookup(AZ2,Ores[],4,FALSE))+if(isblank(BB2),0,BC2*vlookup(BB2,Ores[],4,FALSE))+if(isblank(BD2),0,BE2*vlookup(BD2,Ores[],4,FALSE))+if(isblank(BF2),0,BG2*vlookup(BF2,Ores[],4,FALSE)))/BH2)</f>
        <v>2.4702561</v>
      </c>
      <c r="BR2" s="21">
        <f>ifs(isblank(AX2),0,BH2="NR","NR",BH2="?","?",1,(AY2*vlookup(AX2,Ores[],8,FALSE)+if(isblank(AZ2),0,BA2*vlookup(AZ2,Ores[],8,FALSE))+if(isblank(BB2),0,BC2*vlookup(BB2,Ores[],8,FALSE))+if(isblank(BD2),0,BE2*vlookup(BD2,Ores[],8,FALSE))+if(isblank(BF2),0,BG2*vlookup(BF2,Ores[],8,FALSE)))/BH2)</f>
        <v>0.08066142367</v>
      </c>
      <c r="BS2" s="21">
        <f>ifs(isblank(AX2),0,BH2="NR","NR",BH2="?","?",1,(AY2*vlookup(AX2,Ores[],7,FALSE)+if(isblank(AZ2),0,BA2*vlookup(AZ2,Ores[],7,FALSE))+if(isblank(BB2),0,BC2*vlookup(BB2,Ores[],7,FALSE))+if(isblank(BD2),0,BE2*vlookup(BD2,Ores[],7,FALSE))+if(isblank(BF2),0,BG2*vlookup(BF2,Ores[],7,FALSE)))/BH2)</f>
        <v>0</v>
      </c>
      <c r="BT2" s="21">
        <f>ifs(isblank(AX2),0,BH2="NR","NR",BH2="?","?",1,(AY2*vlookup(AX2,Ores[],3,FALSE)+if(isblank(AZ2),0,BA2*vlookup(AZ2,Ores[],3,FALSE))+if(isblank(BB2),0,BC2*vlookup(BB2,Ores[],3,FALSE))+if(isblank(BD2),0,BE2*vlookup(BD2,Ores[],3,FALSE))+if(isblank(BF2),0,BG2*vlookup(BF2,Ores[],3,FALSE)))/BH2)</f>
        <v>0.0504133898</v>
      </c>
      <c r="BU2" s="21">
        <f>ifs(isblank(AX2),0,BH2="NR","NR",BH2="?","?",1,(AY2*vlookup(AX2,Ores[],5,FALSE)+if(isblank(AZ2),0,BA2*vlookup(AZ2,Ores[],5,FALSE))+if(isblank(BB2),0,BC2*vlookup(BB2,Ores[],5,FALSE))+if(isblank(BD2),0,BE2*vlookup(BD2,Ores[],5,FALSE))+if(isblank(BF2),0,BG2*vlookup(BF2,Ores[],5,FALSE)))/BH2)</f>
        <v>5.374067352</v>
      </c>
      <c r="BV2" s="22">
        <f t="shared" ref="BV2:BV62" si="7">ifs(OR(CJ2="NR",BX2="NR"),"NR",OR(CJ2="?",BX2="?"),"?",1,CJ2/BX2)</f>
        <v>25.11111111</v>
      </c>
      <c r="BW2" s="23">
        <v>30.0</v>
      </c>
      <c r="BX2" s="24">
        <f>8-3.5</f>
        <v>4.5</v>
      </c>
      <c r="BY2" s="25"/>
      <c r="BZ2" s="26">
        <f t="shared" ref="BZ2:BZ62" si="8">ifs(AND(CO2=0,CK2&gt;0),"Slug",OR(CO2="NR",CE2="NR"),"NR",OR(CO2="?",CE2="?"),"?",1,CE2/CO2)</f>
        <v>20.33333333</v>
      </c>
      <c r="CA2" s="22">
        <f t="shared" ref="CA2:CA62" si="9">ifs(AND(CN2=0,CK2&gt;0),"Slug",OR(CN2="NR",CE2="NR"),"NR",OR(CN2="?",CE2="?"),"?",1,CE2/CN2)</f>
        <v>13.55555556</v>
      </c>
      <c r="CB2" s="27" t="s">
        <v>127</v>
      </c>
      <c r="CC2" s="24" t="s">
        <v>128</v>
      </c>
      <c r="CD2" s="28">
        <f t="shared" ref="CD2:CD72" si="10">ifs(AND(CN2=0,CK2&gt;0),"Slug",OR(CN2="NR",CE2="NR"),"NR",OR(CN2="?",CE2="?"),"?",1,CE2/CN2)</f>
        <v>13.55555556</v>
      </c>
      <c r="CE2" s="27">
        <f t="shared" ref="CE2:CE62" si="11">ifs(OR(CI2="NR",CH2="NR"),"NR",OR(CI2="?",CH2="?"),"?",1,CI2-CH2)</f>
        <v>61</v>
      </c>
      <c r="CF2" s="27"/>
      <c r="CG2" s="27"/>
      <c r="CH2" s="27">
        <v>22.0</v>
      </c>
      <c r="CI2" s="27">
        <v>83.0</v>
      </c>
      <c r="CJ2" s="27">
        <f>CI2+30</f>
        <v>113</v>
      </c>
      <c r="CK2" s="27">
        <v>2.0</v>
      </c>
      <c r="CL2" s="27">
        <v>0.0</v>
      </c>
      <c r="CM2" s="27">
        <v>0.0</v>
      </c>
      <c r="CN2" s="27">
        <v>4.5</v>
      </c>
      <c r="CO2" s="27">
        <v>3.0</v>
      </c>
      <c r="CP2" s="27">
        <v>0.0</v>
      </c>
      <c r="CQ2" s="27">
        <v>0.0</v>
      </c>
      <c r="CR2" s="24" t="s">
        <v>129</v>
      </c>
      <c r="CS2" s="22">
        <v>0.1</v>
      </c>
      <c r="CT2" s="27" t="s">
        <v>130</v>
      </c>
      <c r="CU2" s="27" t="s">
        <v>131</v>
      </c>
      <c r="CV2" s="29"/>
      <c r="CW2" s="30">
        <f t="shared" ref="CW2:CW103" si="12">ifs(CS2=0,"na",OR(BL2="NR",CS2="NR"),"NR",OR(BL2="na",CS2="na"),"na",OR(BL2="?",CS2="?"),"?",1,CS2/BL2)</f>
        <v>0.06666666667</v>
      </c>
      <c r="CX2" s="31">
        <f>ifs(OR(BH2=0,BI2="?"),"?",CS2="NR","NR",CS2=0,"na",isnumber(CS2),CS2/(BH2*BI2),1,"na")</f>
        <v>0.1056246008</v>
      </c>
      <c r="CY2" s="24" t="s">
        <v>132</v>
      </c>
      <c r="CZ2" s="24"/>
      <c r="DA2" s="24" t="s">
        <v>133</v>
      </c>
      <c r="DB2" s="24" t="s">
        <v>134</v>
      </c>
      <c r="DC2" s="24" t="s">
        <v>135</v>
      </c>
      <c r="DD2" s="24"/>
      <c r="DE2" s="24"/>
      <c r="DF2" s="24"/>
      <c r="DG2" s="24"/>
      <c r="DH2" s="24"/>
      <c r="DI2" s="24"/>
      <c r="DJ2" s="24"/>
      <c r="DK2" s="24"/>
      <c r="DL2" s="24"/>
      <c r="DM2" s="32"/>
    </row>
    <row r="3" ht="21.75" customHeight="1">
      <c r="A3" s="33" t="s">
        <v>136</v>
      </c>
      <c r="B3" s="34" t="s">
        <v>106</v>
      </c>
      <c r="C3" s="34" t="s">
        <v>137</v>
      </c>
      <c r="D3" s="34" t="s">
        <v>138</v>
      </c>
      <c r="E3" s="35">
        <v>37402.0</v>
      </c>
      <c r="F3" s="34" t="s">
        <v>109</v>
      </c>
      <c r="G3" s="36" t="s">
        <v>110</v>
      </c>
      <c r="H3" s="36" t="s">
        <v>111</v>
      </c>
      <c r="I3" s="34" t="s">
        <v>112</v>
      </c>
      <c r="J3" s="36" t="s">
        <v>113</v>
      </c>
      <c r="K3" s="34"/>
      <c r="L3" s="34"/>
      <c r="M3" s="36" t="s">
        <v>114</v>
      </c>
      <c r="N3" s="36" t="s">
        <v>115</v>
      </c>
      <c r="O3" s="34">
        <f t="shared" si="1"/>
        <v>40</v>
      </c>
      <c r="P3" s="34">
        <f t="shared" si="2"/>
        <v>40</v>
      </c>
      <c r="Q3" s="36">
        <v>40.0</v>
      </c>
      <c r="R3" s="34"/>
      <c r="S3" s="34">
        <v>30.0</v>
      </c>
      <c r="T3" s="34" t="s">
        <v>116</v>
      </c>
      <c r="U3" s="36">
        <v>45.0</v>
      </c>
      <c r="V3" s="36">
        <v>40.0</v>
      </c>
      <c r="W3" s="34"/>
      <c r="X3" s="34"/>
      <c r="Y3" s="34"/>
      <c r="Z3" s="34"/>
      <c r="AA3" s="37">
        <f>Calcs!O3</f>
        <v>1800</v>
      </c>
      <c r="AB3" s="36" t="s">
        <v>117</v>
      </c>
      <c r="AC3" s="34" t="s">
        <v>118</v>
      </c>
      <c r="AD3" s="34" t="s">
        <v>119</v>
      </c>
      <c r="AE3" s="34">
        <v>2.5</v>
      </c>
      <c r="AF3" s="36" t="s">
        <v>116</v>
      </c>
      <c r="AG3" s="36">
        <v>5.0</v>
      </c>
      <c r="AH3" s="36" t="s">
        <v>120</v>
      </c>
      <c r="AI3" s="36" t="s">
        <v>123</v>
      </c>
      <c r="AJ3" s="34" t="s">
        <v>116</v>
      </c>
      <c r="AK3" s="34"/>
      <c r="AL3" s="34" t="s">
        <v>121</v>
      </c>
      <c r="AM3" s="34"/>
      <c r="AN3" s="36">
        <v>0.0</v>
      </c>
      <c r="AO3" s="34" t="s">
        <v>116</v>
      </c>
      <c r="AP3" s="34"/>
      <c r="AQ3" s="34" t="s">
        <v>122</v>
      </c>
      <c r="AR3" s="36"/>
      <c r="AS3" s="36">
        <v>100.0</v>
      </c>
      <c r="AT3" s="14" t="str">
        <f t="shared" si="3"/>
        <v/>
      </c>
      <c r="AU3" s="16" t="s">
        <v>123</v>
      </c>
      <c r="AV3" s="38"/>
      <c r="AW3" s="17">
        <f t="shared" si="4"/>
        <v>2160</v>
      </c>
      <c r="AX3" s="39" t="s">
        <v>139</v>
      </c>
      <c r="AY3" s="36">
        <v>6.2</v>
      </c>
      <c r="AZ3" s="36"/>
      <c r="BA3" s="36"/>
      <c r="BB3" s="36"/>
      <c r="BC3" s="36"/>
      <c r="BD3" s="34"/>
      <c r="BE3" s="34"/>
      <c r="BF3" s="34"/>
      <c r="BG3" s="34"/>
      <c r="BH3" s="18">
        <f t="shared" si="5"/>
        <v>6.2</v>
      </c>
      <c r="BI3" s="19">
        <f>ifs(BH3=0,"na",BH3="NR","NR",BH3="?","?",BK3&gt;0,"?",iserror(Calcs!AB3),"?",1,Calcs!AB3)</f>
        <v>0.5921444799</v>
      </c>
      <c r="BJ3" s="34" t="s">
        <v>125</v>
      </c>
      <c r="BK3" s="34"/>
      <c r="BL3" s="18">
        <f t="shared" si="6"/>
        <v>6.2</v>
      </c>
      <c r="BM3" s="34"/>
      <c r="BN3" s="34"/>
      <c r="BO3" s="34" t="s">
        <v>126</v>
      </c>
      <c r="BP3" s="21" t="s">
        <v>140</v>
      </c>
      <c r="BQ3" s="21" t="s">
        <v>140</v>
      </c>
      <c r="BR3" s="21" t="s">
        <v>140</v>
      </c>
      <c r="BS3" s="21" t="s">
        <v>140</v>
      </c>
      <c r="BT3" s="21" t="s">
        <v>140</v>
      </c>
      <c r="BU3" s="21" t="s">
        <v>140</v>
      </c>
      <c r="BV3" s="22">
        <f t="shared" si="7"/>
        <v>21.60180485</v>
      </c>
      <c r="BW3" s="40">
        <v>85.0</v>
      </c>
      <c r="BX3" s="41">
        <f>22-4.27</f>
        <v>17.73</v>
      </c>
      <c r="BY3" s="42" t="s">
        <v>123</v>
      </c>
      <c r="BZ3" s="26">
        <f t="shared" si="8"/>
        <v>25.875</v>
      </c>
      <c r="CA3" s="22">
        <f t="shared" si="9"/>
        <v>10.35</v>
      </c>
      <c r="CB3" s="43" t="s">
        <v>127</v>
      </c>
      <c r="CC3" s="41" t="s">
        <v>128</v>
      </c>
      <c r="CD3" s="28">
        <f t="shared" si="10"/>
        <v>10.35</v>
      </c>
      <c r="CE3" s="41">
        <f t="shared" si="11"/>
        <v>207</v>
      </c>
      <c r="CF3" s="43"/>
      <c r="CG3" s="43"/>
      <c r="CH3" s="43">
        <v>51.0</v>
      </c>
      <c r="CI3" s="41">
        <f>4*60+18</f>
        <v>258</v>
      </c>
      <c r="CJ3" s="41">
        <f>360+10+13</f>
        <v>383</v>
      </c>
      <c r="CK3" s="43">
        <v>3.0</v>
      </c>
      <c r="CL3" s="43">
        <v>0.0</v>
      </c>
      <c r="CM3" s="43">
        <v>0.0</v>
      </c>
      <c r="CN3" s="43">
        <v>20.0</v>
      </c>
      <c r="CO3" s="43">
        <v>8.0</v>
      </c>
      <c r="CP3" s="43">
        <v>2.0</v>
      </c>
      <c r="CQ3" s="43">
        <v>2.0</v>
      </c>
      <c r="CR3" s="43" t="s">
        <v>141</v>
      </c>
      <c r="CS3" s="44">
        <v>0.0</v>
      </c>
      <c r="CT3" s="43" t="s">
        <v>142</v>
      </c>
      <c r="CU3" s="30"/>
      <c r="CV3" s="29"/>
      <c r="CW3" s="30" t="str">
        <f t="shared" si="12"/>
        <v>na</v>
      </c>
      <c r="CX3" s="27" t="s">
        <v>117</v>
      </c>
      <c r="CY3" s="41" t="s">
        <v>132</v>
      </c>
      <c r="CZ3" s="41">
        <v>4.3</v>
      </c>
      <c r="DA3" s="41" t="s">
        <v>133</v>
      </c>
      <c r="DB3" s="41" t="s">
        <v>143</v>
      </c>
      <c r="DC3" s="41" t="s">
        <v>144</v>
      </c>
      <c r="DD3" s="41"/>
      <c r="DE3" s="41"/>
      <c r="DF3" s="41"/>
      <c r="DG3" s="41"/>
      <c r="DH3" s="41"/>
      <c r="DI3" s="41"/>
      <c r="DJ3" s="41"/>
      <c r="DK3" s="41"/>
      <c r="DL3" s="41"/>
      <c r="DM3" s="45"/>
    </row>
    <row r="4" ht="21.75" customHeight="1">
      <c r="A4" s="33" t="s">
        <v>145</v>
      </c>
      <c r="B4" s="34" t="s">
        <v>146</v>
      </c>
      <c r="C4" s="34" t="s">
        <v>137</v>
      </c>
      <c r="D4" s="34" t="s">
        <v>138</v>
      </c>
      <c r="E4" s="35">
        <v>37778.0</v>
      </c>
      <c r="F4" s="34" t="s">
        <v>147</v>
      </c>
      <c r="G4" s="36" t="s">
        <v>110</v>
      </c>
      <c r="H4" s="34"/>
      <c r="I4" s="34" t="s">
        <v>148</v>
      </c>
      <c r="J4" s="36" t="s">
        <v>149</v>
      </c>
      <c r="K4" s="34"/>
      <c r="L4" s="34"/>
      <c r="M4" s="36" t="s">
        <v>150</v>
      </c>
      <c r="N4" s="36" t="s">
        <v>151</v>
      </c>
      <c r="O4" s="34">
        <f t="shared" si="1"/>
        <v>90</v>
      </c>
      <c r="P4" s="34">
        <f t="shared" si="2"/>
        <v>90</v>
      </c>
      <c r="Q4" s="36">
        <v>90.0</v>
      </c>
      <c r="R4" s="34"/>
      <c r="S4" s="34">
        <v>55.0</v>
      </c>
      <c r="T4" s="34">
        <v>35.0</v>
      </c>
      <c r="U4" s="36">
        <v>27.0</v>
      </c>
      <c r="V4" s="36">
        <v>24.0</v>
      </c>
      <c r="W4" s="36"/>
      <c r="X4" s="36">
        <v>26.0</v>
      </c>
      <c r="Y4" s="36"/>
      <c r="Z4" s="36" t="s">
        <v>123</v>
      </c>
      <c r="AA4" s="37">
        <f>Calcs!O4</f>
        <v>530.9</v>
      </c>
      <c r="AB4" s="34">
        <v>5.0</v>
      </c>
      <c r="AC4" s="34" t="s">
        <v>152</v>
      </c>
      <c r="AD4" s="34" t="s">
        <v>119</v>
      </c>
      <c r="AE4" s="36">
        <v>2.0</v>
      </c>
      <c r="AF4" s="36" t="s">
        <v>123</v>
      </c>
      <c r="AG4" s="36">
        <v>0.0</v>
      </c>
      <c r="AH4" s="36" t="s">
        <v>153</v>
      </c>
      <c r="AI4" s="34"/>
      <c r="AJ4" s="34">
        <v>5.0</v>
      </c>
      <c r="AK4" s="34"/>
      <c r="AL4" s="34" t="s">
        <v>121</v>
      </c>
      <c r="AM4" s="34"/>
      <c r="AN4" s="36" t="s">
        <v>116</v>
      </c>
      <c r="AO4" s="36">
        <v>20.0</v>
      </c>
      <c r="AP4" s="36" t="s">
        <v>123</v>
      </c>
      <c r="AQ4" s="36" t="s">
        <v>154</v>
      </c>
      <c r="AR4" s="34"/>
      <c r="AS4" s="34" t="s">
        <v>116</v>
      </c>
      <c r="AT4" s="14" t="str">
        <f t="shared" si="3"/>
        <v/>
      </c>
      <c r="AU4" s="12"/>
      <c r="AV4" s="38"/>
      <c r="AW4" s="17">
        <f t="shared" si="4"/>
        <v>637.08</v>
      </c>
      <c r="AX4" s="36" t="s">
        <v>155</v>
      </c>
      <c r="AY4" s="36">
        <v>8.1</v>
      </c>
      <c r="AZ4" s="36"/>
      <c r="BA4" s="36"/>
      <c r="BB4" s="36"/>
      <c r="BC4" s="36"/>
      <c r="BD4" s="34"/>
      <c r="BE4" s="34"/>
      <c r="BF4" s="34"/>
      <c r="BG4" s="34"/>
      <c r="BH4" s="18">
        <f t="shared" si="5"/>
        <v>8.1</v>
      </c>
      <c r="BI4" s="19">
        <f>ifs(BH4=0,"na",BH4="NR","NR",BH4="?","?",BK4&gt;0,"?",iserror(Calcs!AB4),"?",1,Calcs!AB4)</f>
        <v>0.58</v>
      </c>
      <c r="BJ4" s="34" t="s">
        <v>125</v>
      </c>
      <c r="BK4" s="34"/>
      <c r="BL4" s="18">
        <f t="shared" si="6"/>
        <v>8.1</v>
      </c>
      <c r="BM4" s="34"/>
      <c r="BN4" s="34"/>
      <c r="BO4" s="46" t="s">
        <v>156</v>
      </c>
      <c r="BP4" s="20">
        <f>ifs(isblank(AX4),0,BH4="NR","NR",BH4="?","?",1,(AY4*vlookup(AX4,Ores[],2,FALSE)+if(isblank(AZ4),0,BA4*vlookup(AZ4,Ores[],2,FALSE))+if(isblank(BB4),0,BC4*vlookup(BB4,Ores[],2,FALSE))+if(isblank(BD4),0,BE4*vlookup(BD4,Ores[],2,FALSE))+if(isblank(BF4),0,BG4*vlookup(BF4,Ores[],2,FALSE)))/BH4)</f>
        <v>8.73</v>
      </c>
      <c r="BQ4" s="20">
        <f>ifs(isblank(AX4),0,BH4="NR","NR",BH4="?","?",1,(AY4*vlookup(AX4,Ores[],4,FALSE)+if(isblank(AZ4),0,BA4*vlookup(AZ4,Ores[],4,FALSE))+if(isblank(BB4),0,BC4*vlookup(BB4,Ores[],4,FALSE))+if(isblank(BD4),0,BE4*vlookup(BD4,Ores[],4,FALSE))+if(isblank(BF4),0,BG4*vlookup(BF4,Ores[],4,FALSE)))/BH4)</f>
        <v>2.04</v>
      </c>
      <c r="BR4" s="21">
        <f>ifs(isblank(AX4),0,BH4="NR","NR",BH4="?","?",1,(AY4*vlookup(AX4,Ores[],8,FALSE)+if(isblank(AZ4),0,BA4*vlookup(AZ4,Ores[],8,FALSE))+if(isblank(BB4),0,BC4*vlookup(BB4,Ores[],8,FALSE))+if(isblank(BD4),0,BE4*vlookup(BD4,Ores[],8,FALSE))+if(isblank(BF4),0,BG4*vlookup(BF4,Ores[],8,FALSE)))/BH4)</f>
        <v>4.02</v>
      </c>
      <c r="BS4" s="21">
        <f>ifs(isblank(AX4),0,BH4="NR","NR",BH4="?","?",1,(AY4*vlookup(AX4,Ores[],7,FALSE)+if(isblank(AZ4),0,BA4*vlookup(AZ4,Ores[],7,FALSE))+if(isblank(BB4),0,BC4*vlookup(BB4,Ores[],7,FALSE))+if(isblank(BD4),0,BE4*vlookup(BD4,Ores[],7,FALSE))+if(isblank(BF4),0,BG4*vlookup(BF4,Ores[],7,FALSE)))/BH4)</f>
        <v>0</v>
      </c>
      <c r="BT4" s="21">
        <f>ifs(isblank(AX4),0,BH4="NR","NR",BH4="?","?",1,(AY4*vlookup(AX4,Ores[],3,FALSE)+if(isblank(AZ4),0,BA4*vlookup(AZ4,Ores[],3,FALSE))+if(isblank(BB4),0,BC4*vlookup(BB4,Ores[],3,FALSE))+if(isblank(BD4),0,BE4*vlookup(BD4,Ores[],3,FALSE))+if(isblank(BF4),0,BG4*vlookup(BF4,Ores[],3,FALSE)))/BH4)</f>
        <v>0</v>
      </c>
      <c r="BU4" s="21">
        <f>ifs(isblank(AX4),0,BH4="NR","NR",BH4="?","?",1,(AY4*vlookup(AX4,Ores[],5,FALSE)+if(isblank(AZ4),0,BA4*vlookup(AZ4,Ores[],5,FALSE))+if(isblank(BB4),0,BC4*vlookup(BB4,Ores[],5,FALSE))+if(isblank(BD4),0,BE4*vlookup(BD4,Ores[],5,FALSE))+if(isblank(BF4),0,BG4*vlookup(BF4,Ores[],5,FALSE)))/BH4)</f>
        <v>0.4</v>
      </c>
      <c r="BV4" s="22">
        <f t="shared" si="7"/>
        <v>5.947089947</v>
      </c>
      <c r="BW4" s="40" t="s">
        <v>116</v>
      </c>
      <c r="BX4" s="41">
        <f>CL4+CN4+CP4</f>
        <v>47.25</v>
      </c>
      <c r="BY4" s="47"/>
      <c r="BZ4" s="26">
        <f t="shared" si="8"/>
        <v>10.36842105</v>
      </c>
      <c r="CA4" s="22">
        <f t="shared" si="9"/>
        <v>4.864197531</v>
      </c>
      <c r="CB4" s="43" t="s">
        <v>127</v>
      </c>
      <c r="CC4" s="41" t="s">
        <v>128</v>
      </c>
      <c r="CD4" s="28">
        <f t="shared" si="10"/>
        <v>4.864197531</v>
      </c>
      <c r="CE4" s="41">
        <f t="shared" si="11"/>
        <v>197</v>
      </c>
      <c r="CF4" s="48"/>
      <c r="CG4" s="43"/>
      <c r="CH4" s="43">
        <v>35.0</v>
      </c>
      <c r="CI4" s="43">
        <f>3*60+41+11</f>
        <v>232</v>
      </c>
      <c r="CJ4" s="43">
        <f>4*60+(11+30)</f>
        <v>281</v>
      </c>
      <c r="CK4" s="43">
        <v>6.0</v>
      </c>
      <c r="CL4" s="43">
        <v>2.25</v>
      </c>
      <c r="CM4" s="43">
        <v>3.0</v>
      </c>
      <c r="CN4" s="43">
        <v>40.5</v>
      </c>
      <c r="CO4" s="43">
        <v>19.0</v>
      </c>
      <c r="CP4" s="43">
        <v>4.5</v>
      </c>
      <c r="CQ4" s="43">
        <v>3.0</v>
      </c>
      <c r="CR4" s="48" t="s">
        <v>157</v>
      </c>
      <c r="CS4" s="44">
        <v>0.0</v>
      </c>
      <c r="CT4" s="41" t="s">
        <v>158</v>
      </c>
      <c r="CU4" s="30"/>
      <c r="CV4" s="29"/>
      <c r="CW4" s="30" t="str">
        <f t="shared" si="12"/>
        <v>na</v>
      </c>
      <c r="CX4" s="31" t="str">
        <f t="shared" ref="CX4:CX22" si="13">ifs(OR(BH4=0,BI4="?"),"?",CS4="NR","NR",CS4=0,"na",isnumber(CS4),CS4/(BH4*BI4),1,"na")</f>
        <v>na</v>
      </c>
      <c r="CY4" s="41" t="s">
        <v>159</v>
      </c>
      <c r="CZ4" s="41" t="s">
        <v>160</v>
      </c>
      <c r="DA4" s="41" t="s">
        <v>161</v>
      </c>
      <c r="DB4" s="41" t="s">
        <v>162</v>
      </c>
      <c r="DC4" s="41" t="s">
        <v>163</v>
      </c>
      <c r="DD4" s="41"/>
      <c r="DE4" s="41"/>
      <c r="DF4" s="41"/>
      <c r="DG4" s="41"/>
      <c r="DH4" s="41"/>
      <c r="DI4" s="41"/>
      <c r="DJ4" s="41"/>
      <c r="DK4" s="41"/>
      <c r="DL4" s="41"/>
      <c r="DM4" s="45"/>
    </row>
    <row r="5" ht="21.75" customHeight="1">
      <c r="A5" s="33" t="s">
        <v>164</v>
      </c>
      <c r="B5" s="34" t="s">
        <v>165</v>
      </c>
      <c r="C5" s="34" t="s">
        <v>137</v>
      </c>
      <c r="D5" s="34" t="s">
        <v>138</v>
      </c>
      <c r="E5" s="35">
        <v>38150.0</v>
      </c>
      <c r="F5" s="34" t="s">
        <v>109</v>
      </c>
      <c r="G5" s="36" t="s">
        <v>110</v>
      </c>
      <c r="H5" s="34"/>
      <c r="I5" s="34" t="s">
        <v>166</v>
      </c>
      <c r="J5" s="36" t="s">
        <v>167</v>
      </c>
      <c r="K5" s="34"/>
      <c r="L5" s="34"/>
      <c r="M5" s="36" t="s">
        <v>150</v>
      </c>
      <c r="N5" s="36" t="s">
        <v>168</v>
      </c>
      <c r="O5" s="34">
        <f t="shared" si="1"/>
        <v>55</v>
      </c>
      <c r="P5" s="34">
        <f t="shared" si="2"/>
        <v>55</v>
      </c>
      <c r="Q5" s="36">
        <v>55.0</v>
      </c>
      <c r="R5" s="34"/>
      <c r="S5" s="34">
        <v>50.0</v>
      </c>
      <c r="T5" s="34">
        <v>45.0</v>
      </c>
      <c r="U5" s="34">
        <v>25.0</v>
      </c>
      <c r="V5" s="34"/>
      <c r="W5" s="34"/>
      <c r="X5" s="34"/>
      <c r="Y5" s="34"/>
      <c r="Z5" s="34"/>
      <c r="AA5" s="37">
        <f>Calcs!O5</f>
        <v>490.9</v>
      </c>
      <c r="AB5" s="34" t="s">
        <v>169</v>
      </c>
      <c r="AC5" s="34" t="s">
        <v>118</v>
      </c>
      <c r="AD5" s="34" t="s">
        <v>119</v>
      </c>
      <c r="AE5" s="34">
        <v>2.5</v>
      </c>
      <c r="AF5" s="36"/>
      <c r="AG5" s="36">
        <v>15.0</v>
      </c>
      <c r="AH5" s="36" t="s">
        <v>170</v>
      </c>
      <c r="AI5" s="34"/>
      <c r="AJ5" s="34">
        <v>5.0</v>
      </c>
      <c r="AK5" s="34"/>
      <c r="AL5" s="36" t="s">
        <v>121</v>
      </c>
      <c r="AM5" s="36"/>
      <c r="AN5" s="36">
        <v>2.5</v>
      </c>
      <c r="AO5" s="34">
        <v>2.0</v>
      </c>
      <c r="AP5" s="34"/>
      <c r="AQ5" s="34" t="s">
        <v>171</v>
      </c>
      <c r="AR5" s="36"/>
      <c r="AS5" s="36" t="s">
        <v>172</v>
      </c>
      <c r="AT5" s="14" t="str">
        <f t="shared" si="3"/>
        <v/>
      </c>
      <c r="AU5" s="16" t="s">
        <v>123</v>
      </c>
      <c r="AV5" s="38"/>
      <c r="AW5" s="17">
        <f t="shared" si="4"/>
        <v>589.08</v>
      </c>
      <c r="AX5" s="36" t="s">
        <v>155</v>
      </c>
      <c r="AY5" s="36">
        <v>7.0</v>
      </c>
      <c r="AZ5" s="36"/>
      <c r="BA5" s="36"/>
      <c r="BB5" s="36"/>
      <c r="BC5" s="36"/>
      <c r="BD5" s="34"/>
      <c r="BE5" s="34"/>
      <c r="BF5" s="34"/>
      <c r="BG5" s="34"/>
      <c r="BH5" s="18">
        <f t="shared" si="5"/>
        <v>7</v>
      </c>
      <c r="BI5" s="19">
        <f>ifs(BH5=0,"na",BH5="NR","NR",BH5="?","?",BK5&gt;0,"?",iserror(Calcs!AB5),"?",1,Calcs!AB5)</f>
        <v>0.58</v>
      </c>
      <c r="BJ5" s="34" t="s">
        <v>125</v>
      </c>
      <c r="BK5" s="34"/>
      <c r="BL5" s="18">
        <f t="shared" si="6"/>
        <v>7</v>
      </c>
      <c r="BM5" s="34"/>
      <c r="BN5" s="34"/>
      <c r="BO5" s="34" t="s">
        <v>173</v>
      </c>
      <c r="BP5" s="20">
        <f>ifs(isblank(AX5),0,BH5="NR","NR",BH5="?","?",1,(AY5*vlookup(AX5,Ores[],2,FALSE)+if(isblank(AZ5),0,BA5*vlookup(AZ5,Ores[],2,FALSE))+if(isblank(BB5),0,BC5*vlookup(BB5,Ores[],2,FALSE))+if(isblank(BD5),0,BE5*vlookup(BD5,Ores[],2,FALSE))+if(isblank(BF5),0,BG5*vlookup(BF5,Ores[],2,FALSE)))/BH5)</f>
        <v>8.73</v>
      </c>
      <c r="BQ5" s="20">
        <f>ifs(isblank(AX5),0,BH5="NR","NR",BH5="?","?",1,(AY5*vlookup(AX5,Ores[],4,FALSE)+if(isblank(AZ5),0,BA5*vlookup(AZ5,Ores[],4,FALSE))+if(isblank(BB5),0,BC5*vlookup(BB5,Ores[],4,FALSE))+if(isblank(BD5),0,BE5*vlookup(BD5,Ores[],4,FALSE))+if(isblank(BF5),0,BG5*vlookup(BF5,Ores[],4,FALSE)))/BH5)</f>
        <v>2.04</v>
      </c>
      <c r="BR5" s="21">
        <f>ifs(isblank(AX5),0,BH5="NR","NR",BH5="?","?",1,(AY5*vlookup(AX5,Ores[],8,FALSE)+if(isblank(AZ5),0,BA5*vlookup(AZ5,Ores[],8,FALSE))+if(isblank(BB5),0,BC5*vlookup(BB5,Ores[],8,FALSE))+if(isblank(BD5),0,BE5*vlookup(BD5,Ores[],8,FALSE))+if(isblank(BF5),0,BG5*vlookup(BF5,Ores[],8,FALSE)))/BH5)</f>
        <v>4.02</v>
      </c>
      <c r="BS5" s="21">
        <f>ifs(isblank(AX5),0,BH5="NR","NR",BH5="?","?",1,(AY5*vlookup(AX5,Ores[],7,FALSE)+if(isblank(AZ5),0,BA5*vlookup(AZ5,Ores[],7,FALSE))+if(isblank(BB5),0,BC5*vlookup(BB5,Ores[],7,FALSE))+if(isblank(BD5),0,BE5*vlookup(BD5,Ores[],7,FALSE))+if(isblank(BF5),0,BG5*vlookup(BF5,Ores[],7,FALSE)))/BH5)</f>
        <v>0</v>
      </c>
      <c r="BT5" s="21">
        <f>ifs(isblank(AX5),0,BH5="NR","NR",BH5="?","?",1,(AY5*vlookup(AX5,Ores[],3,FALSE)+if(isblank(AZ5),0,BA5*vlookup(AZ5,Ores[],3,FALSE))+if(isblank(BB5),0,BC5*vlookup(BB5,Ores[],3,FALSE))+if(isblank(BD5),0,BE5*vlookup(BD5,Ores[],3,FALSE))+if(isblank(BF5),0,BG5*vlookup(BF5,Ores[],3,FALSE)))/BH5)</f>
        <v>0</v>
      </c>
      <c r="BU5" s="21">
        <f>ifs(isblank(AX5),0,BH5="NR","NR",BH5="?","?",1,(AY5*vlookup(AX5,Ores[],5,FALSE)+if(isblank(AZ5),0,BA5*vlookup(AZ5,Ores[],5,FALSE))+if(isblank(BB5),0,BC5*vlookup(BB5,Ores[],5,FALSE))+if(isblank(BD5),0,BE5*vlookup(BD5,Ores[],5,FALSE))+if(isblank(BF5),0,BG5*vlookup(BF5,Ores[],5,FALSE)))/BH5)</f>
        <v>0.4</v>
      </c>
      <c r="BV5" s="22">
        <f t="shared" si="7"/>
        <v>17.26666667</v>
      </c>
      <c r="BW5" s="40">
        <v>174.0</v>
      </c>
      <c r="BX5" s="43">
        <f>19-4</f>
        <v>15</v>
      </c>
      <c r="BY5" s="47"/>
      <c r="BZ5" s="26">
        <f t="shared" si="8"/>
        <v>17.25</v>
      </c>
      <c r="CA5" s="22">
        <f t="shared" si="9"/>
        <v>17.25</v>
      </c>
      <c r="CB5" s="43" t="s">
        <v>127</v>
      </c>
      <c r="CC5" s="41" t="s">
        <v>128</v>
      </c>
      <c r="CD5" s="28">
        <f t="shared" si="10"/>
        <v>17.25</v>
      </c>
      <c r="CE5" s="41">
        <f t="shared" si="11"/>
        <v>69</v>
      </c>
      <c r="CF5" s="41"/>
      <c r="CG5" s="43"/>
      <c r="CH5" s="43">
        <v>36.0</v>
      </c>
      <c r="CI5" s="41">
        <f>CH5+69</f>
        <v>105</v>
      </c>
      <c r="CJ5" s="41">
        <f>CI5+154</f>
        <v>259</v>
      </c>
      <c r="CK5" s="43">
        <v>5.0</v>
      </c>
      <c r="CL5" s="43">
        <v>3.0</v>
      </c>
      <c r="CM5" s="43">
        <v>3.0</v>
      </c>
      <c r="CN5" s="43">
        <v>4.0</v>
      </c>
      <c r="CO5" s="43">
        <v>4.0</v>
      </c>
      <c r="CP5" s="43">
        <v>8.0</v>
      </c>
      <c r="CQ5" s="43">
        <v>8.0</v>
      </c>
      <c r="CR5" s="41" t="s">
        <v>157</v>
      </c>
      <c r="CS5" s="44">
        <v>0.0</v>
      </c>
      <c r="CT5" s="41" t="s">
        <v>174</v>
      </c>
      <c r="CU5" s="30"/>
      <c r="CV5" s="29"/>
      <c r="CW5" s="30" t="str">
        <f t="shared" si="12"/>
        <v>na</v>
      </c>
      <c r="CX5" s="31" t="str">
        <f t="shared" si="13"/>
        <v>na</v>
      </c>
      <c r="CY5" s="41" t="s">
        <v>175</v>
      </c>
      <c r="CZ5" s="41"/>
      <c r="DA5" s="41" t="s">
        <v>176</v>
      </c>
      <c r="DB5" s="41" t="s">
        <v>177</v>
      </c>
      <c r="DC5" s="41" t="s">
        <v>178</v>
      </c>
      <c r="DD5" s="41"/>
      <c r="DE5" s="41"/>
      <c r="DF5" s="41"/>
      <c r="DG5" s="41"/>
      <c r="DH5" s="41"/>
      <c r="DI5" s="41"/>
      <c r="DJ5" s="41"/>
      <c r="DK5" s="41"/>
      <c r="DL5" s="41"/>
      <c r="DM5" s="45"/>
    </row>
    <row r="6" ht="21.75" customHeight="1">
      <c r="A6" s="33">
        <v>5.0</v>
      </c>
      <c r="B6" s="34" t="s">
        <v>179</v>
      </c>
      <c r="C6" s="34" t="s">
        <v>179</v>
      </c>
      <c r="D6" s="34" t="s">
        <v>180</v>
      </c>
      <c r="E6" s="35">
        <v>38271.0</v>
      </c>
      <c r="F6" s="34" t="s">
        <v>109</v>
      </c>
      <c r="G6" s="36" t="s">
        <v>123</v>
      </c>
      <c r="H6" s="34"/>
      <c r="I6" s="34" t="s">
        <v>181</v>
      </c>
      <c r="J6" s="36" t="s">
        <v>182</v>
      </c>
      <c r="K6" s="34"/>
      <c r="L6" s="34"/>
      <c r="M6" s="36" t="s">
        <v>150</v>
      </c>
      <c r="N6" s="36" t="s">
        <v>151</v>
      </c>
      <c r="O6" s="34">
        <f t="shared" si="1"/>
        <v>60</v>
      </c>
      <c r="P6" s="34">
        <f t="shared" si="2"/>
        <v>60</v>
      </c>
      <c r="Q6" s="36">
        <v>60.0</v>
      </c>
      <c r="R6" s="34"/>
      <c r="S6" s="34">
        <v>46.0</v>
      </c>
      <c r="T6" s="34">
        <v>70.0</v>
      </c>
      <c r="U6" s="36">
        <v>28.0</v>
      </c>
      <c r="V6" s="36">
        <v>27.0</v>
      </c>
      <c r="W6" s="36"/>
      <c r="X6" s="36">
        <v>27.0</v>
      </c>
      <c r="Y6" s="36"/>
      <c r="Z6" s="36"/>
      <c r="AA6" s="37">
        <f>Calcs!O6</f>
        <v>572.6</v>
      </c>
      <c r="AB6" s="34" t="s">
        <v>183</v>
      </c>
      <c r="AC6" s="34" t="s">
        <v>118</v>
      </c>
      <c r="AD6" s="34" t="s">
        <v>119</v>
      </c>
      <c r="AE6" s="34">
        <v>2.5</v>
      </c>
      <c r="AF6" s="36"/>
      <c r="AG6" s="36">
        <v>15.0</v>
      </c>
      <c r="AH6" s="36" t="s">
        <v>170</v>
      </c>
      <c r="AI6" s="34"/>
      <c r="AJ6" s="34">
        <v>3.0</v>
      </c>
      <c r="AK6" s="34"/>
      <c r="AL6" s="34" t="s">
        <v>184</v>
      </c>
      <c r="AM6" s="34"/>
      <c r="AN6" s="36" t="s">
        <v>116</v>
      </c>
      <c r="AO6" s="34">
        <v>14.0</v>
      </c>
      <c r="AP6" s="34"/>
      <c r="AQ6" s="34" t="s">
        <v>122</v>
      </c>
      <c r="AR6" s="36"/>
      <c r="AS6" s="36">
        <v>125.0</v>
      </c>
      <c r="AT6" s="14" t="str">
        <f t="shared" si="3"/>
        <v/>
      </c>
      <c r="AU6" s="16" t="s">
        <v>123</v>
      </c>
      <c r="AV6" s="38"/>
      <c r="AW6" s="17">
        <f t="shared" si="4"/>
        <v>687.12</v>
      </c>
      <c r="AX6" s="36" t="s">
        <v>155</v>
      </c>
      <c r="AY6" s="36">
        <v>8.0</v>
      </c>
      <c r="AZ6" s="36"/>
      <c r="BA6" s="36"/>
      <c r="BB6" s="36"/>
      <c r="BC6" s="36"/>
      <c r="BD6" s="34"/>
      <c r="BE6" s="34"/>
      <c r="BF6" s="34"/>
      <c r="BG6" s="34"/>
      <c r="BH6" s="18">
        <f t="shared" si="5"/>
        <v>8</v>
      </c>
      <c r="BI6" s="19">
        <f>ifs(BH6=0,"na",BH6="NR","NR",BH6="?","?",BK6&gt;0,"?",iserror(Calcs!AB6),"?",1,Calcs!AB6)</f>
        <v>0.58</v>
      </c>
      <c r="BJ6" s="34" t="s">
        <v>125</v>
      </c>
      <c r="BK6" s="34"/>
      <c r="BL6" s="18">
        <f t="shared" si="6"/>
        <v>8</v>
      </c>
      <c r="BM6" s="34"/>
      <c r="BN6" s="34"/>
      <c r="BO6" s="34" t="s">
        <v>173</v>
      </c>
      <c r="BP6" s="20">
        <f>ifs(isblank(AX6),0,BH6="NR","NR",BH6="?","?",1,(AY6*vlookup(AX6,Ores[],2,FALSE)+if(isblank(AZ6),0,BA6*vlookup(AZ6,Ores[],2,FALSE))+if(isblank(BB6),0,BC6*vlookup(BB6,Ores[],2,FALSE))+if(isblank(BD6),0,BE6*vlookup(BD6,Ores[],2,FALSE))+if(isblank(BF6),0,BG6*vlookup(BF6,Ores[],2,FALSE)))/BH6)</f>
        <v>8.73</v>
      </c>
      <c r="BQ6" s="20">
        <f>ifs(isblank(AX6),0,BH6="NR","NR",BH6="?","?",1,(AY6*vlookup(AX6,Ores[],4,FALSE)+if(isblank(AZ6),0,BA6*vlookup(AZ6,Ores[],4,FALSE))+if(isblank(BB6),0,BC6*vlookup(BB6,Ores[],4,FALSE))+if(isblank(BD6),0,BE6*vlookup(BD6,Ores[],4,FALSE))+if(isblank(BF6),0,BG6*vlookup(BF6,Ores[],4,FALSE)))/BH6)</f>
        <v>2.04</v>
      </c>
      <c r="BR6" s="21">
        <f>ifs(isblank(AX6),0,BH6="NR","NR",BH6="?","?",1,(AY6*vlookup(AX6,Ores[],8,FALSE)+if(isblank(AZ6),0,BA6*vlookup(AZ6,Ores[],8,FALSE))+if(isblank(BB6),0,BC6*vlookup(BB6,Ores[],8,FALSE))+if(isblank(BD6),0,BE6*vlookup(BD6,Ores[],8,FALSE))+if(isblank(BF6),0,BG6*vlookup(BF6,Ores[],8,FALSE)))/BH6)</f>
        <v>4.02</v>
      </c>
      <c r="BS6" s="21">
        <f>ifs(isblank(AX6),0,BH6="NR","NR",BH6="?","?",1,(AY6*vlookup(AX6,Ores[],7,FALSE)+if(isblank(AZ6),0,BA6*vlookup(AZ6,Ores[],7,FALSE))+if(isblank(BB6),0,BC6*vlookup(BB6,Ores[],7,FALSE))+if(isblank(BD6),0,BE6*vlookup(BD6,Ores[],7,FALSE))+if(isblank(BF6),0,BG6*vlookup(BF6,Ores[],7,FALSE)))/BH6)</f>
        <v>0</v>
      </c>
      <c r="BT6" s="21">
        <f>ifs(isblank(AX6),0,BH6="NR","NR",BH6="?","?",1,(AY6*vlookup(AX6,Ores[],3,FALSE)+if(isblank(AZ6),0,BA6*vlookup(AZ6,Ores[],3,FALSE))+if(isblank(BB6),0,BC6*vlookup(BB6,Ores[],3,FALSE))+if(isblank(BD6),0,BE6*vlookup(BD6,Ores[],3,FALSE))+if(isblank(BF6),0,BG6*vlookup(BF6,Ores[],3,FALSE)))/BH6)</f>
        <v>0</v>
      </c>
      <c r="BU6" s="21">
        <f>ifs(isblank(AX6),0,BH6="NR","NR",BH6="?","?",1,(AY6*vlookup(AX6,Ores[],5,FALSE)+if(isblank(AZ6),0,BA6*vlookup(AZ6,Ores[],5,FALSE))+if(isblank(BB6),0,BC6*vlookup(BB6,Ores[],5,FALSE))+if(isblank(BD6),0,BE6*vlookup(BD6,Ores[],5,FALSE))+if(isblank(BF6),0,BG6*vlookup(BF6,Ores[],5,FALSE)))/BH6)</f>
        <v>0.4</v>
      </c>
      <c r="BV6" s="22">
        <f t="shared" si="7"/>
        <v>21.04</v>
      </c>
      <c r="BW6" s="40">
        <v>137.0</v>
      </c>
      <c r="BX6" s="47">
        <f>20-7.5</f>
        <v>12.5</v>
      </c>
      <c r="BY6" s="49"/>
      <c r="BZ6" s="26">
        <f t="shared" si="8"/>
        <v>11.8</v>
      </c>
      <c r="CA6" s="22">
        <f t="shared" si="9"/>
        <v>15.92063492</v>
      </c>
      <c r="CB6" s="41" t="s">
        <v>185</v>
      </c>
      <c r="CC6" s="41" t="s">
        <v>186</v>
      </c>
      <c r="CD6" s="28">
        <f t="shared" si="10"/>
        <v>15.92063492</v>
      </c>
      <c r="CE6" s="41">
        <f t="shared" si="11"/>
        <v>118</v>
      </c>
      <c r="CF6" s="48"/>
      <c r="CG6" s="43"/>
      <c r="CH6" s="43">
        <v>75.0</v>
      </c>
      <c r="CI6" s="41">
        <f>CH6+118</f>
        <v>193</v>
      </c>
      <c r="CJ6" s="41">
        <f>CI6+70</f>
        <v>263</v>
      </c>
      <c r="CK6" s="43">
        <v>6.0</v>
      </c>
      <c r="CL6" s="50">
        <f>(20/102)*(61-37)</f>
        <v>4.705882353</v>
      </c>
      <c r="CM6" s="43">
        <v>4.0</v>
      </c>
      <c r="CN6" s="50">
        <f>(20/102)*(98.8-61)</f>
        <v>7.411764706</v>
      </c>
      <c r="CO6" s="43">
        <v>10.0</v>
      </c>
      <c r="CP6" s="50">
        <f>(20/102)*(102-98.8)</f>
        <v>0.6274509804</v>
      </c>
      <c r="CQ6" s="43">
        <v>1.0</v>
      </c>
      <c r="CR6" s="48" t="s">
        <v>129</v>
      </c>
      <c r="CS6" s="44">
        <v>0.0</v>
      </c>
      <c r="CT6" s="43" t="s">
        <v>187</v>
      </c>
      <c r="CU6" s="30"/>
      <c r="CV6" s="29"/>
      <c r="CW6" s="30" t="str">
        <f t="shared" si="12"/>
        <v>na</v>
      </c>
      <c r="CX6" s="31" t="str">
        <f t="shared" si="13"/>
        <v>na</v>
      </c>
      <c r="CY6" s="41" t="s">
        <v>188</v>
      </c>
      <c r="CZ6" s="41"/>
      <c r="DA6" s="41" t="s">
        <v>189</v>
      </c>
      <c r="DB6" s="41" t="s">
        <v>190</v>
      </c>
      <c r="DC6" s="41" t="s">
        <v>191</v>
      </c>
      <c r="DD6" s="41"/>
      <c r="DE6" s="41"/>
      <c r="DF6" s="41"/>
      <c r="DG6" s="41"/>
      <c r="DH6" s="41"/>
      <c r="DI6" s="41"/>
      <c r="DJ6" s="41"/>
      <c r="DK6" s="41"/>
      <c r="DL6" s="41"/>
      <c r="DM6" s="45"/>
    </row>
    <row r="7" ht="21.75" customHeight="1">
      <c r="A7" s="33" t="s">
        <v>192</v>
      </c>
      <c r="B7" s="34" t="s">
        <v>193</v>
      </c>
      <c r="C7" s="34" t="s">
        <v>137</v>
      </c>
      <c r="D7" s="34" t="s">
        <v>138</v>
      </c>
      <c r="E7" s="35">
        <v>38283.0</v>
      </c>
      <c r="F7" s="36" t="s">
        <v>194</v>
      </c>
      <c r="G7" s="36" t="s">
        <v>110</v>
      </c>
      <c r="H7" s="34"/>
      <c r="I7" s="34" t="s">
        <v>195</v>
      </c>
      <c r="J7" s="36" t="s">
        <v>196</v>
      </c>
      <c r="K7" s="34"/>
      <c r="L7" s="34"/>
      <c r="M7" s="36" t="s">
        <v>197</v>
      </c>
      <c r="N7" s="51" t="s">
        <v>168</v>
      </c>
      <c r="O7" s="34">
        <f t="shared" si="1"/>
        <v>68</v>
      </c>
      <c r="P7" s="34">
        <f t="shared" si="2"/>
        <v>68</v>
      </c>
      <c r="Q7" s="36">
        <v>68.0</v>
      </c>
      <c r="R7" s="34"/>
      <c r="S7" s="34">
        <v>45.0</v>
      </c>
      <c r="T7" s="34">
        <v>55.0</v>
      </c>
      <c r="U7" s="34">
        <v>35.0</v>
      </c>
      <c r="V7" s="34"/>
      <c r="W7" s="34"/>
      <c r="X7" s="34"/>
      <c r="Y7" s="34"/>
      <c r="Z7" s="34"/>
      <c r="AA7" s="37">
        <f>Calcs!O7</f>
        <v>1003.2</v>
      </c>
      <c r="AB7" s="34" t="s">
        <v>198</v>
      </c>
      <c r="AC7" s="34" t="s">
        <v>118</v>
      </c>
      <c r="AD7" s="34" t="s">
        <v>119</v>
      </c>
      <c r="AE7" s="34">
        <v>2.5</v>
      </c>
      <c r="AF7" s="36"/>
      <c r="AG7" s="36">
        <v>20.0</v>
      </c>
      <c r="AH7" s="36" t="s">
        <v>170</v>
      </c>
      <c r="AI7" s="34"/>
      <c r="AJ7" s="34">
        <v>5.0</v>
      </c>
      <c r="AK7" s="34"/>
      <c r="AL7" s="34" t="s">
        <v>118</v>
      </c>
      <c r="AM7" s="34"/>
      <c r="AN7" s="36">
        <v>2.0</v>
      </c>
      <c r="AO7" s="34">
        <v>23.0</v>
      </c>
      <c r="AP7" s="34"/>
      <c r="AQ7" s="36" t="s">
        <v>154</v>
      </c>
      <c r="AR7" s="34"/>
      <c r="AS7" s="34">
        <v>550.0</v>
      </c>
      <c r="AT7" s="14" t="str">
        <f t="shared" si="3"/>
        <v/>
      </c>
      <c r="AU7" s="12"/>
      <c r="AV7" s="38"/>
      <c r="AW7" s="17">
        <f t="shared" si="4"/>
        <v>1203.84</v>
      </c>
      <c r="AX7" s="36" t="s">
        <v>155</v>
      </c>
      <c r="AY7" s="36">
        <v>8.0</v>
      </c>
      <c r="AZ7" s="36"/>
      <c r="BA7" s="36"/>
      <c r="BB7" s="36"/>
      <c r="BC7" s="36"/>
      <c r="BD7" s="34"/>
      <c r="BE7" s="34"/>
      <c r="BF7" s="34"/>
      <c r="BG7" s="34"/>
      <c r="BH7" s="18">
        <f t="shared" si="5"/>
        <v>8</v>
      </c>
      <c r="BI7" s="19">
        <f>ifs(BH7=0,"na",BH7="NR","NR",BH7="?","?",BK7&gt;0,"?",iserror(Calcs!AB7),"?",1,Calcs!AB7)</f>
        <v>0.58</v>
      </c>
      <c r="BJ7" s="34" t="s">
        <v>125</v>
      </c>
      <c r="BK7" s="34"/>
      <c r="BL7" s="18">
        <f t="shared" si="6"/>
        <v>8</v>
      </c>
      <c r="BM7" s="34"/>
      <c r="BN7" s="34"/>
      <c r="BO7" s="34" t="s">
        <v>173</v>
      </c>
      <c r="BP7" s="20">
        <f>ifs(isblank(AX7),0,BH7="NR","NR",BH7="?","?",1,(AY7*vlookup(AX7,Ores[],2,FALSE)+if(isblank(AZ7),0,BA7*vlookup(AZ7,Ores[],2,FALSE))+if(isblank(BB7),0,BC7*vlookup(BB7,Ores[],2,FALSE))+if(isblank(BD7),0,BE7*vlookup(BD7,Ores[],2,FALSE))+if(isblank(BF7),0,BG7*vlookup(BF7,Ores[],2,FALSE)))/BH7)</f>
        <v>8.73</v>
      </c>
      <c r="BQ7" s="20">
        <f>ifs(isblank(AX7),0,BH7="NR","NR",BH7="?","?",1,(AY7*vlookup(AX7,Ores[],4,FALSE)+if(isblank(AZ7),0,BA7*vlookup(AZ7,Ores[],4,FALSE))+if(isblank(BB7),0,BC7*vlookup(BB7,Ores[],4,FALSE))+if(isblank(BD7),0,BE7*vlookup(BD7,Ores[],4,FALSE))+if(isblank(BF7),0,BG7*vlookup(BF7,Ores[],4,FALSE)))/BH7)</f>
        <v>2.04</v>
      </c>
      <c r="BR7" s="21">
        <f>ifs(isblank(AX7),0,BH7="NR","NR",BH7="?","?",1,(AY7*vlookup(AX7,Ores[],8,FALSE)+if(isblank(AZ7),0,BA7*vlookup(AZ7,Ores[],8,FALSE))+if(isblank(BB7),0,BC7*vlookup(BB7,Ores[],8,FALSE))+if(isblank(BD7),0,BE7*vlookup(BD7,Ores[],8,FALSE))+if(isblank(BF7),0,BG7*vlookup(BF7,Ores[],8,FALSE)))/BH7)</f>
        <v>4.02</v>
      </c>
      <c r="BS7" s="21">
        <f>ifs(isblank(AX7),0,BH7="NR","NR",BH7="?","?",1,(AY7*vlookup(AX7,Ores[],7,FALSE)+if(isblank(AZ7),0,BA7*vlookup(AZ7,Ores[],7,FALSE))+if(isblank(BB7),0,BC7*vlookup(BB7,Ores[],7,FALSE))+if(isblank(BD7),0,BE7*vlookup(BD7,Ores[],7,FALSE))+if(isblank(BF7),0,BG7*vlookup(BF7,Ores[],7,FALSE)))/BH7)</f>
        <v>0</v>
      </c>
      <c r="BT7" s="21">
        <f>ifs(isblank(AX7),0,BH7="NR","NR",BH7="?","?",1,(AY7*vlookup(AX7,Ores[],3,FALSE)+if(isblank(AZ7),0,BA7*vlookup(AZ7,Ores[],3,FALSE))+if(isblank(BB7),0,BC7*vlookup(BB7,Ores[],3,FALSE))+if(isblank(BD7),0,BE7*vlookup(BD7,Ores[],3,FALSE))+if(isblank(BF7),0,BG7*vlookup(BF7,Ores[],3,FALSE)))/BH7)</f>
        <v>0</v>
      </c>
      <c r="BU7" s="21">
        <f>ifs(isblank(AX7),0,BH7="NR","NR",BH7="?","?",1,(AY7*vlookup(AX7,Ores[],5,FALSE)+if(isblank(AZ7),0,BA7*vlookup(AZ7,Ores[],5,FALSE))+if(isblank(BB7),0,BC7*vlookup(BB7,Ores[],5,FALSE))+if(isblank(BD7),0,BE7*vlookup(BD7,Ores[],5,FALSE))+if(isblank(BF7),0,BG7*vlookup(BF7,Ores[],5,FALSE)))/BH7)</f>
        <v>0.4</v>
      </c>
      <c r="BV7" s="22" t="str">
        <f t="shared" si="7"/>
        <v>NR</v>
      </c>
      <c r="BW7" s="40">
        <v>94.0</v>
      </c>
      <c r="BX7" s="47">
        <f>22-4.5</f>
        <v>17.5</v>
      </c>
      <c r="BY7" s="49"/>
      <c r="BZ7" s="26">
        <f t="shared" si="8"/>
        <v>18</v>
      </c>
      <c r="CA7" s="22">
        <f t="shared" si="9"/>
        <v>19.11013942</v>
      </c>
      <c r="CB7" s="43" t="s">
        <v>127</v>
      </c>
      <c r="CC7" s="41" t="s">
        <v>128</v>
      </c>
      <c r="CD7" s="28">
        <f t="shared" si="10"/>
        <v>19.11013942</v>
      </c>
      <c r="CE7" s="52">
        <f t="shared" si="11"/>
        <v>198</v>
      </c>
      <c r="CF7" s="41"/>
      <c r="CG7" s="43"/>
      <c r="CH7" s="43">
        <v>74.0</v>
      </c>
      <c r="CI7" s="41">
        <f>CH7+198</f>
        <v>272</v>
      </c>
      <c r="CJ7" s="43" t="s">
        <v>116</v>
      </c>
      <c r="CK7" s="43">
        <v>8.0</v>
      </c>
      <c r="CL7" s="53">
        <f>(22/222.6)*45.1</f>
        <v>4.457322552</v>
      </c>
      <c r="CM7" s="43">
        <v>4.0</v>
      </c>
      <c r="CN7" s="53">
        <f>(22/222.6)*(Calcs!O7*(7.5+10+7.5+12+10+10+10+10+10+10+7.5)/1000)</f>
        <v>10.36099191</v>
      </c>
      <c r="CO7" s="43">
        <v>11.0</v>
      </c>
      <c r="CP7" s="53">
        <f>(22/222.6)*(Calcs!O7*(10+7.5+10)/1000)</f>
        <v>2.726576819</v>
      </c>
      <c r="CQ7" s="43">
        <v>3.0</v>
      </c>
      <c r="CR7" s="41" t="s">
        <v>129</v>
      </c>
      <c r="CS7" s="53">
        <v>2.0</v>
      </c>
      <c r="CT7" s="43" t="s">
        <v>199</v>
      </c>
      <c r="CU7" s="27" t="s">
        <v>200</v>
      </c>
      <c r="CV7" s="29"/>
      <c r="CW7" s="30">
        <f t="shared" si="12"/>
        <v>0.25</v>
      </c>
      <c r="CX7" s="31">
        <f t="shared" si="13"/>
        <v>0.4310344828</v>
      </c>
      <c r="CY7" s="41" t="s">
        <v>188</v>
      </c>
      <c r="CZ7" s="41"/>
      <c r="DA7" s="41" t="s">
        <v>201</v>
      </c>
      <c r="DB7" s="41" t="s">
        <v>202</v>
      </c>
      <c r="DC7" s="41" t="s">
        <v>203</v>
      </c>
      <c r="DD7" s="41"/>
      <c r="DE7" s="41"/>
      <c r="DF7" s="41"/>
      <c r="DG7" s="41"/>
      <c r="DH7" s="41"/>
      <c r="DI7" s="41"/>
      <c r="DJ7" s="41"/>
      <c r="DK7" s="41"/>
      <c r="DL7" s="41"/>
      <c r="DM7" s="45"/>
    </row>
    <row r="8" ht="21.75" customHeight="1">
      <c r="A8" s="33">
        <v>7.0</v>
      </c>
      <c r="B8" s="34" t="s">
        <v>193</v>
      </c>
      <c r="C8" s="34" t="s">
        <v>204</v>
      </c>
      <c r="D8" s="36" t="s">
        <v>205</v>
      </c>
      <c r="E8" s="54">
        <v>38408.0</v>
      </c>
      <c r="F8" s="36" t="s">
        <v>194</v>
      </c>
      <c r="G8" s="36" t="s">
        <v>110</v>
      </c>
      <c r="H8" s="34"/>
      <c r="I8" s="36" t="s">
        <v>195</v>
      </c>
      <c r="J8" s="36" t="s">
        <v>206</v>
      </c>
      <c r="K8" s="34"/>
      <c r="L8" s="34"/>
      <c r="M8" s="36" t="s">
        <v>207</v>
      </c>
      <c r="N8" s="51" t="s">
        <v>168</v>
      </c>
      <c r="O8" s="34">
        <f t="shared" si="1"/>
        <v>60</v>
      </c>
      <c r="P8" s="34">
        <f t="shared" si="2"/>
        <v>60</v>
      </c>
      <c r="Q8" s="36">
        <v>60.0</v>
      </c>
      <c r="R8" s="34"/>
      <c r="S8" s="34">
        <v>40.0</v>
      </c>
      <c r="T8" s="34">
        <v>50.0</v>
      </c>
      <c r="U8" s="34">
        <v>25.0</v>
      </c>
      <c r="V8" s="34"/>
      <c r="W8" s="34"/>
      <c r="X8" s="34"/>
      <c r="Y8" s="34"/>
      <c r="Z8" s="34"/>
      <c r="AA8" s="37">
        <f>Calcs!O8</f>
        <v>526.7</v>
      </c>
      <c r="AB8" s="34" t="s">
        <v>198</v>
      </c>
      <c r="AC8" s="34" t="s">
        <v>208</v>
      </c>
      <c r="AD8" s="34" t="s">
        <v>209</v>
      </c>
      <c r="AE8" s="34">
        <v>2.5</v>
      </c>
      <c r="AF8" s="36" t="s">
        <v>123</v>
      </c>
      <c r="AG8" s="36">
        <v>20.0</v>
      </c>
      <c r="AH8" s="36" t="s">
        <v>170</v>
      </c>
      <c r="AI8" s="34"/>
      <c r="AJ8" s="34">
        <v>5.0</v>
      </c>
      <c r="AK8" s="34"/>
      <c r="AL8" s="34" t="s">
        <v>184</v>
      </c>
      <c r="AM8" s="34"/>
      <c r="AN8" s="36">
        <v>20.0</v>
      </c>
      <c r="AO8" s="34">
        <v>18.0</v>
      </c>
      <c r="AP8" s="34"/>
      <c r="AQ8" s="36" t="s">
        <v>154</v>
      </c>
      <c r="AR8" s="34"/>
      <c r="AS8" s="34">
        <v>815.0</v>
      </c>
      <c r="AT8" s="14" t="str">
        <f t="shared" si="3"/>
        <v/>
      </c>
      <c r="AU8" s="12"/>
      <c r="AV8" s="38"/>
      <c r="AW8" s="17">
        <f t="shared" si="4"/>
        <v>632.04</v>
      </c>
      <c r="AX8" s="36" t="s">
        <v>155</v>
      </c>
      <c r="AY8" s="36">
        <v>31.8</v>
      </c>
      <c r="AZ8" s="36" t="s">
        <v>210</v>
      </c>
      <c r="BA8" s="55">
        <f>7/2.2</f>
        <v>3.181818182</v>
      </c>
      <c r="BB8" s="36"/>
      <c r="BC8" s="36"/>
      <c r="BD8" s="34"/>
      <c r="BE8" s="34"/>
      <c r="BF8" s="34"/>
      <c r="BG8" s="34"/>
      <c r="BH8" s="18">
        <f t="shared" si="5"/>
        <v>34.98181818</v>
      </c>
      <c r="BI8" s="19" t="str">
        <f>ifs(BH8=0,"na",BH8="NR","NR",BH8="?","?",BK8&gt;0,"?",iserror(Calcs!AB8),"?",1,Calcs!AB8)</f>
        <v>?</v>
      </c>
      <c r="BJ8" s="34" t="s">
        <v>125</v>
      </c>
      <c r="BK8" s="34"/>
      <c r="BL8" s="18">
        <f t="shared" si="6"/>
        <v>34.98181818</v>
      </c>
      <c r="BM8" s="34"/>
      <c r="BN8" s="36" t="s">
        <v>123</v>
      </c>
      <c r="BO8" s="34" t="s">
        <v>173</v>
      </c>
      <c r="BP8" s="20">
        <f>ifs(isblank(AX8),0,BH8="NR","NR",BH8="?","?",1,(AY8*vlookup(AX8,Ores[],2,FALSE)+if(isblank(AZ8),0,BA8*vlookup(AZ8,Ores[],2,FALSE))+if(isblank(BB8),0,BC8*vlookup(BB8,Ores[],2,FALSE))+if(isblank(BD8),0,BE8*vlookup(BD8,Ores[],2,FALSE))+if(isblank(BF8),0,BG8*vlookup(BF8,Ores[],2,FALSE)))/BH8)</f>
        <v>7.935951143</v>
      </c>
      <c r="BQ8" s="20">
        <f>ifs(isblank(AX8),0,BH8="NR","NR",BH8="?","?",1,(AY8*vlookup(AX8,Ores[],4,FALSE)+if(isblank(AZ8),0,BA8*vlookup(AZ8,Ores[],4,FALSE))+if(isblank(BB8),0,BC8*vlookup(BB8,Ores[],4,FALSE))+if(isblank(BD8),0,BE8*vlookup(BD8,Ores[],4,FALSE))+if(isblank(BF8),0,BG8*vlookup(BF8,Ores[],4,FALSE)))/BH8)</f>
        <v>1.854449064</v>
      </c>
      <c r="BR8" s="21">
        <f>ifs(isblank(AX8),0,BH8="NR","NR",BH8="?","?",1,(AY8*vlookup(AX8,Ores[],8,FALSE)+if(isblank(AZ8),0,BA8*vlookup(AZ8,Ores[],8,FALSE))+if(isblank(BB8),0,BC8*vlookup(BB8,Ores[],8,FALSE))+if(isblank(BD8),0,BE8*vlookup(BD8,Ores[],8,FALSE))+if(isblank(BF8),0,BG8*vlookup(BF8,Ores[],8,FALSE)))/BH8)</f>
        <v>3.654355509</v>
      </c>
      <c r="BS8" s="21">
        <f>ifs(isblank(AX8),0,BH8="NR","NR",BH8="?","?",1,(AY8*vlookup(AX8,Ores[],7,FALSE)+if(isblank(AZ8),0,BA8*vlookup(AZ8,Ores[],7,FALSE))+if(isblank(BB8),0,BC8*vlookup(BB8,Ores[],7,FALSE))+if(isblank(BD8),0,BE8*vlookup(BD8,Ores[],7,FALSE))+if(isblank(BF8),0,BG8*vlookup(BF8,Ores[],7,FALSE)))/BH8)</f>
        <v>0</v>
      </c>
      <c r="BT8" s="21">
        <f>ifs(isblank(AX8),0,BH8="NR","NR",BH8="?","?",1,(AY8*vlookup(AX8,Ores[],3,FALSE)+if(isblank(AZ8),0,BA8*vlookup(AZ8,Ores[],3,FALSE))+if(isblank(BB8),0,BC8*vlookup(BB8,Ores[],3,FALSE))+if(isblank(BD8),0,BE8*vlookup(BD8,Ores[],3,FALSE))+if(isblank(BF8),0,BG8*vlookup(BF8,Ores[],3,FALSE)))/BH8)</f>
        <v>0</v>
      </c>
      <c r="BU8" s="21">
        <f>ifs(isblank(AX8),0,BH8="NR","NR",BH8="?","?",1,(AY8*vlookup(AX8,Ores[],5,FALSE)+if(isblank(AZ8),0,BA8*vlookup(AZ8,Ores[],5,FALSE))+if(isblank(BB8),0,BC8*vlookup(BB8,Ores[],5,FALSE))+if(isblank(BD8),0,BE8*vlookup(BD8,Ores[],5,FALSE))+if(isblank(BF8),0,BG8*vlookup(BF8,Ores[],5,FALSE)))/BH8)</f>
        <v>0.3636174636</v>
      </c>
      <c r="BV8" s="22" t="str">
        <f t="shared" si="7"/>
        <v>NR</v>
      </c>
      <c r="BW8" s="40">
        <v>85.0</v>
      </c>
      <c r="BX8" s="43">
        <f>83.64-5.5</f>
        <v>78.14</v>
      </c>
      <c r="BY8" s="49"/>
      <c r="BZ8" s="56">
        <f t="shared" si="8"/>
        <v>9.075</v>
      </c>
      <c r="CA8" s="53">
        <f t="shared" si="9"/>
        <v>5.119230769</v>
      </c>
      <c r="CB8" s="41" t="s">
        <v>185</v>
      </c>
      <c r="CC8" s="41" t="s">
        <v>186</v>
      </c>
      <c r="CD8" s="28">
        <f t="shared" si="10"/>
        <v>5.119230769</v>
      </c>
      <c r="CE8" s="41">
        <f t="shared" si="11"/>
        <v>363</v>
      </c>
      <c r="CF8" s="41"/>
      <c r="CG8" s="43"/>
      <c r="CH8" s="43">
        <v>29.0</v>
      </c>
      <c r="CI8" s="43">
        <v>392.0</v>
      </c>
      <c r="CJ8" s="43" t="s">
        <v>116</v>
      </c>
      <c r="CK8" s="43">
        <v>41.0</v>
      </c>
      <c r="CL8" s="44">
        <f>16/2.2</f>
        <v>7.272727273</v>
      </c>
      <c r="CM8" s="57">
        <v>4.0</v>
      </c>
      <c r="CN8" s="53">
        <f>(184-28)/2.2</f>
        <v>70.90909091</v>
      </c>
      <c r="CO8" s="57">
        <v>40.0</v>
      </c>
      <c r="CP8" s="53">
        <f>4/2.2</f>
        <v>1.818181818</v>
      </c>
      <c r="CQ8" s="57">
        <v>1.0</v>
      </c>
      <c r="CR8" s="41" t="s">
        <v>157</v>
      </c>
      <c r="CS8" s="53">
        <v>6.5</v>
      </c>
      <c r="CT8" s="43" t="s">
        <v>211</v>
      </c>
      <c r="CU8" s="27" t="s">
        <v>212</v>
      </c>
      <c r="CV8" s="29"/>
      <c r="CW8" s="30">
        <f t="shared" si="12"/>
        <v>0.1858108108</v>
      </c>
      <c r="CX8" s="31" t="str">
        <f t="shared" si="13"/>
        <v>?</v>
      </c>
      <c r="CY8" s="41" t="s">
        <v>159</v>
      </c>
      <c r="CZ8" s="41"/>
      <c r="DA8" s="41" t="s">
        <v>213</v>
      </c>
      <c r="DB8" s="41" t="s">
        <v>214</v>
      </c>
      <c r="DC8" s="41" t="s">
        <v>215</v>
      </c>
      <c r="DD8" s="41"/>
      <c r="DE8" s="41"/>
      <c r="DF8" s="41"/>
      <c r="DG8" s="41"/>
      <c r="DH8" s="41"/>
      <c r="DI8" s="41"/>
      <c r="DJ8" s="41"/>
      <c r="DK8" s="41"/>
      <c r="DL8" s="41"/>
      <c r="DM8" s="45"/>
    </row>
    <row r="9" ht="21.75" customHeight="1">
      <c r="A9" s="33">
        <v>8.0</v>
      </c>
      <c r="B9" s="34" t="s">
        <v>193</v>
      </c>
      <c r="C9" s="34" t="s">
        <v>204</v>
      </c>
      <c r="D9" s="36" t="s">
        <v>205</v>
      </c>
      <c r="E9" s="54">
        <v>38410.0</v>
      </c>
      <c r="F9" s="36" t="s">
        <v>194</v>
      </c>
      <c r="G9" s="36" t="s">
        <v>110</v>
      </c>
      <c r="H9" s="34"/>
      <c r="I9" s="36" t="s">
        <v>195</v>
      </c>
      <c r="J9" s="36" t="s">
        <v>206</v>
      </c>
      <c r="K9" s="34"/>
      <c r="L9" s="34"/>
      <c r="M9" s="36" t="s">
        <v>207</v>
      </c>
      <c r="N9" s="51" t="s">
        <v>168</v>
      </c>
      <c r="O9" s="34">
        <f t="shared" si="1"/>
        <v>60</v>
      </c>
      <c r="P9" s="34">
        <f t="shared" si="2"/>
        <v>60</v>
      </c>
      <c r="Q9" s="36">
        <v>60.0</v>
      </c>
      <c r="R9" s="34"/>
      <c r="S9" s="34">
        <v>40.0</v>
      </c>
      <c r="T9" s="34">
        <v>50.0</v>
      </c>
      <c r="U9" s="34">
        <v>25.0</v>
      </c>
      <c r="V9" s="34"/>
      <c r="W9" s="34"/>
      <c r="X9" s="34"/>
      <c r="Y9" s="34"/>
      <c r="Z9" s="34"/>
      <c r="AA9" s="37">
        <f>Calcs!O9</f>
        <v>526.7</v>
      </c>
      <c r="AB9" s="34" t="s">
        <v>198</v>
      </c>
      <c r="AC9" s="34" t="s">
        <v>208</v>
      </c>
      <c r="AD9" s="34" t="s">
        <v>209</v>
      </c>
      <c r="AE9" s="34">
        <v>2.5</v>
      </c>
      <c r="AF9" s="36" t="s">
        <v>123</v>
      </c>
      <c r="AG9" s="36">
        <v>20.0</v>
      </c>
      <c r="AH9" s="36" t="s">
        <v>170</v>
      </c>
      <c r="AI9" s="34"/>
      <c r="AJ9" s="34">
        <v>5.0</v>
      </c>
      <c r="AK9" s="34"/>
      <c r="AL9" s="34" t="s">
        <v>184</v>
      </c>
      <c r="AM9" s="34"/>
      <c r="AN9" s="36">
        <v>24.0</v>
      </c>
      <c r="AO9" s="34">
        <v>18.0</v>
      </c>
      <c r="AP9" s="34"/>
      <c r="AQ9" s="36" t="s">
        <v>154</v>
      </c>
      <c r="AR9" s="34"/>
      <c r="AS9" s="34">
        <v>815.0</v>
      </c>
      <c r="AT9" s="14" t="str">
        <f t="shared" si="3"/>
        <v/>
      </c>
      <c r="AU9" s="12"/>
      <c r="AV9" s="38"/>
      <c r="AW9" s="17">
        <f t="shared" si="4"/>
        <v>632.04</v>
      </c>
      <c r="AX9" s="36" t="s">
        <v>155</v>
      </c>
      <c r="AY9" s="36">
        <v>28.0</v>
      </c>
      <c r="AZ9" s="36"/>
      <c r="BA9" s="36"/>
      <c r="BB9" s="36"/>
      <c r="BC9" s="36"/>
      <c r="BD9" s="34"/>
      <c r="BE9" s="34"/>
      <c r="BF9" s="34"/>
      <c r="BG9" s="34"/>
      <c r="BH9" s="18">
        <f t="shared" si="5"/>
        <v>28</v>
      </c>
      <c r="BI9" s="19">
        <f>ifs(BH9=0,"na",BH9="NR","NR",BH9="?","?",BK9&gt;0,"?",iserror(Calcs!AB9),"?",1,Calcs!AB9)</f>
        <v>0.58</v>
      </c>
      <c r="BJ9" s="34" t="s">
        <v>125</v>
      </c>
      <c r="BK9" s="34"/>
      <c r="BL9" s="18">
        <f t="shared" si="6"/>
        <v>28</v>
      </c>
      <c r="BM9" s="34"/>
      <c r="BN9" s="36" t="s">
        <v>123</v>
      </c>
      <c r="BO9" s="34" t="s">
        <v>173</v>
      </c>
      <c r="BP9" s="20">
        <f>ifs(isblank(AX9),0,BH9="NR","NR",BH9="?","?",1,(AY9*vlookup(AX9,Ores[],2,FALSE)+if(isblank(AZ9),0,BA9*vlookup(AZ9,Ores[],2,FALSE))+if(isblank(BB9),0,BC9*vlookup(BB9,Ores[],2,FALSE))+if(isblank(BD9),0,BE9*vlookup(BD9,Ores[],2,FALSE))+if(isblank(BF9),0,BG9*vlookup(BF9,Ores[],2,FALSE)))/BH9)</f>
        <v>8.73</v>
      </c>
      <c r="BQ9" s="20">
        <f>ifs(isblank(AX9),0,BH9="NR","NR",BH9="?","?",1,(AY9*vlookup(AX9,Ores[],4,FALSE)+if(isblank(AZ9),0,BA9*vlookup(AZ9,Ores[],4,FALSE))+if(isblank(BB9),0,BC9*vlookup(BB9,Ores[],4,FALSE))+if(isblank(BD9),0,BE9*vlookup(BD9,Ores[],4,FALSE))+if(isblank(BF9),0,BG9*vlookup(BF9,Ores[],4,FALSE)))/BH9)</f>
        <v>2.04</v>
      </c>
      <c r="BR9" s="21">
        <f>ifs(isblank(AX9),0,BH9="NR","NR",BH9="?","?",1,(AY9*vlookup(AX9,Ores[],8,FALSE)+if(isblank(AZ9),0,BA9*vlookup(AZ9,Ores[],8,FALSE))+if(isblank(BB9),0,BC9*vlookup(BB9,Ores[],8,FALSE))+if(isblank(BD9),0,BE9*vlookup(BD9,Ores[],8,FALSE))+if(isblank(BF9),0,BG9*vlookup(BF9,Ores[],8,FALSE)))/BH9)</f>
        <v>4.02</v>
      </c>
      <c r="BS9" s="21">
        <f>ifs(isblank(AX9),0,BH9="NR","NR",BH9="?","?",1,(AY9*vlookup(AX9,Ores[],7,FALSE)+if(isblank(AZ9),0,BA9*vlookup(AZ9,Ores[],7,FALSE))+if(isblank(BB9),0,BC9*vlookup(BB9,Ores[],7,FALSE))+if(isblank(BD9),0,BE9*vlookup(BD9,Ores[],7,FALSE))+if(isblank(BF9),0,BG9*vlookup(BF9,Ores[],7,FALSE)))/BH9)</f>
        <v>0</v>
      </c>
      <c r="BT9" s="21">
        <f>ifs(isblank(AX9),0,BH9="NR","NR",BH9="?","?",1,(AY9*vlookup(AX9,Ores[],3,FALSE)+if(isblank(AZ9),0,BA9*vlookup(AZ9,Ores[],3,FALSE))+if(isblank(BB9),0,BC9*vlookup(BB9,Ores[],3,FALSE))+if(isblank(BD9),0,BE9*vlookup(BD9,Ores[],3,FALSE))+if(isblank(BF9),0,BG9*vlookup(BF9,Ores[],3,FALSE)))/BH9)</f>
        <v>0</v>
      </c>
      <c r="BU9" s="21">
        <f>ifs(isblank(AX9),0,BH9="NR","NR",BH9="?","?",1,(AY9*vlookup(AX9,Ores[],5,FALSE)+if(isblank(AZ9),0,BA9*vlookup(AZ9,Ores[],5,FALSE))+if(isblank(BB9),0,BC9*vlookup(BB9,Ores[],5,FALSE))+if(isblank(BD9),0,BE9*vlookup(BD9,Ores[],5,FALSE))+if(isblank(BF9),0,BG9*vlookup(BF9,Ores[],5,FALSE)))/BH9)</f>
        <v>0.4</v>
      </c>
      <c r="BV9" s="22" t="str">
        <f t="shared" si="7"/>
        <v>NR</v>
      </c>
      <c r="BW9" s="40">
        <v>85.0</v>
      </c>
      <c r="BX9" s="43">
        <f>85.45-7.3</f>
        <v>78.15</v>
      </c>
      <c r="BY9" s="49"/>
      <c r="BZ9" s="56">
        <f t="shared" si="8"/>
        <v>9.461538462</v>
      </c>
      <c r="CA9" s="53">
        <f t="shared" si="9"/>
        <v>5.203846154</v>
      </c>
      <c r="CB9" s="41" t="s">
        <v>185</v>
      </c>
      <c r="CC9" s="41" t="s">
        <v>186</v>
      </c>
      <c r="CD9" s="28">
        <f t="shared" si="10"/>
        <v>5.203846154</v>
      </c>
      <c r="CE9" s="41">
        <f t="shared" si="11"/>
        <v>369</v>
      </c>
      <c r="CF9" s="41"/>
      <c r="CG9" s="43"/>
      <c r="CH9" s="43">
        <v>32.0</v>
      </c>
      <c r="CI9" s="43">
        <v>401.0</v>
      </c>
      <c r="CJ9" s="43" t="s">
        <v>116</v>
      </c>
      <c r="CK9" s="43">
        <v>33.0</v>
      </c>
      <c r="CL9" s="44">
        <f>8/2.2</f>
        <v>3.636363636</v>
      </c>
      <c r="CM9" s="57">
        <v>2.0</v>
      </c>
      <c r="CN9" s="53">
        <f>(164-8)/2.2</f>
        <v>70.90909091</v>
      </c>
      <c r="CO9" s="57">
        <v>39.0</v>
      </c>
      <c r="CP9" s="44">
        <f>8/2.2</f>
        <v>3.636363636</v>
      </c>
      <c r="CQ9" s="57">
        <v>2.0</v>
      </c>
      <c r="CR9" s="41" t="s">
        <v>157</v>
      </c>
      <c r="CS9" s="53">
        <v>7.5</v>
      </c>
      <c r="CT9" s="43" t="s">
        <v>216</v>
      </c>
      <c r="CU9" s="30"/>
      <c r="CV9" s="58">
        <v>4.57</v>
      </c>
      <c r="CW9" s="30">
        <f t="shared" si="12"/>
        <v>0.2678571429</v>
      </c>
      <c r="CX9" s="31">
        <f t="shared" si="13"/>
        <v>0.4618226601</v>
      </c>
      <c r="CY9" s="41" t="s">
        <v>217</v>
      </c>
      <c r="CZ9" s="41"/>
      <c r="DA9" s="41" t="s">
        <v>213</v>
      </c>
      <c r="DB9" s="41" t="s">
        <v>214</v>
      </c>
      <c r="DC9" s="41" t="s">
        <v>218</v>
      </c>
      <c r="DD9" s="41"/>
      <c r="DE9" s="41"/>
      <c r="DF9" s="41"/>
      <c r="DG9" s="41"/>
      <c r="DH9" s="41"/>
      <c r="DI9" s="41"/>
      <c r="DJ9" s="41"/>
      <c r="DK9" s="41"/>
      <c r="DL9" s="41"/>
      <c r="DM9" s="45"/>
    </row>
    <row r="10" ht="21.75" customHeight="1">
      <c r="A10" s="33">
        <v>9.0</v>
      </c>
      <c r="B10" s="34" t="s">
        <v>219</v>
      </c>
      <c r="C10" s="34" t="s">
        <v>220</v>
      </c>
      <c r="D10" s="34" t="s">
        <v>138</v>
      </c>
      <c r="E10" s="35">
        <v>38486.0</v>
      </c>
      <c r="F10" s="36" t="s">
        <v>194</v>
      </c>
      <c r="G10" s="36" t="s">
        <v>123</v>
      </c>
      <c r="H10" s="34"/>
      <c r="I10" s="34" t="s">
        <v>195</v>
      </c>
      <c r="J10" s="36" t="s">
        <v>206</v>
      </c>
      <c r="K10" s="34"/>
      <c r="L10" s="34"/>
      <c r="M10" s="36" t="s">
        <v>221</v>
      </c>
      <c r="N10" s="51" t="s">
        <v>168</v>
      </c>
      <c r="O10" s="34">
        <f t="shared" si="1"/>
        <v>60</v>
      </c>
      <c r="P10" s="34">
        <f t="shared" si="2"/>
        <v>60</v>
      </c>
      <c r="Q10" s="36">
        <v>60.0</v>
      </c>
      <c r="R10" s="34"/>
      <c r="S10" s="34">
        <v>40.0</v>
      </c>
      <c r="T10" s="34">
        <v>50.0</v>
      </c>
      <c r="U10" s="34">
        <v>25.0</v>
      </c>
      <c r="V10" s="34"/>
      <c r="W10" s="34"/>
      <c r="X10" s="34"/>
      <c r="Y10" s="34"/>
      <c r="Z10" s="34"/>
      <c r="AA10" s="37">
        <f>Calcs!O10</f>
        <v>517.8</v>
      </c>
      <c r="AB10" s="34" t="s">
        <v>198</v>
      </c>
      <c r="AC10" s="34" t="s">
        <v>222</v>
      </c>
      <c r="AD10" s="34" t="s">
        <v>119</v>
      </c>
      <c r="AE10" s="34">
        <v>2.5</v>
      </c>
      <c r="AF10" s="36"/>
      <c r="AG10" s="36">
        <v>20.0</v>
      </c>
      <c r="AH10" s="36" t="s">
        <v>170</v>
      </c>
      <c r="AI10" s="34"/>
      <c r="AJ10" s="34">
        <v>5.0</v>
      </c>
      <c r="AK10" s="34"/>
      <c r="AL10" s="34" t="s">
        <v>184</v>
      </c>
      <c r="AM10" s="34"/>
      <c r="AN10" s="36" t="s">
        <v>116</v>
      </c>
      <c r="AO10" s="34">
        <v>20.0</v>
      </c>
      <c r="AP10" s="34"/>
      <c r="AQ10" s="34" t="s">
        <v>223</v>
      </c>
      <c r="AR10" s="34"/>
      <c r="AS10" s="34" t="s">
        <v>224</v>
      </c>
      <c r="AT10" s="14" t="str">
        <f t="shared" si="3"/>
        <v/>
      </c>
      <c r="AU10" s="12"/>
      <c r="AV10" s="38"/>
      <c r="AW10" s="17">
        <f t="shared" si="4"/>
        <v>621.36</v>
      </c>
      <c r="AX10" s="36" t="s">
        <v>225</v>
      </c>
      <c r="AY10" s="36">
        <v>21.3</v>
      </c>
      <c r="AZ10" s="34"/>
      <c r="BA10" s="34"/>
      <c r="BB10" s="34"/>
      <c r="BC10" s="34"/>
      <c r="BD10" s="34"/>
      <c r="BE10" s="34"/>
      <c r="BF10" s="34"/>
      <c r="BG10" s="34"/>
      <c r="BH10" s="18">
        <f t="shared" si="5"/>
        <v>21.3</v>
      </c>
      <c r="BI10" s="19">
        <f>ifs(BH10=0,"na",BH10="NR","NR",BH10="?","?",BK10&gt;0,"?",iserror(Calcs!AB10),"?",1,Calcs!AB10)</f>
        <v>0.6539677619</v>
      </c>
      <c r="BJ10" s="34" t="s">
        <v>125</v>
      </c>
      <c r="BK10" s="34"/>
      <c r="BL10" s="18">
        <f t="shared" si="6"/>
        <v>21.3</v>
      </c>
      <c r="BM10" s="34"/>
      <c r="BN10" s="36" t="s">
        <v>123</v>
      </c>
      <c r="BO10" s="34" t="s">
        <v>173</v>
      </c>
      <c r="BP10" s="20">
        <f>ifs(isblank(AX10),0,BH10="NR","NR",BH10="?","?",1,(AY10*vlookup(AX10,Ores[],2,FALSE)+if(isblank(AZ10),0,BA10*vlookup(AZ10,Ores[],2,FALSE))+if(isblank(BB10),0,BC10*vlookup(BB10,Ores[],2,FALSE))+if(isblank(BD10),0,BE10*vlookup(BD10,Ores[],2,FALSE))+if(isblank(BF10),0,BG10*vlookup(BF10,Ores[],2,FALSE)))/BH10)</f>
        <v>4.87</v>
      </c>
      <c r="BQ10" s="20">
        <f>ifs(isblank(AX10),0,BH10="NR","NR",BH10="?","?",1,(AY10*vlookup(AX10,Ores[],4,FALSE)+if(isblank(AZ10),0,BA10*vlookup(AZ10,Ores[],4,FALSE))+if(isblank(BB10),0,BC10*vlookup(BB10,Ores[],4,FALSE))+if(isblank(BD10),0,BE10*vlookup(BD10,Ores[],4,FALSE))+if(isblank(BF10),0,BG10*vlookup(BF10,Ores[],4,FALSE)))/BH10)</f>
        <v>0.22</v>
      </c>
      <c r="BR10" s="21">
        <f>ifs(isblank(AX10),0,BH10="NR","NR",BH10="?","?",1,(AY10*vlookup(AX10,Ores[],8,FALSE)+if(isblank(AZ10),0,BA10*vlookup(AZ10,Ores[],8,FALSE))+if(isblank(BB10),0,BC10*vlookup(BB10,Ores[],8,FALSE))+if(isblank(BD10),0,BE10*vlookup(BD10,Ores[],8,FALSE))+if(isblank(BF10),0,BG10*vlookup(BF10,Ores[],8,FALSE)))/BH10)</f>
        <v>0</v>
      </c>
      <c r="BS10" s="21">
        <f>ifs(isblank(AX10),0,BH10="NR","NR",BH10="?","?",1,(AY10*vlookup(AX10,Ores[],7,FALSE)+if(isblank(AZ10),0,BA10*vlookup(AZ10,Ores[],7,FALSE))+if(isblank(BB10),0,BC10*vlookup(BB10,Ores[],7,FALSE))+if(isblank(BD10),0,BE10*vlookup(BD10,Ores[],7,FALSE))+if(isblank(BF10),0,BG10*vlookup(BF10,Ores[],7,FALSE)))/BH10)</f>
        <v>0</v>
      </c>
      <c r="BT10" s="21">
        <f>ifs(isblank(AX10),0,BH10="NR","NR",BH10="?","?",1,(AY10*vlookup(AX10,Ores[],3,FALSE)+if(isblank(AZ10),0,BA10*vlookup(AZ10,Ores[],3,FALSE))+if(isblank(BB10),0,BC10*vlookup(BB10,Ores[],3,FALSE))+if(isblank(BD10),0,BE10*vlookup(BD10,Ores[],3,FALSE))+if(isblank(BF10),0,BG10*vlookup(BF10,Ores[],3,FALSE)))/BH10)</f>
        <v>0.36</v>
      </c>
      <c r="BU10" s="21">
        <f>ifs(isblank(AX10),0,BH10="NR","NR",BH10="?","?",1,(AY10*vlookup(AX10,Ores[],5,FALSE)+if(isblank(AZ10),0,BA10*vlookup(AZ10,Ores[],5,FALSE))+if(isblank(BB10),0,BC10*vlookup(BB10,Ores[],5,FALSE))+if(isblank(BD10),0,BE10*vlookup(BD10,Ores[],5,FALSE))+if(isblank(BF10),0,BG10*vlookup(BF10,Ores[],5,FALSE)))/BH10)</f>
        <v>0.19</v>
      </c>
      <c r="BV10" s="22">
        <f t="shared" si="7"/>
        <v>6.62972973</v>
      </c>
      <c r="BW10" s="40">
        <v>45.0</v>
      </c>
      <c r="BX10" s="53">
        <f>148/2.2</f>
        <v>67.27272727</v>
      </c>
      <c r="BY10" s="49"/>
      <c r="BZ10" s="56">
        <f t="shared" si="8"/>
        <v>11.31034483</v>
      </c>
      <c r="CA10" s="53">
        <f t="shared" si="9"/>
        <v>6.220689655</v>
      </c>
      <c r="CB10" s="43" t="s">
        <v>127</v>
      </c>
      <c r="CC10" s="41" t="s">
        <v>128</v>
      </c>
      <c r="CD10" s="28">
        <f t="shared" si="10"/>
        <v>6.220689655</v>
      </c>
      <c r="CE10" s="59">
        <f t="shared" si="11"/>
        <v>328</v>
      </c>
      <c r="CF10" s="41"/>
      <c r="CG10" s="43"/>
      <c r="CH10" s="43">
        <v>40.0</v>
      </c>
      <c r="CI10" s="43">
        <v>368.0</v>
      </c>
      <c r="CJ10" s="43">
        <v>446.0</v>
      </c>
      <c r="CK10" s="43">
        <v>29.0</v>
      </c>
      <c r="CL10" s="53">
        <f t="shared" ref="CL10:CL11" si="14">12/2.2</f>
        <v>5.454545455</v>
      </c>
      <c r="CM10" s="43">
        <v>3.0</v>
      </c>
      <c r="CN10" s="53">
        <f>(128-12)/2.2</f>
        <v>52.72727273</v>
      </c>
      <c r="CO10" s="43">
        <v>29.0</v>
      </c>
      <c r="CP10" s="53">
        <f>(148-128)/2.2</f>
        <v>9.090909091</v>
      </c>
      <c r="CQ10" s="43">
        <v>5.0</v>
      </c>
      <c r="CR10" s="41" t="s">
        <v>157</v>
      </c>
      <c r="CS10" s="53">
        <v>9.5</v>
      </c>
      <c r="CT10" s="43" t="s">
        <v>226</v>
      </c>
      <c r="CU10" s="27" t="s">
        <v>212</v>
      </c>
      <c r="CV10" s="58">
        <v>5.31</v>
      </c>
      <c r="CW10" s="30">
        <f t="shared" si="12"/>
        <v>0.4460093897</v>
      </c>
      <c r="CX10" s="31">
        <f t="shared" si="13"/>
        <v>0.6820051624</v>
      </c>
      <c r="CY10" s="41" t="s">
        <v>227</v>
      </c>
      <c r="CZ10" s="41"/>
      <c r="DA10" s="41" t="s">
        <v>228</v>
      </c>
      <c r="DB10" s="41" t="s">
        <v>229</v>
      </c>
      <c r="DC10" s="41" t="s">
        <v>230</v>
      </c>
      <c r="DD10" s="41"/>
      <c r="DE10" s="41"/>
      <c r="DF10" s="41"/>
      <c r="DG10" s="41"/>
      <c r="DH10" s="41"/>
      <c r="DI10" s="41"/>
      <c r="DJ10" s="41"/>
      <c r="DK10" s="41"/>
      <c r="DL10" s="41"/>
      <c r="DM10" s="45"/>
    </row>
    <row r="11" ht="21.75" customHeight="1">
      <c r="A11" s="33" t="s">
        <v>231</v>
      </c>
      <c r="B11" s="34" t="s">
        <v>232</v>
      </c>
      <c r="C11" s="34" t="s">
        <v>137</v>
      </c>
      <c r="D11" s="34" t="s">
        <v>138</v>
      </c>
      <c r="E11" s="35">
        <v>38514.0</v>
      </c>
      <c r="F11" s="34" t="s">
        <v>109</v>
      </c>
      <c r="G11" s="36" t="s">
        <v>110</v>
      </c>
      <c r="H11" s="34"/>
      <c r="I11" s="34" t="s">
        <v>166</v>
      </c>
      <c r="J11" s="36" t="s">
        <v>167</v>
      </c>
      <c r="K11" s="34"/>
      <c r="L11" s="34"/>
      <c r="M11" s="36" t="s">
        <v>150</v>
      </c>
      <c r="N11" s="36" t="s">
        <v>168</v>
      </c>
      <c r="O11" s="34">
        <f t="shared" si="1"/>
        <v>60</v>
      </c>
      <c r="P11" s="34">
        <f t="shared" si="2"/>
        <v>60</v>
      </c>
      <c r="Q11" s="36">
        <v>60.0</v>
      </c>
      <c r="R11" s="34"/>
      <c r="S11" s="34">
        <v>46.0</v>
      </c>
      <c r="T11" s="34">
        <v>40.0</v>
      </c>
      <c r="U11" s="34">
        <v>25.0</v>
      </c>
      <c r="V11" s="34"/>
      <c r="W11" s="34"/>
      <c r="X11" s="34"/>
      <c r="Y11" s="34"/>
      <c r="Z11" s="34"/>
      <c r="AA11" s="37">
        <f>Calcs!O11</f>
        <v>490.9</v>
      </c>
      <c r="AB11" s="34">
        <v>7.5</v>
      </c>
      <c r="AC11" s="34" t="s">
        <v>208</v>
      </c>
      <c r="AD11" s="34" t="s">
        <v>119</v>
      </c>
      <c r="AE11" s="34">
        <v>2.5</v>
      </c>
      <c r="AF11" s="36"/>
      <c r="AG11" s="36">
        <v>20.0</v>
      </c>
      <c r="AH11" s="36" t="s">
        <v>170</v>
      </c>
      <c r="AI11" s="34"/>
      <c r="AJ11" s="34">
        <v>5.0</v>
      </c>
      <c r="AK11" s="34"/>
      <c r="AL11" s="34" t="s">
        <v>184</v>
      </c>
      <c r="AM11" s="34"/>
      <c r="AN11" s="34">
        <f>9*2.5</f>
        <v>22.5</v>
      </c>
      <c r="AO11" s="34">
        <v>16.0</v>
      </c>
      <c r="AP11" s="34"/>
      <c r="AQ11" s="34" t="s">
        <v>233</v>
      </c>
      <c r="AR11" s="36"/>
      <c r="AS11" s="36">
        <v>600.0</v>
      </c>
      <c r="AT11" s="14" t="str">
        <f t="shared" si="3"/>
        <v/>
      </c>
      <c r="AU11" s="16" t="s">
        <v>123</v>
      </c>
      <c r="AV11" s="38"/>
      <c r="AW11" s="17">
        <f t="shared" si="4"/>
        <v>589.08</v>
      </c>
      <c r="AX11" s="36" t="s">
        <v>225</v>
      </c>
      <c r="AY11" s="36">
        <v>10.9</v>
      </c>
      <c r="AZ11" s="34"/>
      <c r="BA11" s="34"/>
      <c r="BB11" s="34"/>
      <c r="BC11" s="34"/>
      <c r="BD11" s="34"/>
      <c r="BE11" s="34"/>
      <c r="BF11" s="34"/>
      <c r="BG11" s="34"/>
      <c r="BH11" s="18">
        <f t="shared" si="5"/>
        <v>10.9</v>
      </c>
      <c r="BI11" s="19">
        <f>ifs(BH11=0,"na",BH11="NR","NR",BH11="?","?",BK11&gt;0,"?",iserror(Calcs!AB11),"?",1,Calcs!AB11)</f>
        <v>0.6539677619</v>
      </c>
      <c r="BJ11" s="34" t="s">
        <v>125</v>
      </c>
      <c r="BK11" s="34"/>
      <c r="BL11" s="18">
        <f t="shared" si="6"/>
        <v>10.9</v>
      </c>
      <c r="BM11" s="34"/>
      <c r="BN11" s="34"/>
      <c r="BO11" s="34" t="s">
        <v>173</v>
      </c>
      <c r="BP11" s="20">
        <f>ifs(isblank(AX11),0,BH11="NR","NR",BH11="?","?",1,(AY11*vlookup(AX11,Ores[],2,FALSE)+if(isblank(AZ11),0,BA11*vlookup(AZ11,Ores[],2,FALSE))+if(isblank(BB11),0,BC11*vlookup(BB11,Ores[],2,FALSE))+if(isblank(BD11),0,BE11*vlookup(BD11,Ores[],2,FALSE))+if(isblank(BF11),0,BG11*vlookup(BF11,Ores[],2,FALSE)))/BH11)</f>
        <v>4.87</v>
      </c>
      <c r="BQ11" s="20">
        <f>ifs(isblank(AX11),0,BH11="NR","NR",BH11="?","?",1,(AY11*vlookup(AX11,Ores[],4,FALSE)+if(isblank(AZ11),0,BA11*vlookup(AZ11,Ores[],4,FALSE))+if(isblank(BB11),0,BC11*vlookup(BB11,Ores[],4,FALSE))+if(isblank(BD11),0,BE11*vlookup(BD11,Ores[],4,FALSE))+if(isblank(BF11),0,BG11*vlookup(BF11,Ores[],4,FALSE)))/BH11)</f>
        <v>0.22</v>
      </c>
      <c r="BR11" s="21">
        <f>ifs(isblank(AX11),0,BH11="NR","NR",BH11="?","?",1,(AY11*vlookup(AX11,Ores[],8,FALSE)+if(isblank(AZ11),0,BA11*vlookup(AZ11,Ores[],8,FALSE))+if(isblank(BB11),0,BC11*vlookup(BB11,Ores[],8,FALSE))+if(isblank(BD11),0,BE11*vlookup(BD11,Ores[],8,FALSE))+if(isblank(BF11),0,BG11*vlookup(BF11,Ores[],8,FALSE)))/BH11)</f>
        <v>0</v>
      </c>
      <c r="BS11" s="21">
        <f>ifs(isblank(AX11),0,BH11="NR","NR",BH11="?","?",1,(AY11*vlookup(AX11,Ores[],7,FALSE)+if(isblank(AZ11),0,BA11*vlookup(AZ11,Ores[],7,FALSE))+if(isblank(BB11),0,BC11*vlookup(BB11,Ores[],7,FALSE))+if(isblank(BD11),0,BE11*vlookup(BD11,Ores[],7,FALSE))+if(isblank(BF11),0,BG11*vlookup(BF11,Ores[],7,FALSE)))/BH11)</f>
        <v>0</v>
      </c>
      <c r="BT11" s="21">
        <f>ifs(isblank(AX11),0,BH11="NR","NR",BH11="?","?",1,(AY11*vlookup(AX11,Ores[],3,FALSE)+if(isblank(AZ11),0,BA11*vlookup(AZ11,Ores[],3,FALSE))+if(isblank(BB11),0,BC11*vlookup(BB11,Ores[],3,FALSE))+if(isblank(BD11),0,BE11*vlookup(BD11,Ores[],3,FALSE))+if(isblank(BF11),0,BG11*vlookup(BF11,Ores[],3,FALSE)))/BH11)</f>
        <v>0.36</v>
      </c>
      <c r="BU11" s="21">
        <f>ifs(isblank(AX11),0,BH11="NR","NR",BH11="?","?",1,(AY11*vlookup(AX11,Ores[],5,FALSE)+if(isblank(AZ11),0,BA11*vlookup(AZ11,Ores[],5,FALSE))+if(isblank(BB11),0,BC11*vlookup(BB11,Ores[],5,FALSE))+if(isblank(BD11),0,BE11*vlookup(BD11,Ores[],5,FALSE))+if(isblank(BF11),0,BG11*vlookup(BF11,Ores[],5,FALSE)))/BH11)</f>
        <v>0.19</v>
      </c>
      <c r="BV11" s="22">
        <f t="shared" si="7"/>
        <v>8.59047619</v>
      </c>
      <c r="BW11" s="40">
        <v>60.0</v>
      </c>
      <c r="BX11" s="53">
        <f>84/2.2</f>
        <v>38.18181818</v>
      </c>
      <c r="BY11" s="49"/>
      <c r="BZ11" s="56">
        <f t="shared" si="8"/>
        <v>12.05555556</v>
      </c>
      <c r="CA11" s="53">
        <f t="shared" si="9"/>
        <v>7.020588235</v>
      </c>
      <c r="CB11" s="43" t="s">
        <v>127</v>
      </c>
      <c r="CC11" s="41" t="s">
        <v>128</v>
      </c>
      <c r="CD11" s="28">
        <f t="shared" si="10"/>
        <v>7.020588235</v>
      </c>
      <c r="CE11" s="59">
        <f t="shared" si="11"/>
        <v>217</v>
      </c>
      <c r="CF11" s="41"/>
      <c r="CG11" s="43"/>
      <c r="CH11" s="43">
        <v>69.0</v>
      </c>
      <c r="CI11" s="43">
        <v>286.0</v>
      </c>
      <c r="CJ11" s="43">
        <v>328.0</v>
      </c>
      <c r="CK11" s="43">
        <v>16.0</v>
      </c>
      <c r="CL11" s="53">
        <f t="shared" si="14"/>
        <v>5.454545455</v>
      </c>
      <c r="CM11" s="43">
        <v>3.0</v>
      </c>
      <c r="CN11" s="53">
        <f>(80-12)/2.2</f>
        <v>30.90909091</v>
      </c>
      <c r="CO11" s="43">
        <v>18.0</v>
      </c>
      <c r="CP11" s="43">
        <v>4.0</v>
      </c>
      <c r="CQ11" s="43">
        <v>1.0</v>
      </c>
      <c r="CR11" s="41" t="s">
        <v>129</v>
      </c>
      <c r="CS11" s="60">
        <v>3.2</v>
      </c>
      <c r="CT11" s="43" t="s">
        <v>234</v>
      </c>
      <c r="CU11" s="30"/>
      <c r="CV11" s="58">
        <v>5.25</v>
      </c>
      <c r="CW11" s="30">
        <f t="shared" si="12"/>
        <v>0.2935779817</v>
      </c>
      <c r="CX11" s="31">
        <f t="shared" si="13"/>
        <v>0.4489181252</v>
      </c>
      <c r="CY11" s="41" t="s">
        <v>159</v>
      </c>
      <c r="CZ11" s="41"/>
      <c r="DA11" s="41" t="s">
        <v>235</v>
      </c>
      <c r="DB11" s="41" t="s">
        <v>236</v>
      </c>
      <c r="DC11" s="41" t="s">
        <v>237</v>
      </c>
      <c r="DD11" s="41"/>
      <c r="DE11" s="41"/>
      <c r="DF11" s="41"/>
      <c r="DG11" s="41"/>
      <c r="DH11" s="41"/>
      <c r="DI11" s="41"/>
      <c r="DJ11" s="41"/>
      <c r="DK11" s="41"/>
      <c r="DL11" s="41"/>
      <c r="DM11" s="45"/>
    </row>
    <row r="12" ht="21.75" customHeight="1">
      <c r="A12" s="33" t="s">
        <v>238</v>
      </c>
      <c r="B12" s="34" t="s">
        <v>239</v>
      </c>
      <c r="C12" s="34" t="s">
        <v>137</v>
      </c>
      <c r="D12" s="34" t="s">
        <v>240</v>
      </c>
      <c r="E12" s="35">
        <v>38596.0</v>
      </c>
      <c r="F12" s="34" t="s">
        <v>109</v>
      </c>
      <c r="G12" s="36" t="s">
        <v>123</v>
      </c>
      <c r="H12" s="34"/>
      <c r="I12" s="34" t="s">
        <v>166</v>
      </c>
      <c r="J12" s="36" t="s">
        <v>167</v>
      </c>
      <c r="K12" s="34"/>
      <c r="L12" s="34"/>
      <c r="M12" s="36" t="s">
        <v>150</v>
      </c>
      <c r="N12" s="36" t="s">
        <v>168</v>
      </c>
      <c r="O12" s="34">
        <f t="shared" si="1"/>
        <v>60</v>
      </c>
      <c r="P12" s="34">
        <f t="shared" si="2"/>
        <v>60</v>
      </c>
      <c r="Q12" s="36">
        <v>60.0</v>
      </c>
      <c r="R12" s="34"/>
      <c r="S12" s="34">
        <v>46.0</v>
      </c>
      <c r="T12" s="34">
        <v>40.0</v>
      </c>
      <c r="U12" s="34">
        <v>25.0</v>
      </c>
      <c r="V12" s="34"/>
      <c r="W12" s="34"/>
      <c r="X12" s="34"/>
      <c r="Y12" s="34"/>
      <c r="Z12" s="34"/>
      <c r="AA12" s="37">
        <f>Calcs!O12</f>
        <v>490.9</v>
      </c>
      <c r="AB12" s="34">
        <v>7.5</v>
      </c>
      <c r="AC12" s="34" t="s">
        <v>222</v>
      </c>
      <c r="AD12" s="34" t="s">
        <v>119</v>
      </c>
      <c r="AE12" s="34">
        <v>2.5</v>
      </c>
      <c r="AF12" s="36"/>
      <c r="AG12" s="36">
        <v>20.0</v>
      </c>
      <c r="AH12" s="36" t="s">
        <v>170</v>
      </c>
      <c r="AI12" s="34"/>
      <c r="AJ12" s="34">
        <v>5.0</v>
      </c>
      <c r="AK12" s="34"/>
      <c r="AL12" s="34" t="s">
        <v>184</v>
      </c>
      <c r="AM12" s="34"/>
      <c r="AN12" s="36">
        <v>16.0</v>
      </c>
      <c r="AO12" s="34">
        <v>15.0</v>
      </c>
      <c r="AP12" s="34"/>
      <c r="AQ12" s="34" t="s">
        <v>233</v>
      </c>
      <c r="AR12" s="36"/>
      <c r="AS12" s="36">
        <v>600.0</v>
      </c>
      <c r="AT12" s="14" t="str">
        <f t="shared" si="3"/>
        <v/>
      </c>
      <c r="AU12" s="16" t="s">
        <v>123</v>
      </c>
      <c r="AV12" s="38"/>
      <c r="AW12" s="17">
        <f t="shared" si="4"/>
        <v>589.08</v>
      </c>
      <c r="AX12" s="36" t="s">
        <v>241</v>
      </c>
      <c r="AY12" s="36">
        <f>10.9+2.4</f>
        <v>13.3</v>
      </c>
      <c r="AZ12" s="36"/>
      <c r="BA12" s="34"/>
      <c r="BB12" s="34"/>
      <c r="BC12" s="34"/>
      <c r="BD12" s="34"/>
      <c r="BE12" s="34"/>
      <c r="BF12" s="34"/>
      <c r="BG12" s="34"/>
      <c r="BH12" s="18">
        <f t="shared" si="5"/>
        <v>13.3</v>
      </c>
      <c r="BI12" s="19">
        <f>ifs(BH12=0,"na",BH12="NR","NR",BH12="?","?",BK12&gt;0,"?",iserror(Calcs!AB12),"?",1,Calcs!AB12)</f>
        <v>0.5359585417</v>
      </c>
      <c r="BJ12" s="34" t="s">
        <v>125</v>
      </c>
      <c r="BK12" s="34"/>
      <c r="BL12" s="18">
        <f t="shared" si="6"/>
        <v>13.3</v>
      </c>
      <c r="BM12" s="34"/>
      <c r="BN12" s="34"/>
      <c r="BO12" s="34" t="s">
        <v>173</v>
      </c>
      <c r="BP12" s="20">
        <f>ifs(isblank(AX12),0,BH12="NR","NR",BH12="?","?",1,(AY12*vlookup(AX12,Ores[],2,FALSE)+if(isblank(AZ12),0,BA12*vlookup(AZ12,Ores[],2,FALSE))+if(isblank(BB12),0,BC12*vlookup(BB12,Ores[],2,FALSE))+if(isblank(BD12),0,BE12*vlookup(BD12,Ores[],2,FALSE))+if(isblank(BF12),0,BG12*vlookup(BF12,Ores[],2,FALSE)))/BH12)</f>
        <v>22.03631579</v>
      </c>
      <c r="BQ12" s="20">
        <f>ifs(isblank(AX12),0,BH12="NR","NR",BH12="?","?",1,(AY12*vlookup(AX12,Ores[],4,FALSE)+if(isblank(AZ12),0,BA12*vlookup(AZ12,Ores[],4,FALSE))+if(isblank(BB12),0,BC12*vlookup(BB12,Ores[],4,FALSE))+if(isblank(BD12),0,BE12*vlookup(BD12,Ores[],4,FALSE))+if(isblank(BF12),0,BG12*vlookup(BF12,Ores[],4,FALSE)))/BH12)</f>
        <v>0.1803007519</v>
      </c>
      <c r="BR12" s="21">
        <f>ifs(isblank(AX12),0,BH12="NR","NR",BH12="?","?",1,(AY12*vlookup(AX12,Ores[],8,FALSE)+if(isblank(AZ12),0,BA12*vlookup(AZ12,Ores[],8,FALSE))+if(isblank(BB12),0,BC12*vlookup(BB12,Ores[],8,FALSE))+if(isblank(BD12),0,BE12*vlookup(BD12,Ores[],8,FALSE))+if(isblank(BF12),0,BG12*vlookup(BF12,Ores[],8,FALSE)))/BH12)</f>
        <v>0</v>
      </c>
      <c r="BS12" s="21">
        <f>ifs(isblank(AX12),0,BH12="NR","NR",BH12="?","?",1,(AY12*vlookup(AX12,Ores[],7,FALSE)+if(isblank(AZ12),0,BA12*vlookup(AZ12,Ores[],7,FALSE))+if(isblank(BB12),0,BC12*vlookup(BB12,Ores[],7,FALSE))+if(isblank(BD12),0,BE12*vlookup(BD12,Ores[],7,FALSE))+if(isblank(BF12),0,BG12*vlookup(BF12,Ores[],7,FALSE)))/BH12)</f>
        <v>0</v>
      </c>
      <c r="BT12" s="21">
        <f>ifs(isblank(AX12),0,BH12="NR","NR",BH12="?","?",1,(AY12*vlookup(AX12,Ores[],3,FALSE)+if(isblank(AZ12),0,BA12*vlookup(AZ12,Ores[],3,FALSE))+if(isblank(BB12),0,BC12*vlookup(BB12,Ores[],3,FALSE))+if(isblank(BD12),0,BE12*vlookup(BD12,Ores[],3,FALSE))+if(isblank(BF12),0,BG12*vlookup(BF12,Ores[],3,FALSE)))/BH12)</f>
        <v>0.295037594</v>
      </c>
      <c r="BU12" s="21">
        <f>ifs(isblank(AX12),0,BH12="NR","NR",BH12="?","?",1,(AY12*vlookup(AX12,Ores[],5,FALSE)+if(isblank(AZ12),0,BA12*vlookup(AZ12,Ores[],5,FALSE))+if(isblank(BB12),0,BC12*vlookup(BB12,Ores[],5,FALSE))+if(isblank(BD12),0,BE12*vlookup(BD12,Ores[],5,FALSE))+if(isblank(BF12),0,BG12*vlookup(BF12,Ores[],5,FALSE)))/BH12)</f>
        <v>0.1557142857</v>
      </c>
      <c r="BV12" s="22">
        <f t="shared" si="7"/>
        <v>11.25384615</v>
      </c>
      <c r="BW12" s="40">
        <v>80.0</v>
      </c>
      <c r="BX12" s="53">
        <f>104/2.2</f>
        <v>47.27272727</v>
      </c>
      <c r="BY12" s="49"/>
      <c r="BZ12" s="56">
        <f t="shared" si="8"/>
        <v>19.14285714</v>
      </c>
      <c r="CA12" s="53">
        <f t="shared" si="9"/>
        <v>10.52857143</v>
      </c>
      <c r="CB12" s="43" t="s">
        <v>127</v>
      </c>
      <c r="CC12" s="41" t="s">
        <v>128</v>
      </c>
      <c r="CD12" s="28">
        <f t="shared" si="10"/>
        <v>10.52857143</v>
      </c>
      <c r="CE12" s="41">
        <f t="shared" si="11"/>
        <v>402</v>
      </c>
      <c r="CF12" s="41"/>
      <c r="CG12" s="43"/>
      <c r="CH12" s="43">
        <v>100.0</v>
      </c>
      <c r="CI12" s="43">
        <v>502.0</v>
      </c>
      <c r="CJ12" s="43">
        <v>532.0</v>
      </c>
      <c r="CK12" s="43">
        <v>20.0</v>
      </c>
      <c r="CL12" s="53">
        <f>16/2.2</f>
        <v>7.272727273</v>
      </c>
      <c r="CM12" s="43">
        <v>4.0</v>
      </c>
      <c r="CN12" s="53">
        <f>84/2.2</f>
        <v>38.18181818</v>
      </c>
      <c r="CO12" s="43">
        <v>21.0</v>
      </c>
      <c r="CP12" s="53">
        <f>4/2.2</f>
        <v>1.818181818</v>
      </c>
      <c r="CQ12" s="43">
        <v>1.0</v>
      </c>
      <c r="CR12" s="41" t="s">
        <v>129</v>
      </c>
      <c r="CS12" s="60">
        <v>2.3</v>
      </c>
      <c r="CT12" s="43" t="s">
        <v>242</v>
      </c>
      <c r="CU12" s="27" t="s">
        <v>243</v>
      </c>
      <c r="CV12" s="29"/>
      <c r="CW12" s="30">
        <f t="shared" si="12"/>
        <v>0.1729323308</v>
      </c>
      <c r="CX12" s="31">
        <f t="shared" si="13"/>
        <v>0.3226599025</v>
      </c>
      <c r="CY12" s="41" t="s">
        <v>244</v>
      </c>
      <c r="CZ12" s="41"/>
      <c r="DA12" s="41" t="s">
        <v>235</v>
      </c>
      <c r="DB12" s="41" t="s">
        <v>245</v>
      </c>
      <c r="DC12" s="41" t="s">
        <v>246</v>
      </c>
      <c r="DD12" s="41"/>
      <c r="DE12" s="41"/>
      <c r="DF12" s="41"/>
      <c r="DG12" s="41"/>
      <c r="DH12" s="41"/>
      <c r="DI12" s="41"/>
      <c r="DJ12" s="41"/>
      <c r="DK12" s="41"/>
      <c r="DL12" s="41"/>
      <c r="DM12" s="45"/>
    </row>
    <row r="13" ht="21.75" customHeight="1">
      <c r="A13" s="33">
        <v>12.0</v>
      </c>
      <c r="B13" s="34" t="s">
        <v>247</v>
      </c>
      <c r="C13" s="34" t="s">
        <v>248</v>
      </c>
      <c r="D13" s="34" t="s">
        <v>180</v>
      </c>
      <c r="E13" s="35">
        <v>38626.0</v>
      </c>
      <c r="F13" s="34" t="s">
        <v>194</v>
      </c>
      <c r="G13" s="36" t="s">
        <v>110</v>
      </c>
      <c r="H13" s="36" t="s">
        <v>249</v>
      </c>
      <c r="I13" s="34" t="s">
        <v>250</v>
      </c>
      <c r="J13" s="34" t="s">
        <v>251</v>
      </c>
      <c r="K13" s="34"/>
      <c r="L13" s="34"/>
      <c r="M13" s="36" t="s">
        <v>114</v>
      </c>
      <c r="N13" s="36" t="s">
        <v>115</v>
      </c>
      <c r="O13" s="34">
        <f t="shared" si="1"/>
        <v>60</v>
      </c>
      <c r="P13" s="34">
        <f t="shared" si="2"/>
        <v>60</v>
      </c>
      <c r="Q13" s="36">
        <v>60.0</v>
      </c>
      <c r="R13" s="34"/>
      <c r="S13" s="34">
        <v>40.0</v>
      </c>
      <c r="T13" s="34" t="s">
        <v>252</v>
      </c>
      <c r="U13" s="36">
        <v>25.0</v>
      </c>
      <c r="V13" s="36">
        <v>25.0</v>
      </c>
      <c r="W13" s="34"/>
      <c r="X13" s="34"/>
      <c r="Y13" s="34"/>
      <c r="Z13" s="34"/>
      <c r="AA13" s="37">
        <f>Calcs!O13</f>
        <v>625</v>
      </c>
      <c r="AB13" s="34">
        <v>2.5</v>
      </c>
      <c r="AC13" s="34" t="s">
        <v>222</v>
      </c>
      <c r="AD13" s="34" t="s">
        <v>253</v>
      </c>
      <c r="AE13" s="34">
        <v>2.5</v>
      </c>
      <c r="AF13" s="36" t="s">
        <v>123</v>
      </c>
      <c r="AG13" s="36">
        <v>20.0</v>
      </c>
      <c r="AH13" s="36" t="s">
        <v>170</v>
      </c>
      <c r="AI13" s="34"/>
      <c r="AJ13" s="34">
        <v>5.0</v>
      </c>
      <c r="AK13" s="34"/>
      <c r="AL13" s="34" t="s">
        <v>184</v>
      </c>
      <c r="AM13" s="34"/>
      <c r="AN13" s="36" t="s">
        <v>116</v>
      </c>
      <c r="AO13" s="34" t="s">
        <v>116</v>
      </c>
      <c r="AP13" s="34"/>
      <c r="AQ13" s="34" t="s">
        <v>254</v>
      </c>
      <c r="AR13" s="36"/>
      <c r="AS13" s="36">
        <v>1000.0</v>
      </c>
      <c r="AT13" s="14" t="str">
        <f t="shared" si="3"/>
        <v/>
      </c>
      <c r="AU13" s="16" t="s">
        <v>123</v>
      </c>
      <c r="AV13" s="38"/>
      <c r="AW13" s="17">
        <f t="shared" si="4"/>
        <v>750</v>
      </c>
      <c r="AX13" s="36" t="s">
        <v>155</v>
      </c>
      <c r="AY13" s="36">
        <v>15.9</v>
      </c>
      <c r="AZ13" s="36"/>
      <c r="BA13" s="36"/>
      <c r="BB13" s="36"/>
      <c r="BC13" s="36"/>
      <c r="BD13" s="34"/>
      <c r="BE13" s="34"/>
      <c r="BF13" s="34"/>
      <c r="BG13" s="34"/>
      <c r="BH13" s="18">
        <f t="shared" si="5"/>
        <v>15.9</v>
      </c>
      <c r="BI13" s="19">
        <f>ifs(BH13=0,"na",BH13="NR","NR",BH13="?","?",BK13&gt;0,"?",iserror(Calcs!AB13),"?",1,Calcs!AB13)</f>
        <v>0.58</v>
      </c>
      <c r="BJ13" s="34" t="s">
        <v>125</v>
      </c>
      <c r="BK13" s="34"/>
      <c r="BL13" s="18">
        <f t="shared" si="6"/>
        <v>15.9</v>
      </c>
      <c r="BM13" s="34"/>
      <c r="BN13" s="34"/>
      <c r="BO13" s="34" t="s">
        <v>173</v>
      </c>
      <c r="BP13" s="20">
        <f>ifs(isblank(AX13),0,BH13="NR","NR",BH13="?","?",1,(AY13*vlookup(AX13,Ores[],2,FALSE)+if(isblank(AZ13),0,BA13*vlookup(AZ13,Ores[],2,FALSE))+if(isblank(BB13),0,BC13*vlookup(BB13,Ores[],2,FALSE))+if(isblank(BD13),0,BE13*vlookup(BD13,Ores[],2,FALSE))+if(isblank(BF13),0,BG13*vlookup(BF13,Ores[],2,FALSE)))/BH13)</f>
        <v>8.73</v>
      </c>
      <c r="BQ13" s="20">
        <f>ifs(isblank(AX13),0,BH13="NR","NR",BH13="?","?",1,(AY13*vlookup(AX13,Ores[],4,FALSE)+if(isblank(AZ13),0,BA13*vlookup(AZ13,Ores[],4,FALSE))+if(isblank(BB13),0,BC13*vlookup(BB13,Ores[],4,FALSE))+if(isblank(BD13),0,BE13*vlookup(BD13,Ores[],4,FALSE))+if(isblank(BF13),0,BG13*vlookup(BF13,Ores[],4,FALSE)))/BH13)</f>
        <v>2.04</v>
      </c>
      <c r="BR13" s="21">
        <f>ifs(isblank(AX13),0,BH13="NR","NR",BH13="?","?",1,(AY13*vlookup(AX13,Ores[],8,FALSE)+if(isblank(AZ13),0,BA13*vlookup(AZ13,Ores[],8,FALSE))+if(isblank(BB13),0,BC13*vlookup(BB13,Ores[],8,FALSE))+if(isblank(BD13),0,BE13*vlookup(BD13,Ores[],8,FALSE))+if(isblank(BF13),0,BG13*vlookup(BF13,Ores[],8,FALSE)))/BH13)</f>
        <v>4.02</v>
      </c>
      <c r="BS13" s="21">
        <f>ifs(isblank(AX13),0,BH13="NR","NR",BH13="?","?",1,(AY13*vlookup(AX13,Ores[],7,FALSE)+if(isblank(AZ13),0,BA13*vlookup(AZ13,Ores[],7,FALSE))+if(isblank(BB13),0,BC13*vlookup(BB13,Ores[],7,FALSE))+if(isblank(BD13),0,BE13*vlookup(BD13,Ores[],7,FALSE))+if(isblank(BF13),0,BG13*vlookup(BF13,Ores[],7,FALSE)))/BH13)</f>
        <v>0</v>
      </c>
      <c r="BT13" s="21">
        <f>ifs(isblank(AX13),0,BH13="NR","NR",BH13="?","?",1,(AY13*vlookup(AX13,Ores[],3,FALSE)+if(isblank(AZ13),0,BA13*vlookup(AZ13,Ores[],3,FALSE))+if(isblank(BB13),0,BC13*vlookup(BB13,Ores[],3,FALSE))+if(isblank(BD13),0,BE13*vlookup(BD13,Ores[],3,FALSE))+if(isblank(BF13),0,BG13*vlookup(BF13,Ores[],3,FALSE)))/BH13)</f>
        <v>0</v>
      </c>
      <c r="BU13" s="21">
        <f>ifs(isblank(AX13),0,BH13="NR","NR",BH13="?","?",1,(AY13*vlookup(AX13,Ores[],5,FALSE)+if(isblank(AZ13),0,BA13*vlookup(AZ13,Ores[],5,FALSE))+if(isblank(BB13),0,BC13*vlookup(BB13,Ores[],5,FALSE))+if(isblank(BD13),0,BE13*vlookup(BD13,Ores[],5,FALSE))+if(isblank(BF13),0,BG13*vlookup(BF13,Ores[],5,FALSE)))/BH13)</f>
        <v>0.4</v>
      </c>
      <c r="BV13" s="22" t="str">
        <f t="shared" si="7"/>
        <v>NR</v>
      </c>
      <c r="BW13" s="61" t="s">
        <v>116</v>
      </c>
      <c r="BX13" s="53">
        <f>(111+18+20)/2.2</f>
        <v>67.72727273</v>
      </c>
      <c r="BY13" s="42" t="s">
        <v>123</v>
      </c>
      <c r="BZ13" s="56">
        <f t="shared" si="8"/>
        <v>13.21568627</v>
      </c>
      <c r="CA13" s="53">
        <f t="shared" si="9"/>
        <v>6.801834862</v>
      </c>
      <c r="CB13" s="41" t="s">
        <v>255</v>
      </c>
      <c r="CC13" s="41" t="s">
        <v>256</v>
      </c>
      <c r="CD13" s="28">
        <f t="shared" si="10"/>
        <v>6.801834862</v>
      </c>
      <c r="CE13" s="43">
        <f t="shared" si="11"/>
        <v>337</v>
      </c>
      <c r="CF13" s="43"/>
      <c r="CG13" s="43"/>
      <c r="CH13" s="43">
        <v>48.0</v>
      </c>
      <c r="CI13" s="41">
        <f>385</f>
        <v>385</v>
      </c>
      <c r="CJ13" s="43" t="s">
        <v>116</v>
      </c>
      <c r="CK13" s="43">
        <v>66.0</v>
      </c>
      <c r="CL13" s="53">
        <f>20/2.2</f>
        <v>9.090909091</v>
      </c>
      <c r="CM13" s="43">
        <v>4.0</v>
      </c>
      <c r="CN13" s="53">
        <f>(111+18-20)/2.2</f>
        <v>49.54545455</v>
      </c>
      <c r="CO13" s="43">
        <v>25.5</v>
      </c>
      <c r="CP13" s="53">
        <f>20/2.2</f>
        <v>9.090909091</v>
      </c>
      <c r="CQ13" s="43">
        <v>5.0</v>
      </c>
      <c r="CR13" s="41" t="s">
        <v>257</v>
      </c>
      <c r="CS13" s="53">
        <v>3.4</v>
      </c>
      <c r="CT13" s="43" t="s">
        <v>234</v>
      </c>
      <c r="CU13" s="30"/>
      <c r="CV13" s="58">
        <v>5.56</v>
      </c>
      <c r="CW13" s="30">
        <f t="shared" si="12"/>
        <v>0.213836478</v>
      </c>
      <c r="CX13" s="31">
        <f t="shared" si="13"/>
        <v>0.3686835827</v>
      </c>
      <c r="CY13" s="41" t="s">
        <v>159</v>
      </c>
      <c r="CZ13" s="41"/>
      <c r="DA13" s="41" t="s">
        <v>258</v>
      </c>
      <c r="DB13" s="41" t="s">
        <v>258</v>
      </c>
      <c r="DC13" s="41" t="s">
        <v>259</v>
      </c>
      <c r="DD13" s="41"/>
      <c r="DE13" s="41"/>
      <c r="DF13" s="41"/>
      <c r="DG13" s="41"/>
      <c r="DH13" s="41"/>
      <c r="DI13" s="41"/>
      <c r="DJ13" s="41"/>
      <c r="DK13" s="41"/>
      <c r="DL13" s="41"/>
      <c r="DM13" s="45"/>
    </row>
    <row r="14" ht="21.75" customHeight="1">
      <c r="A14" s="62" t="s">
        <v>260</v>
      </c>
      <c r="B14" s="34" t="s">
        <v>261</v>
      </c>
      <c r="C14" s="34" t="s">
        <v>137</v>
      </c>
      <c r="D14" s="34" t="s">
        <v>138</v>
      </c>
      <c r="E14" s="35">
        <v>38668.0</v>
      </c>
      <c r="F14" s="34" t="s">
        <v>109</v>
      </c>
      <c r="G14" s="36" t="s">
        <v>110</v>
      </c>
      <c r="H14" s="34"/>
      <c r="I14" s="34" t="s">
        <v>166</v>
      </c>
      <c r="J14" s="36" t="s">
        <v>167</v>
      </c>
      <c r="K14" s="34"/>
      <c r="L14" s="34"/>
      <c r="M14" s="36" t="s">
        <v>150</v>
      </c>
      <c r="N14" s="36" t="s">
        <v>168</v>
      </c>
      <c r="O14" s="34">
        <f t="shared" si="1"/>
        <v>60</v>
      </c>
      <c r="P14" s="34">
        <f t="shared" si="2"/>
        <v>60</v>
      </c>
      <c r="Q14" s="36">
        <v>60.0</v>
      </c>
      <c r="R14" s="34"/>
      <c r="S14" s="34">
        <v>42.0</v>
      </c>
      <c r="T14" s="34">
        <v>40.0</v>
      </c>
      <c r="U14" s="34">
        <v>25.0</v>
      </c>
      <c r="V14" s="34"/>
      <c r="W14" s="34"/>
      <c r="X14" s="34"/>
      <c r="Y14" s="34"/>
      <c r="Z14" s="34"/>
      <c r="AA14" s="37">
        <f>Calcs!O14</f>
        <v>490.9</v>
      </c>
      <c r="AB14" s="34">
        <v>7.5</v>
      </c>
      <c r="AC14" s="34" t="s">
        <v>208</v>
      </c>
      <c r="AD14" s="34" t="s">
        <v>262</v>
      </c>
      <c r="AE14" s="34">
        <v>2.5</v>
      </c>
      <c r="AF14" s="36"/>
      <c r="AG14" s="36">
        <v>20.0</v>
      </c>
      <c r="AH14" s="36" t="s">
        <v>170</v>
      </c>
      <c r="AI14" s="34"/>
      <c r="AJ14" s="34">
        <v>5.0</v>
      </c>
      <c r="AK14" s="34"/>
      <c r="AL14" s="34" t="s">
        <v>184</v>
      </c>
      <c r="AM14" s="34"/>
      <c r="AN14" s="36" t="s">
        <v>116</v>
      </c>
      <c r="AO14" s="34">
        <v>16.0</v>
      </c>
      <c r="AP14" s="34"/>
      <c r="AQ14" s="36" t="s">
        <v>154</v>
      </c>
      <c r="AR14" s="36"/>
      <c r="AS14" s="36">
        <v>600.0</v>
      </c>
      <c r="AT14" s="14" t="str">
        <f t="shared" si="3"/>
        <v/>
      </c>
      <c r="AU14" s="16" t="s">
        <v>123</v>
      </c>
      <c r="AV14" s="38"/>
      <c r="AW14" s="17">
        <f t="shared" si="4"/>
        <v>589.08</v>
      </c>
      <c r="AX14" s="36" t="s">
        <v>225</v>
      </c>
      <c r="AY14" s="36">
        <v>10.5</v>
      </c>
      <c r="AZ14" s="36" t="s">
        <v>155</v>
      </c>
      <c r="BA14" s="36">
        <v>9.3</v>
      </c>
      <c r="BB14" s="36"/>
      <c r="BC14" s="36"/>
      <c r="BD14" s="34"/>
      <c r="BE14" s="34"/>
      <c r="BF14" s="34"/>
      <c r="BG14" s="34"/>
      <c r="BH14" s="18">
        <f t="shared" si="5"/>
        <v>19.8</v>
      </c>
      <c r="BI14" s="19" t="str">
        <f>ifs(BH14=0,"na",BH14="NR","NR",BH14="?","?",BK14&gt;0,"?",iserror(Calcs!AB14),"?",1,Calcs!AB14)</f>
        <v>?</v>
      </c>
      <c r="BJ14" s="34" t="s">
        <v>125</v>
      </c>
      <c r="BK14" s="36">
        <v>1.1</v>
      </c>
      <c r="BL14" s="18">
        <f t="shared" si="6"/>
        <v>20.9</v>
      </c>
      <c r="BM14" s="34"/>
      <c r="BN14" s="34"/>
      <c r="BO14" s="34" t="s">
        <v>173</v>
      </c>
      <c r="BP14" s="20">
        <f>ifs(isblank(AX14),0,BH14="NR","NR",BH14="?","?",1,(AY14*vlookup(AX14,Ores[],2,FALSE)+if(isblank(AZ14),0,BA14*vlookup(AZ14,Ores[],2,FALSE))+if(isblank(BB14),0,BC14*vlookup(BB14,Ores[],2,FALSE))+if(isblank(BD14),0,BE14*vlookup(BD14,Ores[],2,FALSE))+if(isblank(BF14),0,BG14*vlookup(BF14,Ores[],2,FALSE)))/BH14)</f>
        <v>6.683030303</v>
      </c>
      <c r="BQ14" s="20">
        <f>ifs(isblank(AX14),0,BH14="NR","NR",BH14="?","?",1,(AY14*vlookup(AX14,Ores[],4,FALSE)+if(isblank(AZ14),0,BA14*vlookup(AZ14,Ores[],4,FALSE))+if(isblank(BB14),0,BC14*vlookup(BB14,Ores[],4,FALSE))+if(isblank(BD14),0,BE14*vlookup(BD14,Ores[],4,FALSE))+if(isblank(BF14),0,BG14*vlookup(BF14,Ores[],4,FALSE)))/BH14)</f>
        <v>1.074848485</v>
      </c>
      <c r="BR14" s="21">
        <f>ifs(isblank(AX14),0,BH14="NR","NR",BH14="?","?",1,(AY14*vlookup(AX14,Ores[],8,FALSE)+if(isblank(AZ14),0,BA14*vlookup(AZ14,Ores[],8,FALSE))+if(isblank(BB14),0,BC14*vlookup(BB14,Ores[],8,FALSE))+if(isblank(BD14),0,BE14*vlookup(BD14,Ores[],8,FALSE))+if(isblank(BF14),0,BG14*vlookup(BF14,Ores[],8,FALSE)))/BH14)</f>
        <v>1.888181818</v>
      </c>
      <c r="BS14" s="21">
        <f>ifs(isblank(AX14),0,BH14="NR","NR",BH14="?","?",1,(AY14*vlookup(AX14,Ores[],7,FALSE)+if(isblank(AZ14),0,BA14*vlookup(AZ14,Ores[],7,FALSE))+if(isblank(BB14),0,BC14*vlookup(BB14,Ores[],7,FALSE))+if(isblank(BD14),0,BE14*vlookup(BD14,Ores[],7,FALSE))+if(isblank(BF14),0,BG14*vlookup(BF14,Ores[],7,FALSE)))/BH14)</f>
        <v>0</v>
      </c>
      <c r="BT14" s="21">
        <f>ifs(isblank(AX14),0,BH14="NR","NR",BH14="?","?",1,(AY14*vlookup(AX14,Ores[],3,FALSE)+if(isblank(AZ14),0,BA14*vlookup(AZ14,Ores[],3,FALSE))+if(isblank(BB14),0,BC14*vlookup(BB14,Ores[],3,FALSE))+if(isblank(BD14),0,BE14*vlookup(BD14,Ores[],3,FALSE))+if(isblank(BF14),0,BG14*vlookup(BF14,Ores[],3,FALSE)))/BH14)</f>
        <v>0.1909090909</v>
      </c>
      <c r="BU14" s="21">
        <f>ifs(isblank(AX14),0,BH14="NR","NR",BH14="?","?",1,(AY14*vlookup(AX14,Ores[],5,FALSE)+if(isblank(AZ14),0,BA14*vlookup(AZ14,Ores[],5,FALSE))+if(isblank(BB14),0,BC14*vlookup(BB14,Ores[],5,FALSE))+if(isblank(BD14),0,BE14*vlookup(BD14,Ores[],5,FALSE))+if(isblank(BF14),0,BG14*vlookup(BF14,Ores[],5,FALSE)))/BH14)</f>
        <v>0.2886363636</v>
      </c>
      <c r="BV14" s="22">
        <f t="shared" si="7"/>
        <v>4.211428571</v>
      </c>
      <c r="BW14" s="61" t="s">
        <v>116</v>
      </c>
      <c r="BX14" s="44">
        <f>175/2.2</f>
        <v>79.54545455</v>
      </c>
      <c r="BY14" s="47"/>
      <c r="BZ14" s="56">
        <f t="shared" si="8"/>
        <v>7.689655172</v>
      </c>
      <c r="CA14" s="53">
        <f t="shared" si="9"/>
        <v>3.383448276</v>
      </c>
      <c r="CB14" s="43" t="s">
        <v>127</v>
      </c>
      <c r="CC14" s="41" t="s">
        <v>128</v>
      </c>
      <c r="CD14" s="28">
        <f t="shared" si="10"/>
        <v>3.383448276</v>
      </c>
      <c r="CE14" s="43">
        <f t="shared" si="11"/>
        <v>223</v>
      </c>
      <c r="CF14" s="41"/>
      <c r="CG14" s="43"/>
      <c r="CH14" s="43">
        <v>64.0</v>
      </c>
      <c r="CI14" s="43">
        <v>287.0</v>
      </c>
      <c r="CJ14" s="43">
        <v>335.0</v>
      </c>
      <c r="CK14" s="43">
        <v>28.0</v>
      </c>
      <c r="CL14" s="53">
        <f>10/2.2</f>
        <v>4.545454545</v>
      </c>
      <c r="CM14" s="43">
        <v>2.0</v>
      </c>
      <c r="CN14" s="53">
        <f>145/2.2</f>
        <v>65.90909091</v>
      </c>
      <c r="CO14" s="43">
        <v>29.0</v>
      </c>
      <c r="CP14" s="53">
        <f t="shared" ref="CP14:CP15" si="15">30/2.2</f>
        <v>13.63636364</v>
      </c>
      <c r="CQ14" s="43">
        <v>5.0</v>
      </c>
      <c r="CR14" s="41" t="s">
        <v>129</v>
      </c>
      <c r="CS14" s="53">
        <v>4.3</v>
      </c>
      <c r="CT14" s="43" t="s">
        <v>234</v>
      </c>
      <c r="CU14" s="30"/>
      <c r="CV14" s="29"/>
      <c r="CW14" s="30">
        <f t="shared" si="12"/>
        <v>0.2057416268</v>
      </c>
      <c r="CX14" s="31" t="str">
        <f t="shared" si="13"/>
        <v>?</v>
      </c>
      <c r="CY14" s="41" t="s">
        <v>263</v>
      </c>
      <c r="CZ14" s="41"/>
      <c r="DA14" s="41" t="s">
        <v>264</v>
      </c>
      <c r="DB14" s="41" t="s">
        <v>265</v>
      </c>
      <c r="DC14" s="41" t="s">
        <v>266</v>
      </c>
      <c r="DD14" s="41"/>
      <c r="DE14" s="41"/>
      <c r="DF14" s="41"/>
      <c r="DG14" s="41"/>
      <c r="DH14" s="41"/>
      <c r="DI14" s="41"/>
      <c r="DJ14" s="41"/>
      <c r="DK14" s="41"/>
      <c r="DL14" s="41"/>
      <c r="DM14" s="45"/>
    </row>
    <row r="15" ht="21.75" customHeight="1">
      <c r="A15" s="33">
        <v>14.0</v>
      </c>
      <c r="B15" s="34" t="s">
        <v>267</v>
      </c>
      <c r="C15" s="34" t="s">
        <v>268</v>
      </c>
      <c r="D15" s="34" t="s">
        <v>269</v>
      </c>
      <c r="E15" s="35">
        <v>38766.0</v>
      </c>
      <c r="F15" s="36" t="s">
        <v>194</v>
      </c>
      <c r="G15" s="36" t="s">
        <v>123</v>
      </c>
      <c r="H15" s="34"/>
      <c r="I15" s="34" t="s">
        <v>195</v>
      </c>
      <c r="J15" s="36" t="s">
        <v>206</v>
      </c>
      <c r="K15" s="34"/>
      <c r="L15" s="34"/>
      <c r="M15" s="36" t="s">
        <v>221</v>
      </c>
      <c r="N15" s="36" t="s">
        <v>168</v>
      </c>
      <c r="O15" s="34">
        <f t="shared" si="1"/>
        <v>60</v>
      </c>
      <c r="P15" s="34">
        <f t="shared" si="2"/>
        <v>60</v>
      </c>
      <c r="Q15" s="36">
        <v>60.0</v>
      </c>
      <c r="R15" s="34"/>
      <c r="S15" s="34">
        <v>40.0</v>
      </c>
      <c r="T15" s="34">
        <v>50.0</v>
      </c>
      <c r="U15" s="34">
        <v>25.0</v>
      </c>
      <c r="V15" s="34"/>
      <c r="W15" s="34"/>
      <c r="X15" s="34"/>
      <c r="Y15" s="34"/>
      <c r="Z15" s="34"/>
      <c r="AA15" s="37">
        <f>Calcs!O15</f>
        <v>517.8</v>
      </c>
      <c r="AB15" s="34" t="s">
        <v>198</v>
      </c>
      <c r="AC15" s="34" t="s">
        <v>270</v>
      </c>
      <c r="AD15" s="34" t="s">
        <v>262</v>
      </c>
      <c r="AE15" s="34">
        <v>2.5</v>
      </c>
      <c r="AF15" s="36"/>
      <c r="AG15" s="36">
        <v>20.0</v>
      </c>
      <c r="AH15" s="36" t="s">
        <v>170</v>
      </c>
      <c r="AI15" s="34"/>
      <c r="AJ15" s="34">
        <v>5.0</v>
      </c>
      <c r="AK15" s="34"/>
      <c r="AL15" s="34" t="s">
        <v>184</v>
      </c>
      <c r="AM15" s="34"/>
      <c r="AN15" s="36" t="s">
        <v>116</v>
      </c>
      <c r="AO15" s="34">
        <v>20.0</v>
      </c>
      <c r="AP15" s="34"/>
      <c r="AQ15" s="36" t="s">
        <v>154</v>
      </c>
      <c r="AR15" s="36"/>
      <c r="AS15" s="36">
        <v>800.0</v>
      </c>
      <c r="AT15" s="14" t="str">
        <f t="shared" si="3"/>
        <v/>
      </c>
      <c r="AU15" s="16" t="s">
        <v>123</v>
      </c>
      <c r="AV15" s="38"/>
      <c r="AW15" s="17">
        <f t="shared" si="4"/>
        <v>621.36</v>
      </c>
      <c r="AX15" s="39" t="s">
        <v>271</v>
      </c>
      <c r="AY15" s="36">
        <v>30.0</v>
      </c>
      <c r="AZ15" s="36"/>
      <c r="BA15" s="63"/>
      <c r="BB15" s="34"/>
      <c r="BC15" s="34"/>
      <c r="BD15" s="34"/>
      <c r="BE15" s="34"/>
      <c r="BF15" s="34"/>
      <c r="BG15" s="34"/>
      <c r="BH15" s="18">
        <f t="shared" si="5"/>
        <v>30</v>
      </c>
      <c r="BI15" s="64">
        <v>0.65</v>
      </c>
      <c r="BJ15" s="34" t="s">
        <v>125</v>
      </c>
      <c r="BK15" s="36">
        <v>1.4</v>
      </c>
      <c r="BL15" s="18">
        <f t="shared" si="6"/>
        <v>31.4</v>
      </c>
      <c r="BM15" s="34"/>
      <c r="BN15" s="34"/>
      <c r="BO15" s="34" t="s">
        <v>173</v>
      </c>
      <c r="BP15" s="20">
        <f>ifs(isblank(AX15),0,BH15="NR","NR",BH15="?","?",1,(AY15*vlookup(AX15,Ores[],2,FALSE)+if(isblank(AZ15),0,BA15*vlookup(AZ15,Ores[],2,FALSE))+if(isblank(BB15),0,BC15*vlookup(BB15,Ores[],2,FALSE))+if(isblank(BD15),0,BE15*vlookup(BD15,Ores[],2,FALSE))+if(isblank(BF15),0,BG15*vlookup(BF15,Ores[],2,FALSE)))/BH15)</f>
        <v>4.87</v>
      </c>
      <c r="BQ15" s="20">
        <f>ifs(isblank(AX15),0,BH15="NR","NR",BH15="?","?",1,(AY15*vlookup(AX15,Ores[],4,FALSE)+if(isblank(AZ15),0,BA15*vlookup(AZ15,Ores[],4,FALSE))+if(isblank(BB15),0,BC15*vlookup(BB15,Ores[],4,FALSE))+if(isblank(BD15),0,BE15*vlookup(BD15,Ores[],4,FALSE))+if(isblank(BF15),0,BG15*vlookup(BF15,Ores[],4,FALSE)))/BH15)</f>
        <v>0.22</v>
      </c>
      <c r="BR15" s="21">
        <f>ifs(isblank(AX15),0,BH15="NR","NR",BH15="?","?",1,(AY15*vlookup(AX15,Ores[],8,FALSE)+if(isblank(AZ15),0,BA15*vlookup(AZ15,Ores[],8,FALSE))+if(isblank(BB15),0,BC15*vlookup(BB15,Ores[],8,FALSE))+if(isblank(BD15),0,BE15*vlookup(BD15,Ores[],8,FALSE))+if(isblank(BF15),0,BG15*vlookup(BF15,Ores[],8,FALSE)))/BH15)</f>
        <v>0</v>
      </c>
      <c r="BS15" s="21">
        <f>ifs(isblank(AX15),0,BH15="NR","NR",BH15="?","?",1,(AY15*vlookup(AX15,Ores[],7,FALSE)+if(isblank(AZ15),0,BA15*vlookup(AZ15,Ores[],7,FALSE))+if(isblank(BB15),0,BC15*vlookup(BB15,Ores[],7,FALSE))+if(isblank(BD15),0,BE15*vlookup(BD15,Ores[],7,FALSE))+if(isblank(BF15),0,BG15*vlookup(BF15,Ores[],7,FALSE)))/BH15)</f>
        <v>0</v>
      </c>
      <c r="BT15" s="21">
        <f>ifs(isblank(AX15),0,BH15="NR","NR",BH15="?","?",1,(AY15*vlookup(AX15,Ores[],3,FALSE)+if(isblank(AZ15),0,BA15*vlookup(AZ15,Ores[],3,FALSE))+if(isblank(BB15),0,BC15*vlookup(BB15,Ores[],3,FALSE))+if(isblank(BD15),0,BE15*vlookup(BD15,Ores[],3,FALSE))+if(isblank(BF15),0,BG15*vlookup(BF15,Ores[],3,FALSE)))/BH15)</f>
        <v>0.36</v>
      </c>
      <c r="BU15" s="21">
        <f>ifs(isblank(AX15),0,BH15="NR","NR",BH15="?","?",1,(AY15*vlookup(AX15,Ores[],5,FALSE)+if(isblank(AZ15),0,BA15*vlookup(AZ15,Ores[],5,FALSE))+if(isblank(BB15),0,BC15*vlookup(BB15,Ores[],5,FALSE))+if(isblank(BD15),0,BE15*vlookup(BD15,Ores[],5,FALSE))+if(isblank(BF15),0,BG15*vlookup(BF15,Ores[],5,FALSE)))/BH15)</f>
        <v>0.19</v>
      </c>
      <c r="BV15" s="22">
        <f t="shared" si="7"/>
        <v>4.074766355</v>
      </c>
      <c r="BW15" s="40">
        <v>50.0</v>
      </c>
      <c r="BX15" s="41">
        <v>107.0</v>
      </c>
      <c r="BY15" s="47"/>
      <c r="BZ15" s="56">
        <f t="shared" si="8"/>
        <v>8.891891892</v>
      </c>
      <c r="CA15" s="53">
        <f t="shared" si="9"/>
        <v>3.912432432</v>
      </c>
      <c r="CB15" s="43" t="s">
        <v>127</v>
      </c>
      <c r="CC15" s="43" t="s">
        <v>116</v>
      </c>
      <c r="CD15" s="28">
        <f t="shared" si="10"/>
        <v>3.912432432</v>
      </c>
      <c r="CE15" s="43">
        <f t="shared" si="11"/>
        <v>329</v>
      </c>
      <c r="CF15" s="41"/>
      <c r="CG15" s="43"/>
      <c r="CH15" s="43">
        <v>51.0</v>
      </c>
      <c r="CI15" s="43">
        <v>380.0</v>
      </c>
      <c r="CJ15" s="43">
        <v>436.0</v>
      </c>
      <c r="CK15" s="43">
        <v>34.0</v>
      </c>
      <c r="CL15" s="53">
        <f>20/2.2</f>
        <v>9.090909091</v>
      </c>
      <c r="CM15" s="43">
        <v>4.0</v>
      </c>
      <c r="CN15" s="53">
        <f>185/2.2</f>
        <v>84.09090909</v>
      </c>
      <c r="CO15" s="43">
        <v>37.0</v>
      </c>
      <c r="CP15" s="53">
        <f t="shared" si="15"/>
        <v>13.63636364</v>
      </c>
      <c r="CQ15" s="43">
        <v>6.0</v>
      </c>
      <c r="CR15" s="41" t="s">
        <v>157</v>
      </c>
      <c r="CS15" s="53">
        <v>13.5</v>
      </c>
      <c r="CT15" s="43" t="s">
        <v>234</v>
      </c>
      <c r="CU15" s="30"/>
      <c r="CV15" s="29"/>
      <c r="CW15" s="30">
        <f t="shared" si="12"/>
        <v>0.4299363057</v>
      </c>
      <c r="CX15" s="31">
        <f t="shared" si="13"/>
        <v>0.6923076923</v>
      </c>
      <c r="CY15" s="41" t="s">
        <v>159</v>
      </c>
      <c r="CZ15" s="41"/>
      <c r="DA15" s="41" t="s">
        <v>228</v>
      </c>
      <c r="DB15" s="41" t="s">
        <v>258</v>
      </c>
      <c r="DC15" s="41" t="s">
        <v>272</v>
      </c>
      <c r="DD15" s="41"/>
      <c r="DE15" s="41"/>
      <c r="DF15" s="41"/>
      <c r="DG15" s="41"/>
      <c r="DH15" s="41"/>
      <c r="DI15" s="41"/>
      <c r="DJ15" s="41"/>
      <c r="DK15" s="41"/>
      <c r="DL15" s="41"/>
      <c r="DM15" s="45"/>
    </row>
    <row r="16" ht="21.75" customHeight="1">
      <c r="A16" s="33">
        <v>15.0</v>
      </c>
      <c r="B16" s="34" t="s">
        <v>273</v>
      </c>
      <c r="C16" s="34" t="s">
        <v>274</v>
      </c>
      <c r="D16" s="36" t="s">
        <v>205</v>
      </c>
      <c r="E16" s="35">
        <v>38784.0</v>
      </c>
      <c r="F16" s="34" t="s">
        <v>109</v>
      </c>
      <c r="G16" s="36" t="s">
        <v>110</v>
      </c>
      <c r="H16" s="34"/>
      <c r="I16" s="36" t="s">
        <v>275</v>
      </c>
      <c r="J16" s="36" t="s">
        <v>276</v>
      </c>
      <c r="K16" s="36">
        <v>1.0</v>
      </c>
      <c r="L16" s="36"/>
      <c r="M16" s="36" t="s">
        <v>150</v>
      </c>
      <c r="N16" s="36" t="s">
        <v>151</v>
      </c>
      <c r="O16" s="34">
        <f t="shared" si="1"/>
        <v>85</v>
      </c>
      <c r="P16" s="34">
        <f t="shared" si="2"/>
        <v>85</v>
      </c>
      <c r="Q16" s="36">
        <v>85.0</v>
      </c>
      <c r="R16" s="34"/>
      <c r="S16" s="34">
        <v>60.0</v>
      </c>
      <c r="T16" s="34" t="s">
        <v>277</v>
      </c>
      <c r="U16" s="36">
        <v>40.0</v>
      </c>
      <c r="V16" s="36">
        <v>30.0</v>
      </c>
      <c r="W16" s="36"/>
      <c r="X16" s="36">
        <v>35.0</v>
      </c>
      <c r="Y16" s="36"/>
      <c r="Z16" s="36" t="s">
        <v>123</v>
      </c>
      <c r="AA16" s="37">
        <f>Calcs!O16</f>
        <v>962.1</v>
      </c>
      <c r="AB16" s="34" t="s">
        <v>278</v>
      </c>
      <c r="AC16" s="34" t="s">
        <v>279</v>
      </c>
      <c r="AD16" s="34" t="s">
        <v>262</v>
      </c>
      <c r="AE16" s="34">
        <v>2.5</v>
      </c>
      <c r="AF16" s="65"/>
      <c r="AG16" s="65">
        <v>22.0</v>
      </c>
      <c r="AH16" s="36" t="s">
        <v>170</v>
      </c>
      <c r="AI16" s="34"/>
      <c r="AJ16" s="34">
        <v>6.0</v>
      </c>
      <c r="AK16" s="34"/>
      <c r="AL16" s="34" t="s">
        <v>184</v>
      </c>
      <c r="AM16" s="36" t="s">
        <v>280</v>
      </c>
      <c r="AN16" s="36">
        <v>27.0</v>
      </c>
      <c r="AO16" s="34">
        <v>19.0</v>
      </c>
      <c r="AP16" s="34"/>
      <c r="AQ16" s="36" t="s">
        <v>154</v>
      </c>
      <c r="AR16" s="34"/>
      <c r="AS16" s="34">
        <v>970.0</v>
      </c>
      <c r="AT16" s="14" t="str">
        <f t="shared" si="3"/>
        <v/>
      </c>
      <c r="AU16" s="12"/>
      <c r="AV16" s="38"/>
      <c r="AW16" s="17">
        <f t="shared" si="4"/>
        <v>1154.52</v>
      </c>
      <c r="AX16" s="39" t="s">
        <v>281</v>
      </c>
      <c r="AY16" s="36">
        <v>45.5</v>
      </c>
      <c r="AZ16" s="34"/>
      <c r="BA16" s="34"/>
      <c r="BB16" s="34"/>
      <c r="BC16" s="34"/>
      <c r="BD16" s="34"/>
      <c r="BE16" s="34"/>
      <c r="BF16" s="34"/>
      <c r="BG16" s="34"/>
      <c r="BH16" s="18">
        <f t="shared" si="5"/>
        <v>45.5</v>
      </c>
      <c r="BI16" s="19">
        <f>ifs(BH16=0,"na",BH16="NR","NR",BH16="?","?",BK16&gt;0,"?",iserror(Calcs!AB16),"?",1,Calcs!AB16)</f>
        <v>0.6867011216</v>
      </c>
      <c r="BJ16" s="34" t="s">
        <v>282</v>
      </c>
      <c r="BK16" s="34"/>
      <c r="BL16" s="18">
        <f t="shared" si="6"/>
        <v>45.5</v>
      </c>
      <c r="BM16" s="34"/>
      <c r="BN16" s="34"/>
      <c r="BO16" s="34">
        <v>1.0</v>
      </c>
      <c r="BP16" s="20">
        <f>ifs(isblank(AX16),0,BH16="NR","NR",BH16="?","?",1,(AY16*vlookup(AX16,Ores[],2,FALSE)+if(isblank(AZ16),0,BA16*vlookup(AZ16,Ores[],2,FALSE))+if(isblank(BB16),0,BC16*vlookup(BB16,Ores[],2,FALSE))+if(isblank(BD16),0,BE16*vlookup(BD16,Ores[],2,FALSE))+if(isblank(BF16),0,BG16*vlookup(BF16,Ores[],2,FALSE)))/BH16)</f>
        <v>0</v>
      </c>
      <c r="BQ16" s="20">
        <f>ifs(isblank(AX16),0,BH16="NR","NR",BH16="?","?",1,(AY16*vlookup(AX16,Ores[],4,FALSE)+if(isblank(AZ16),0,BA16*vlookup(AZ16,Ores[],4,FALSE))+if(isblank(BB16),0,BC16*vlookup(BB16,Ores[],4,FALSE))+if(isblank(BD16),0,BE16*vlookup(BD16,Ores[],4,FALSE))+if(isblank(BF16),0,BG16*vlookup(BF16,Ores[],4,FALSE)))/BH16)</f>
        <v>0.34</v>
      </c>
      <c r="BR16" s="21">
        <f>ifs(isblank(AX16),0,BH16="NR","NR",BH16="?","?",1,(AY16*vlookup(AX16,Ores[],8,FALSE)+if(isblank(AZ16),0,BA16*vlookup(AZ16,Ores[],8,FALSE))+if(isblank(BB16),0,BC16*vlookup(BB16,Ores[],8,FALSE))+if(isblank(BD16),0,BE16*vlookup(BD16,Ores[],8,FALSE))+if(isblank(BF16),0,BG16*vlookup(BF16,Ores[],8,FALSE)))/BH16)</f>
        <v>0</v>
      </c>
      <c r="BS16" s="21">
        <f>ifs(isblank(AX16),0,BH16="NR","NR",BH16="?","?",1,(AY16*vlookup(AX16,Ores[],7,FALSE)+if(isblank(AZ16),0,BA16*vlookup(AZ16,Ores[],7,FALSE))+if(isblank(BB16),0,BC16*vlookup(BB16,Ores[],7,FALSE))+if(isblank(BD16),0,BE16*vlookup(BD16,Ores[],7,FALSE))+if(isblank(BF16),0,BG16*vlookup(BF16,Ores[],7,FALSE)))/BH16)</f>
        <v>0</v>
      </c>
      <c r="BT16" s="21">
        <f>ifs(isblank(AX16),0,BH16="NR","NR",BH16="?","?",1,(AY16*vlookup(AX16,Ores[],3,FALSE)+if(isblank(AZ16),0,BA16*vlookup(AZ16,Ores[],3,FALSE))+if(isblank(BB16),0,BC16*vlookup(BB16,Ores[],3,FALSE))+if(isblank(BD16),0,BE16*vlookup(BD16,Ores[],3,FALSE))+if(isblank(BF16),0,BG16*vlookup(BF16,Ores[],3,FALSE)))/BH16)</f>
        <v>0.05</v>
      </c>
      <c r="BU16" s="21">
        <f>ifs(isblank(AX16),0,BH16="NR","NR",BH16="?","?",1,(AY16*vlookup(AX16,Ores[],5,FALSE)+if(isblank(AZ16),0,BA16*vlookup(AZ16,Ores[],5,FALSE))+if(isblank(BB16),0,BC16*vlookup(BB16,Ores[],5,FALSE))+if(isblank(BD16),0,BE16*vlookup(BD16,Ores[],5,FALSE))+if(isblank(BF16),0,BG16*vlookup(BF16,Ores[],5,FALSE)))/BH16)</f>
        <v>0</v>
      </c>
      <c r="BV16" s="22">
        <f t="shared" si="7"/>
        <v>3.255813953</v>
      </c>
      <c r="BW16" s="40">
        <v>45.0</v>
      </c>
      <c r="BX16" s="41">
        <v>86.0</v>
      </c>
      <c r="BY16" s="47"/>
      <c r="BZ16" s="56">
        <f t="shared" si="8"/>
        <v>6.655172414</v>
      </c>
      <c r="CA16" s="53">
        <f t="shared" si="9"/>
        <v>2.928275862</v>
      </c>
      <c r="CB16" s="41" t="s">
        <v>185</v>
      </c>
      <c r="CC16" s="41" t="s">
        <v>186</v>
      </c>
      <c r="CD16" s="28">
        <f t="shared" si="10"/>
        <v>2.928275862</v>
      </c>
      <c r="CE16" s="43">
        <f t="shared" si="11"/>
        <v>193</v>
      </c>
      <c r="CF16" s="41"/>
      <c r="CG16" s="43"/>
      <c r="CH16" s="43">
        <v>41.0</v>
      </c>
      <c r="CI16" s="43">
        <v>234.0</v>
      </c>
      <c r="CJ16" s="43">
        <v>280.0</v>
      </c>
      <c r="CK16" s="43">
        <v>29.0</v>
      </c>
      <c r="CL16" s="53">
        <f>30/2.2</f>
        <v>13.63636364</v>
      </c>
      <c r="CM16" s="43">
        <v>6.0</v>
      </c>
      <c r="CN16" s="53">
        <f t="shared" ref="CN16:CN17" si="16">145/2.2</f>
        <v>65.90909091</v>
      </c>
      <c r="CO16" s="43">
        <v>29.0</v>
      </c>
      <c r="CP16" s="53">
        <f>15/2.2</f>
        <v>6.818181818</v>
      </c>
      <c r="CQ16" s="43">
        <v>3.0</v>
      </c>
      <c r="CR16" s="41" t="s">
        <v>257</v>
      </c>
      <c r="CS16" s="53">
        <v>21.8</v>
      </c>
      <c r="CT16" s="43" t="s">
        <v>211</v>
      </c>
      <c r="CU16" s="27" t="s">
        <v>200</v>
      </c>
      <c r="CV16" s="29"/>
      <c r="CW16" s="30">
        <f t="shared" si="12"/>
        <v>0.4791208791</v>
      </c>
      <c r="CX16" s="31">
        <f t="shared" si="13"/>
        <v>0.6977138439</v>
      </c>
      <c r="CY16" s="41" t="s">
        <v>159</v>
      </c>
      <c r="CZ16" s="41"/>
      <c r="DA16" s="41" t="s">
        <v>283</v>
      </c>
      <c r="DB16" s="41" t="s">
        <v>284</v>
      </c>
      <c r="DC16" s="41" t="s">
        <v>285</v>
      </c>
      <c r="DD16" s="41"/>
      <c r="DE16" s="41"/>
      <c r="DF16" s="41"/>
      <c r="DG16" s="41"/>
      <c r="DH16" s="41"/>
      <c r="DI16" s="41"/>
      <c r="DJ16" s="41"/>
      <c r="DK16" s="41"/>
      <c r="DL16" s="41"/>
      <c r="DM16" s="45"/>
    </row>
    <row r="17" ht="21.75" customHeight="1">
      <c r="A17" s="33">
        <v>16.0</v>
      </c>
      <c r="B17" s="34" t="s">
        <v>273</v>
      </c>
      <c r="C17" s="34" t="s">
        <v>274</v>
      </c>
      <c r="D17" s="36" t="s">
        <v>205</v>
      </c>
      <c r="E17" s="35">
        <v>38786.0</v>
      </c>
      <c r="F17" s="34" t="s">
        <v>109</v>
      </c>
      <c r="G17" s="36" t="s">
        <v>110</v>
      </c>
      <c r="H17" s="34"/>
      <c r="I17" s="36" t="s">
        <v>286</v>
      </c>
      <c r="J17" s="36" t="s">
        <v>276</v>
      </c>
      <c r="K17" s="36">
        <v>2.0</v>
      </c>
      <c r="L17" s="36">
        <v>15.0</v>
      </c>
      <c r="M17" s="36" t="s">
        <v>150</v>
      </c>
      <c r="N17" s="36" t="s">
        <v>151</v>
      </c>
      <c r="O17" s="34">
        <f t="shared" si="1"/>
        <v>60</v>
      </c>
      <c r="P17" s="34">
        <f t="shared" si="2"/>
        <v>60</v>
      </c>
      <c r="Q17" s="36">
        <v>60.0</v>
      </c>
      <c r="R17" s="34"/>
      <c r="S17" s="34">
        <v>40.0</v>
      </c>
      <c r="T17" s="34" t="s">
        <v>277</v>
      </c>
      <c r="U17" s="36">
        <v>40.0</v>
      </c>
      <c r="V17" s="36">
        <v>28.0</v>
      </c>
      <c r="W17" s="36"/>
      <c r="X17" s="36">
        <v>35.0</v>
      </c>
      <c r="Y17" s="36"/>
      <c r="Z17" s="36" t="s">
        <v>123</v>
      </c>
      <c r="AA17" s="37">
        <f>Calcs!O17</f>
        <v>962.1</v>
      </c>
      <c r="AB17" s="34" t="s">
        <v>287</v>
      </c>
      <c r="AC17" s="34" t="s">
        <v>279</v>
      </c>
      <c r="AD17" s="34" t="s">
        <v>262</v>
      </c>
      <c r="AE17" s="34">
        <v>2.5</v>
      </c>
      <c r="AF17" s="65"/>
      <c r="AG17" s="65">
        <v>22.0</v>
      </c>
      <c r="AH17" s="36" t="s">
        <v>170</v>
      </c>
      <c r="AI17" s="34"/>
      <c r="AJ17" s="34">
        <v>6.0</v>
      </c>
      <c r="AK17" s="34"/>
      <c r="AL17" s="34" t="s">
        <v>184</v>
      </c>
      <c r="AM17" s="36" t="s">
        <v>280</v>
      </c>
      <c r="AN17" s="36">
        <v>27.0</v>
      </c>
      <c r="AO17" s="34">
        <v>14.0</v>
      </c>
      <c r="AP17" s="34"/>
      <c r="AQ17" s="36" t="s">
        <v>154</v>
      </c>
      <c r="AR17" s="34"/>
      <c r="AS17" s="34">
        <v>970.0</v>
      </c>
      <c r="AT17" s="14" t="str">
        <f t="shared" si="3"/>
        <v/>
      </c>
      <c r="AU17" s="12"/>
      <c r="AV17" s="38"/>
      <c r="AW17" s="17">
        <f t="shared" si="4"/>
        <v>1154.52</v>
      </c>
      <c r="AX17" s="39" t="s">
        <v>281</v>
      </c>
      <c r="AY17" s="36">
        <v>45.5</v>
      </c>
      <c r="AZ17" s="34"/>
      <c r="BA17" s="34"/>
      <c r="BB17" s="34"/>
      <c r="BC17" s="34"/>
      <c r="BD17" s="34"/>
      <c r="BE17" s="34"/>
      <c r="BF17" s="34"/>
      <c r="BG17" s="34"/>
      <c r="BH17" s="18">
        <f t="shared" si="5"/>
        <v>45.5</v>
      </c>
      <c r="BI17" s="19">
        <f>ifs(BH17=0,"na",BH17="NR","NR",BH17="?","?",BK17&gt;0,"?",iserror(Calcs!AB17),"?",1,Calcs!AB17)</f>
        <v>0.6867011216</v>
      </c>
      <c r="BJ17" s="34" t="s">
        <v>282</v>
      </c>
      <c r="BK17" s="34"/>
      <c r="BL17" s="18">
        <f t="shared" si="6"/>
        <v>45.5</v>
      </c>
      <c r="BM17" s="34"/>
      <c r="BN17" s="34"/>
      <c r="BO17" s="34">
        <v>1.0</v>
      </c>
      <c r="BP17" s="20">
        <f>ifs(isblank(AX17),0,BH17="NR","NR",BH17="?","?",1,(AY17*vlookup(AX17,Ores[],2,FALSE)+if(isblank(AZ17),0,BA17*vlookup(AZ17,Ores[],2,FALSE))+if(isblank(BB17),0,BC17*vlookup(BB17,Ores[],2,FALSE))+if(isblank(BD17),0,BE17*vlookup(BD17,Ores[],2,FALSE))+if(isblank(BF17),0,BG17*vlookup(BF17,Ores[],2,FALSE)))/BH17)</f>
        <v>0</v>
      </c>
      <c r="BQ17" s="20">
        <f>ifs(isblank(AX17),0,BH17="NR","NR",BH17="?","?",1,(AY17*vlookup(AX17,Ores[],4,FALSE)+if(isblank(AZ17),0,BA17*vlookup(AZ17,Ores[],4,FALSE))+if(isblank(BB17),0,BC17*vlookup(BB17,Ores[],4,FALSE))+if(isblank(BD17),0,BE17*vlookup(BD17,Ores[],4,FALSE))+if(isblank(BF17),0,BG17*vlookup(BF17,Ores[],4,FALSE)))/BH17)</f>
        <v>0.34</v>
      </c>
      <c r="BR17" s="21">
        <f>ifs(isblank(AX17),0,BH17="NR","NR",BH17="?","?",1,(AY17*vlookup(AX17,Ores[],8,FALSE)+if(isblank(AZ17),0,BA17*vlookup(AZ17,Ores[],8,FALSE))+if(isblank(BB17),0,BC17*vlookup(BB17,Ores[],8,FALSE))+if(isblank(BD17),0,BE17*vlookup(BD17,Ores[],8,FALSE))+if(isblank(BF17),0,BG17*vlookup(BF17,Ores[],8,FALSE)))/BH17)</f>
        <v>0</v>
      </c>
      <c r="BS17" s="21">
        <f>ifs(isblank(AX17),0,BH17="NR","NR",BH17="?","?",1,(AY17*vlookup(AX17,Ores[],7,FALSE)+if(isblank(AZ17),0,BA17*vlookup(AZ17,Ores[],7,FALSE))+if(isblank(BB17),0,BC17*vlookup(BB17,Ores[],7,FALSE))+if(isblank(BD17),0,BE17*vlookup(BD17,Ores[],7,FALSE))+if(isblank(BF17),0,BG17*vlookup(BF17,Ores[],7,FALSE)))/BH17)</f>
        <v>0</v>
      </c>
      <c r="BT17" s="21">
        <f>ifs(isblank(AX17),0,BH17="NR","NR",BH17="?","?",1,(AY17*vlookup(AX17,Ores[],3,FALSE)+if(isblank(AZ17),0,BA17*vlookup(AZ17,Ores[],3,FALSE))+if(isblank(BB17),0,BC17*vlookup(BB17,Ores[],3,FALSE))+if(isblank(BD17),0,BE17*vlookup(BD17,Ores[],3,FALSE))+if(isblank(BF17),0,BG17*vlookup(BF17,Ores[],3,FALSE)))/BH17)</f>
        <v>0.05</v>
      </c>
      <c r="BU17" s="21">
        <f>ifs(isblank(AX17),0,BH17="NR","NR",BH17="?","?",1,(AY17*vlookup(AX17,Ores[],5,FALSE)+if(isblank(AZ17),0,BA17*vlookup(AZ17,Ores[],5,FALSE))+if(isblank(BB17),0,BC17*vlookup(BB17,Ores[],5,FALSE))+if(isblank(BD17),0,BE17*vlookup(BD17,Ores[],5,FALSE))+if(isblank(BF17),0,BG17*vlookup(BF17,Ores[],5,FALSE)))/BH17)</f>
        <v>0</v>
      </c>
      <c r="BV17" s="22">
        <f t="shared" si="7"/>
        <v>3.529411765</v>
      </c>
      <c r="BW17" s="40">
        <v>45.0</v>
      </c>
      <c r="BX17" s="41">
        <v>68.0</v>
      </c>
      <c r="BY17" s="47"/>
      <c r="BZ17" s="56">
        <f t="shared" si="8"/>
        <v>7.24137931</v>
      </c>
      <c r="CA17" s="53">
        <f t="shared" si="9"/>
        <v>3.186206897</v>
      </c>
      <c r="CB17" s="41" t="s">
        <v>185</v>
      </c>
      <c r="CC17" s="41" t="s">
        <v>186</v>
      </c>
      <c r="CD17" s="28">
        <f t="shared" si="10"/>
        <v>3.186206897</v>
      </c>
      <c r="CE17" s="43">
        <f t="shared" si="11"/>
        <v>210</v>
      </c>
      <c r="CF17" s="41"/>
      <c r="CG17" s="43"/>
      <c r="CH17" s="43">
        <v>10.0</v>
      </c>
      <c r="CI17" s="43">
        <v>220.0</v>
      </c>
      <c r="CJ17" s="43">
        <v>240.0</v>
      </c>
      <c r="CK17" s="43">
        <v>29.0</v>
      </c>
      <c r="CL17" s="53">
        <f>5/2.2</f>
        <v>2.272727273</v>
      </c>
      <c r="CM17" s="43">
        <v>1.0</v>
      </c>
      <c r="CN17" s="53">
        <f t="shared" si="16"/>
        <v>65.90909091</v>
      </c>
      <c r="CO17" s="43">
        <v>29.0</v>
      </c>
      <c r="CP17" s="43">
        <v>0.0</v>
      </c>
      <c r="CQ17" s="43">
        <v>0.0</v>
      </c>
      <c r="CR17" s="41" t="s">
        <v>257</v>
      </c>
      <c r="CS17" s="44">
        <v>20.0</v>
      </c>
      <c r="CT17" s="43" t="s">
        <v>211</v>
      </c>
      <c r="CU17" s="27" t="s">
        <v>200</v>
      </c>
      <c r="CV17" s="29"/>
      <c r="CW17" s="30">
        <f t="shared" si="12"/>
        <v>0.4395604396</v>
      </c>
      <c r="CX17" s="31">
        <f t="shared" si="13"/>
        <v>0.6401044439</v>
      </c>
      <c r="CY17" s="41" t="s">
        <v>288</v>
      </c>
      <c r="CZ17" s="41"/>
      <c r="DA17" s="41" t="s">
        <v>283</v>
      </c>
      <c r="DB17" s="41" t="s">
        <v>289</v>
      </c>
      <c r="DC17" s="41" t="s">
        <v>290</v>
      </c>
      <c r="DD17" s="41"/>
      <c r="DE17" s="41"/>
      <c r="DF17" s="41"/>
      <c r="DG17" s="41"/>
      <c r="DH17" s="41"/>
      <c r="DI17" s="41"/>
      <c r="DJ17" s="41"/>
      <c r="DK17" s="41"/>
      <c r="DL17" s="41"/>
      <c r="DM17" s="45"/>
    </row>
    <row r="18" ht="21.75" customHeight="1">
      <c r="A18" s="62" t="s">
        <v>291</v>
      </c>
      <c r="B18" s="34" t="s">
        <v>292</v>
      </c>
      <c r="C18" s="34" t="s">
        <v>137</v>
      </c>
      <c r="D18" s="34" t="s">
        <v>138</v>
      </c>
      <c r="E18" s="35">
        <v>38878.0</v>
      </c>
      <c r="F18" s="34" t="s">
        <v>109</v>
      </c>
      <c r="G18" s="36" t="s">
        <v>110</v>
      </c>
      <c r="H18" s="34"/>
      <c r="I18" s="34" t="s">
        <v>293</v>
      </c>
      <c r="J18" s="36" t="s">
        <v>276</v>
      </c>
      <c r="K18" s="34"/>
      <c r="L18" s="34"/>
      <c r="M18" s="36" t="s">
        <v>150</v>
      </c>
      <c r="N18" s="36" t="s">
        <v>168</v>
      </c>
      <c r="O18" s="34">
        <f t="shared" si="1"/>
        <v>65</v>
      </c>
      <c r="P18" s="34">
        <f t="shared" si="2"/>
        <v>65</v>
      </c>
      <c r="Q18" s="36">
        <v>65.0</v>
      </c>
      <c r="R18" s="34"/>
      <c r="S18" s="34">
        <v>45.0</v>
      </c>
      <c r="T18" s="34">
        <v>38.0</v>
      </c>
      <c r="U18" s="34">
        <v>23.0</v>
      </c>
      <c r="V18" s="34"/>
      <c r="W18" s="34"/>
      <c r="X18" s="34"/>
      <c r="Y18" s="34"/>
      <c r="Z18" s="34"/>
      <c r="AA18" s="37">
        <f>Calcs!O18</f>
        <v>415.5</v>
      </c>
      <c r="AB18" s="34">
        <v>7.5</v>
      </c>
      <c r="AC18" s="34" t="s">
        <v>294</v>
      </c>
      <c r="AD18" s="34" t="s">
        <v>262</v>
      </c>
      <c r="AE18" s="34">
        <v>2.5</v>
      </c>
      <c r="AF18" s="36"/>
      <c r="AG18" s="36">
        <v>20.0</v>
      </c>
      <c r="AH18" s="36" t="s">
        <v>170</v>
      </c>
      <c r="AI18" s="34"/>
      <c r="AJ18" s="34">
        <v>5.0</v>
      </c>
      <c r="AK18" s="34"/>
      <c r="AL18" s="34" t="s">
        <v>184</v>
      </c>
      <c r="AM18" s="34"/>
      <c r="AN18" s="36">
        <v>13.0</v>
      </c>
      <c r="AO18" s="34">
        <v>7.0</v>
      </c>
      <c r="AP18" s="34"/>
      <c r="AQ18" s="36" t="s">
        <v>154</v>
      </c>
      <c r="AR18" s="34"/>
      <c r="AS18" s="34">
        <v>1060.0</v>
      </c>
      <c r="AT18" s="14" t="str">
        <f t="shared" si="3"/>
        <v/>
      </c>
      <c r="AU18" s="12"/>
      <c r="AV18" s="38"/>
      <c r="AW18" s="17">
        <f t="shared" si="4"/>
        <v>498.6</v>
      </c>
      <c r="AX18" s="39" t="s">
        <v>295</v>
      </c>
      <c r="AY18" s="36">
        <v>18.0</v>
      </c>
      <c r="AZ18" s="36"/>
      <c r="BA18" s="55"/>
      <c r="BB18" s="36"/>
      <c r="BC18" s="36"/>
      <c r="BD18" s="34"/>
      <c r="BE18" s="34"/>
      <c r="BF18" s="34"/>
      <c r="BG18" s="34"/>
      <c r="BH18" s="18">
        <f t="shared" si="5"/>
        <v>18</v>
      </c>
      <c r="BI18" s="64">
        <v>0.454</v>
      </c>
      <c r="BJ18" s="34" t="s">
        <v>125</v>
      </c>
      <c r="BK18" s="36">
        <v>1.7</v>
      </c>
      <c r="BL18" s="18">
        <f t="shared" si="6"/>
        <v>19.7</v>
      </c>
      <c r="BM18" s="34"/>
      <c r="BN18" s="34"/>
      <c r="BO18" s="34" t="s">
        <v>173</v>
      </c>
      <c r="BP18" s="20">
        <f>ifs(isblank(AX18),0,BH18="NR","NR",BH18="?","?",1,(AY18*vlookup(AX18,Ores[],2,FALSE)+if(isblank(AZ18),0,BA18*vlookup(AZ18,Ores[],2,FALSE))+if(isblank(BB18),0,BC18*vlookup(BB18,Ores[],2,FALSE))+if(isblank(BD18),0,BE18*vlookup(BD18,Ores[],2,FALSE))+if(isblank(BF18),0,BG18*vlookup(BF18,Ores[],2,FALSE)))/BH18)</f>
        <v>15.01</v>
      </c>
      <c r="BQ18" s="20">
        <f>ifs(isblank(AX18),0,BH18="NR","NR",BH18="?","?",1,(AY18*vlookup(AX18,Ores[],4,FALSE)+if(isblank(AZ18),0,BA18*vlookup(AZ18,Ores[],4,FALSE))+if(isblank(BB18),0,BC18*vlookup(BB18,Ores[],4,FALSE))+if(isblank(BD18),0,BE18*vlookup(BD18,Ores[],4,FALSE))+if(isblank(BF18),0,BG18*vlookup(BF18,Ores[],4,FALSE)))/BH18)</f>
        <v>4.93</v>
      </c>
      <c r="BR18" s="21">
        <f>ifs(isblank(AX18),0,BH18="NR","NR",BH18="?","?",1,(AY18*vlookup(AX18,Ores[],8,FALSE)+if(isblank(AZ18),0,BA18*vlookup(AZ18,Ores[],8,FALSE))+if(isblank(BB18),0,BC18*vlookup(BB18,Ores[],8,FALSE))+if(isblank(BD18),0,BE18*vlookup(BD18,Ores[],8,FALSE))+if(isblank(BF18),0,BG18*vlookup(BF18,Ores[],8,FALSE)))/BH18)</f>
        <v>2.35</v>
      </c>
      <c r="BS18" s="21">
        <f>ifs(isblank(AX18),0,BH18="NR","NR",BH18="?","?",1,(AY18*vlookup(AX18,Ores[],7,FALSE)+if(isblank(AZ18),0,BA18*vlookup(AZ18,Ores[],7,FALSE))+if(isblank(BB18),0,BC18*vlookup(BB18,Ores[],7,FALSE))+if(isblank(BD18),0,BE18*vlookup(BD18,Ores[],7,FALSE))+if(isblank(BF18),0,BG18*vlookup(BF18,Ores[],7,FALSE)))/BH18)</f>
        <v>0</v>
      </c>
      <c r="BT18" s="21">
        <f>ifs(isblank(AX18),0,BH18="NR","NR",BH18="?","?",1,(AY18*vlookup(AX18,Ores[],3,FALSE)+if(isblank(AZ18),0,BA18*vlookup(AZ18,Ores[],3,FALSE))+if(isblank(BB18),0,BC18*vlookup(BB18,Ores[],3,FALSE))+if(isblank(BD18),0,BE18*vlookup(BD18,Ores[],3,FALSE))+if(isblank(BF18),0,BG18*vlookup(BF18,Ores[],3,FALSE)))/BH18)</f>
        <v>0.33</v>
      </c>
      <c r="BU18" s="21">
        <f>ifs(isblank(AX18),0,BH18="NR","NR",BH18="?","?",1,(AY18*vlookup(AX18,Ores[],5,FALSE)+if(isblank(AZ18),0,BA18*vlookup(AZ18,Ores[],5,FALSE))+if(isblank(BB18),0,BC18*vlookup(BB18,Ores[],5,FALSE))+if(isblank(BD18),0,BE18*vlookup(BD18,Ores[],5,FALSE))+if(isblank(BF18),0,BG18*vlookup(BF18,Ores[],5,FALSE)))/BH18)</f>
        <v>3.87</v>
      </c>
      <c r="BV18" s="22">
        <f t="shared" si="7"/>
        <v>5.522916667</v>
      </c>
      <c r="BW18" s="40">
        <v>90.0</v>
      </c>
      <c r="BX18" s="44">
        <f>192/2.2</f>
        <v>87.27272727</v>
      </c>
      <c r="BY18" s="47"/>
      <c r="BZ18" s="56">
        <f t="shared" si="8"/>
        <v>9.071428571</v>
      </c>
      <c r="CA18" s="53">
        <f t="shared" si="9"/>
        <v>4.989285714</v>
      </c>
      <c r="CB18" s="43" t="s">
        <v>127</v>
      </c>
      <c r="CC18" s="41" t="s">
        <v>128</v>
      </c>
      <c r="CD18" s="28">
        <f t="shared" si="10"/>
        <v>4.989285714</v>
      </c>
      <c r="CE18" s="43">
        <f t="shared" si="11"/>
        <v>381</v>
      </c>
      <c r="CF18" s="41"/>
      <c r="CG18" s="43"/>
      <c r="CH18" s="43">
        <v>70.0</v>
      </c>
      <c r="CI18" s="43">
        <v>451.0</v>
      </c>
      <c r="CJ18" s="43">
        <v>482.0</v>
      </c>
      <c r="CK18" s="43">
        <v>52.0</v>
      </c>
      <c r="CL18" s="53">
        <f>16/2.2</f>
        <v>7.272727273</v>
      </c>
      <c r="CM18" s="43">
        <v>4.0</v>
      </c>
      <c r="CN18" s="53">
        <f>168/2.2</f>
        <v>76.36363636</v>
      </c>
      <c r="CO18" s="43">
        <v>42.0</v>
      </c>
      <c r="CP18" s="53">
        <f>8/2.2</f>
        <v>3.636363636</v>
      </c>
      <c r="CQ18" s="43">
        <v>2.0</v>
      </c>
      <c r="CR18" s="41" t="s">
        <v>129</v>
      </c>
      <c r="CS18" s="53">
        <v>2.8</v>
      </c>
      <c r="CT18" s="43" t="s">
        <v>118</v>
      </c>
      <c r="CU18" s="27" t="s">
        <v>243</v>
      </c>
      <c r="CV18" s="29"/>
      <c r="CW18" s="30">
        <f t="shared" si="12"/>
        <v>0.1421319797</v>
      </c>
      <c r="CX18" s="31">
        <f t="shared" si="13"/>
        <v>0.3426333823</v>
      </c>
      <c r="CY18" s="41" t="s">
        <v>159</v>
      </c>
      <c r="CZ18" s="41"/>
      <c r="DA18" s="41" t="s">
        <v>283</v>
      </c>
      <c r="DB18" s="41" t="s">
        <v>296</v>
      </c>
      <c r="DC18" s="41" t="s">
        <v>297</v>
      </c>
      <c r="DD18" s="41"/>
      <c r="DE18" s="41"/>
      <c r="DF18" s="41"/>
      <c r="DG18" s="41"/>
      <c r="DH18" s="41"/>
      <c r="DI18" s="41"/>
      <c r="DJ18" s="41"/>
      <c r="DK18" s="41"/>
      <c r="DL18" s="41"/>
      <c r="DM18" s="45"/>
    </row>
    <row r="19" ht="21.75" customHeight="1">
      <c r="A19" s="33" t="s">
        <v>298</v>
      </c>
      <c r="B19" s="34" t="s">
        <v>299</v>
      </c>
      <c r="C19" s="34" t="s">
        <v>137</v>
      </c>
      <c r="D19" s="34" t="s">
        <v>300</v>
      </c>
      <c r="E19" s="35">
        <v>38962.0</v>
      </c>
      <c r="F19" s="34" t="s">
        <v>109</v>
      </c>
      <c r="G19" s="36" t="s">
        <v>110</v>
      </c>
      <c r="H19" s="36" t="s">
        <v>301</v>
      </c>
      <c r="I19" s="34" t="s">
        <v>166</v>
      </c>
      <c r="J19" s="36" t="s">
        <v>167</v>
      </c>
      <c r="K19" s="34"/>
      <c r="L19" s="34"/>
      <c r="M19" s="36" t="s">
        <v>150</v>
      </c>
      <c r="N19" s="36" t="s">
        <v>151</v>
      </c>
      <c r="O19" s="34">
        <f t="shared" si="1"/>
        <v>60</v>
      </c>
      <c r="P19" s="34">
        <f t="shared" si="2"/>
        <v>60</v>
      </c>
      <c r="Q19" s="36">
        <v>60.0</v>
      </c>
      <c r="R19" s="34"/>
      <c r="S19" s="36">
        <v>35.0</v>
      </c>
      <c r="T19" s="34" t="s">
        <v>302</v>
      </c>
      <c r="U19" s="36">
        <v>25.0</v>
      </c>
      <c r="V19" s="36">
        <v>22.0</v>
      </c>
      <c r="W19" s="36"/>
      <c r="X19" s="36">
        <v>21.5</v>
      </c>
      <c r="Y19" s="36"/>
      <c r="Z19" s="36" t="s">
        <v>123</v>
      </c>
      <c r="AA19" s="37">
        <f>Calcs!O19</f>
        <v>363.1</v>
      </c>
      <c r="AB19" s="34" t="s">
        <v>303</v>
      </c>
      <c r="AC19" s="34" t="s">
        <v>304</v>
      </c>
      <c r="AD19" s="34" t="s">
        <v>262</v>
      </c>
      <c r="AE19" s="34">
        <v>2.5</v>
      </c>
      <c r="AF19" s="36"/>
      <c r="AG19" s="36">
        <v>20.0</v>
      </c>
      <c r="AH19" s="36" t="s">
        <v>170</v>
      </c>
      <c r="AI19" s="36" t="s">
        <v>123</v>
      </c>
      <c r="AJ19" s="34">
        <v>5.0</v>
      </c>
      <c r="AK19" s="36" t="s">
        <v>123</v>
      </c>
      <c r="AL19" s="36" t="s">
        <v>184</v>
      </c>
      <c r="AM19" s="36"/>
      <c r="AN19" s="36" t="s">
        <v>116</v>
      </c>
      <c r="AO19" s="34">
        <v>15.0</v>
      </c>
      <c r="AP19" s="34"/>
      <c r="AQ19" s="34" t="s">
        <v>233</v>
      </c>
      <c r="AR19" s="36"/>
      <c r="AS19" s="36">
        <v>600.0</v>
      </c>
      <c r="AT19" s="14" t="str">
        <f t="shared" si="3"/>
        <v/>
      </c>
      <c r="AU19" s="16" t="s">
        <v>123</v>
      </c>
      <c r="AV19" s="38"/>
      <c r="AW19" s="17">
        <f t="shared" si="4"/>
        <v>435.72</v>
      </c>
      <c r="AX19" s="36" t="s">
        <v>155</v>
      </c>
      <c r="AY19" s="36">
        <v>10.5</v>
      </c>
      <c r="AZ19" s="36"/>
      <c r="BA19" s="36"/>
      <c r="BB19" s="36"/>
      <c r="BC19" s="36"/>
      <c r="BD19" s="34"/>
      <c r="BE19" s="34"/>
      <c r="BF19" s="34"/>
      <c r="BG19" s="34"/>
      <c r="BH19" s="18">
        <f t="shared" si="5"/>
        <v>10.5</v>
      </c>
      <c r="BI19" s="19">
        <f>ifs(BH19=0,"na",BH19="NR","NR",BH19="?","?",BK19&gt;0,"?",iserror(Calcs!AB19),"?",1,Calcs!AB19)</f>
        <v>0.58</v>
      </c>
      <c r="BJ19" s="34" t="s">
        <v>125</v>
      </c>
      <c r="BK19" s="34"/>
      <c r="BL19" s="18">
        <f t="shared" si="6"/>
        <v>10.5</v>
      </c>
      <c r="BM19" s="34"/>
      <c r="BN19" s="34"/>
      <c r="BO19" s="34" t="s">
        <v>173</v>
      </c>
      <c r="BP19" s="20">
        <f>ifs(isblank(AX19),0,BH19="NR","NR",BH19="?","?",1,(AY19*vlookup(AX19,Ores[],2,FALSE)+if(isblank(AZ19),0,BA19*vlookup(AZ19,Ores[],2,FALSE))+if(isblank(BB19),0,BC19*vlookup(BB19,Ores[],2,FALSE))+if(isblank(BD19),0,BE19*vlookup(BD19,Ores[],2,FALSE))+if(isblank(BF19),0,BG19*vlookup(BF19,Ores[],2,FALSE)))/BH19)</f>
        <v>8.73</v>
      </c>
      <c r="BQ19" s="20">
        <f>ifs(isblank(AX19),0,BH19="NR","NR",BH19="?","?",1,(AY19*vlookup(AX19,Ores[],4,FALSE)+if(isblank(AZ19),0,BA19*vlookup(AZ19,Ores[],4,FALSE))+if(isblank(BB19),0,BC19*vlookup(BB19,Ores[],4,FALSE))+if(isblank(BD19),0,BE19*vlookup(BD19,Ores[],4,FALSE))+if(isblank(BF19),0,BG19*vlookup(BF19,Ores[],4,FALSE)))/BH19)</f>
        <v>2.04</v>
      </c>
      <c r="BR19" s="21">
        <f>ifs(isblank(AX19),0,BH19="NR","NR",BH19="?","?",1,(AY19*vlookup(AX19,Ores[],8,FALSE)+if(isblank(AZ19),0,BA19*vlookup(AZ19,Ores[],8,FALSE))+if(isblank(BB19),0,BC19*vlookup(BB19,Ores[],8,FALSE))+if(isblank(BD19),0,BE19*vlookup(BD19,Ores[],8,FALSE))+if(isblank(BF19),0,BG19*vlookup(BF19,Ores[],8,FALSE)))/BH19)</f>
        <v>4.02</v>
      </c>
      <c r="BS19" s="21">
        <f>ifs(isblank(AX19),0,BH19="NR","NR",BH19="?","?",1,(AY19*vlookup(AX19,Ores[],7,FALSE)+if(isblank(AZ19),0,BA19*vlookup(AZ19,Ores[],7,FALSE))+if(isblank(BB19),0,BC19*vlookup(BB19,Ores[],7,FALSE))+if(isblank(BD19),0,BE19*vlookup(BD19,Ores[],7,FALSE))+if(isblank(BF19),0,BG19*vlookup(BF19,Ores[],7,FALSE)))/BH19)</f>
        <v>0</v>
      </c>
      <c r="BT19" s="21">
        <f>ifs(isblank(AX19),0,BH19="NR","NR",BH19="?","?",1,(AY19*vlookup(AX19,Ores[],3,FALSE)+if(isblank(AZ19),0,BA19*vlookup(AZ19,Ores[],3,FALSE))+if(isblank(BB19),0,BC19*vlookup(BB19,Ores[],3,FALSE))+if(isblank(BD19),0,BE19*vlookup(BD19,Ores[],3,FALSE))+if(isblank(BF19),0,BG19*vlookup(BF19,Ores[],3,FALSE)))/BH19)</f>
        <v>0</v>
      </c>
      <c r="BU19" s="21">
        <f>ifs(isblank(AX19),0,BH19="NR","NR",BH19="?","?",1,(AY19*vlookup(AX19,Ores[],5,FALSE)+if(isblank(AZ19),0,BA19*vlookup(AZ19,Ores[],5,FALSE))+if(isblank(BB19),0,BC19*vlookup(BB19,Ores[],5,FALSE))+if(isblank(BD19),0,BE19*vlookup(BD19,Ores[],5,FALSE))+if(isblank(BF19),0,BG19*vlookup(BF19,Ores[],5,FALSE)))/BH19)</f>
        <v>0.4</v>
      </c>
      <c r="BV19" s="22" t="str">
        <f t="shared" si="7"/>
        <v>NR</v>
      </c>
      <c r="BW19" s="40">
        <v>128.0</v>
      </c>
      <c r="BX19" s="41">
        <v>57.0</v>
      </c>
      <c r="BY19" s="47"/>
      <c r="BZ19" s="56">
        <f t="shared" si="8"/>
        <v>21.58823529</v>
      </c>
      <c r="CA19" s="53">
        <f t="shared" si="9"/>
        <v>9.498823529</v>
      </c>
      <c r="CB19" s="43" t="s">
        <v>127</v>
      </c>
      <c r="CC19" s="41" t="s">
        <v>128</v>
      </c>
      <c r="CD19" s="28">
        <f t="shared" si="10"/>
        <v>9.498823529</v>
      </c>
      <c r="CE19" s="43">
        <f t="shared" si="11"/>
        <v>367</v>
      </c>
      <c r="CF19" s="41"/>
      <c r="CG19" s="43"/>
      <c r="CH19" s="43">
        <v>117.0</v>
      </c>
      <c r="CI19" s="43">
        <v>484.0</v>
      </c>
      <c r="CJ19" s="43" t="s">
        <v>116</v>
      </c>
      <c r="CK19" s="43">
        <v>27.0</v>
      </c>
      <c r="CL19" s="53">
        <f>35/2.2</f>
        <v>15.90909091</v>
      </c>
      <c r="CM19" s="43">
        <v>7.0</v>
      </c>
      <c r="CN19" s="53">
        <f>85/2.2</f>
        <v>38.63636364</v>
      </c>
      <c r="CO19" s="43">
        <v>17.0</v>
      </c>
      <c r="CP19" s="53">
        <f>5/2.2</f>
        <v>2.272727273</v>
      </c>
      <c r="CQ19" s="43">
        <v>1.0</v>
      </c>
      <c r="CR19" s="41" t="s">
        <v>129</v>
      </c>
      <c r="CS19" s="44">
        <v>1.5</v>
      </c>
      <c r="CT19" s="66" t="s">
        <v>211</v>
      </c>
      <c r="CU19" s="43"/>
      <c r="CV19" s="58">
        <v>6.7</v>
      </c>
      <c r="CW19" s="30">
        <f t="shared" si="12"/>
        <v>0.1428571429</v>
      </c>
      <c r="CX19" s="31">
        <f t="shared" si="13"/>
        <v>0.2463054187</v>
      </c>
      <c r="CY19" s="41" t="s">
        <v>305</v>
      </c>
      <c r="CZ19" s="41"/>
      <c r="DA19" s="41" t="s">
        <v>306</v>
      </c>
      <c r="DB19" s="41" t="s">
        <v>307</v>
      </c>
      <c r="DC19" s="41" t="s">
        <v>308</v>
      </c>
      <c r="DD19" s="41"/>
      <c r="DE19" s="41"/>
      <c r="DF19" s="41"/>
      <c r="DG19" s="41"/>
      <c r="DH19" s="41"/>
      <c r="DI19" s="41"/>
      <c r="DJ19" s="41"/>
      <c r="DK19" s="41"/>
      <c r="DL19" s="41"/>
      <c r="DM19" s="45"/>
    </row>
    <row r="20" ht="21.75" customHeight="1">
      <c r="A20" s="33">
        <v>19.0</v>
      </c>
      <c r="B20" s="67" t="s">
        <v>309</v>
      </c>
      <c r="C20" s="34" t="s">
        <v>310</v>
      </c>
      <c r="D20" s="34" t="s">
        <v>311</v>
      </c>
      <c r="E20" s="35">
        <v>38997.0</v>
      </c>
      <c r="F20" s="34" t="s">
        <v>109</v>
      </c>
      <c r="G20" s="36" t="s">
        <v>110</v>
      </c>
      <c r="H20" s="34"/>
      <c r="I20" s="34" t="s">
        <v>181</v>
      </c>
      <c r="J20" s="36" t="s">
        <v>276</v>
      </c>
      <c r="K20" s="36">
        <v>1.0</v>
      </c>
      <c r="L20" s="36"/>
      <c r="M20" s="36" t="s">
        <v>150</v>
      </c>
      <c r="N20" s="36" t="s">
        <v>168</v>
      </c>
      <c r="O20" s="34">
        <f t="shared" si="1"/>
        <v>66</v>
      </c>
      <c r="P20" s="34">
        <f t="shared" si="2"/>
        <v>66</v>
      </c>
      <c r="Q20" s="36">
        <v>66.0</v>
      </c>
      <c r="R20" s="34"/>
      <c r="S20" s="34">
        <v>50.0</v>
      </c>
      <c r="T20" s="34">
        <v>30.0</v>
      </c>
      <c r="U20" s="34">
        <v>20.0</v>
      </c>
      <c r="V20" s="34"/>
      <c r="W20" s="34"/>
      <c r="X20" s="34"/>
      <c r="Y20" s="34"/>
      <c r="Z20" s="34"/>
      <c r="AA20" s="37">
        <f>Calcs!O20</f>
        <v>314.2</v>
      </c>
      <c r="AB20" s="34">
        <v>5.0</v>
      </c>
      <c r="AC20" s="34" t="s">
        <v>312</v>
      </c>
      <c r="AD20" s="34" t="s">
        <v>262</v>
      </c>
      <c r="AE20" s="34">
        <v>2.5</v>
      </c>
      <c r="AF20" s="36"/>
      <c r="AG20" s="36">
        <v>20.0</v>
      </c>
      <c r="AH20" s="36" t="s">
        <v>170</v>
      </c>
      <c r="AI20" s="34"/>
      <c r="AJ20" s="34">
        <v>5.0</v>
      </c>
      <c r="AK20" s="34"/>
      <c r="AL20" s="34" t="s">
        <v>184</v>
      </c>
      <c r="AM20" s="34"/>
      <c r="AN20" s="36" t="s">
        <v>116</v>
      </c>
      <c r="AO20" s="34">
        <v>13.0</v>
      </c>
      <c r="AP20" s="34"/>
      <c r="AQ20" s="36" t="s">
        <v>154</v>
      </c>
      <c r="AR20" s="34"/>
      <c r="AS20" s="34">
        <v>700.0</v>
      </c>
      <c r="AT20" s="14" t="str">
        <f t="shared" si="3"/>
        <v/>
      </c>
      <c r="AU20" s="12"/>
      <c r="AV20" s="38"/>
      <c r="AW20" s="17">
        <f t="shared" si="4"/>
        <v>377.04</v>
      </c>
      <c r="AX20" s="39" t="s">
        <v>313</v>
      </c>
      <c r="AY20" s="36">
        <v>8.8</v>
      </c>
      <c r="AZ20" s="34"/>
      <c r="BA20" s="34"/>
      <c r="BB20" s="34"/>
      <c r="BC20" s="34"/>
      <c r="BD20" s="34"/>
      <c r="BE20" s="34"/>
      <c r="BF20" s="34"/>
      <c r="BG20" s="34"/>
      <c r="BH20" s="18">
        <f t="shared" si="5"/>
        <v>8.8</v>
      </c>
      <c r="BI20" s="19">
        <f>ifs(BH20=0,"na",BH20="NR","NR",BH20="?","?",BK20&gt;0,"?",iserror(Calcs!AB20),"?",1,Calcs!AB20)</f>
        <v>0.4257435045</v>
      </c>
      <c r="BJ20" s="34"/>
      <c r="BK20" s="34"/>
      <c r="BL20" s="18">
        <f t="shared" si="6"/>
        <v>8.8</v>
      </c>
      <c r="BM20" s="34"/>
      <c r="BN20" s="34"/>
      <c r="BO20" s="34" t="s">
        <v>314</v>
      </c>
      <c r="BP20" s="20">
        <f>ifs(isblank(AX20),0,BH20="NR","NR",BH20="?","?",1,(AY20*vlookup(AX20,Ores[],2,FALSE)+if(isblank(AZ20),0,BA20*vlookup(AZ20,Ores[],2,FALSE))+if(isblank(BB20),0,BC20*vlookup(BB20,Ores[],2,FALSE))+if(isblank(BD20),0,BE20*vlookup(BD20,Ores[],2,FALSE))+if(isblank(BF20),0,BG20*vlookup(BF20,Ores[],2,FALSE)))/BH20)</f>
        <v>25.67</v>
      </c>
      <c r="BQ20" s="20">
        <f>ifs(isblank(AX20),0,BH20="NR","NR",BH20="?","?",1,(AY20*vlookup(AX20,Ores[],4,FALSE)+if(isblank(AZ20),0,BA20*vlookup(AZ20,Ores[],4,FALSE))+if(isblank(BB20),0,BC20*vlookup(BB20,Ores[],4,FALSE))+if(isblank(BD20),0,BE20*vlookup(BD20,Ores[],4,FALSE))+if(isblank(BF20),0,BG20*vlookup(BF20,Ores[],4,FALSE)))/BH20)</f>
        <v>4.46</v>
      </c>
      <c r="BR20" s="21">
        <f>ifs(isblank(AX20),0,BH20="NR","NR",BH20="?","?",1,(AY20*vlookup(AX20,Ores[],8,FALSE)+if(isblank(AZ20),0,BA20*vlookup(AZ20,Ores[],8,FALSE))+if(isblank(BB20),0,BC20*vlookup(BB20,Ores[],8,FALSE))+if(isblank(BD20),0,BE20*vlookup(BD20,Ores[],8,FALSE))+if(isblank(BF20),0,BG20*vlookup(BF20,Ores[],8,FALSE)))/BH20)</f>
        <v>0.1</v>
      </c>
      <c r="BS20" s="21">
        <f>ifs(isblank(AX20),0,BH20="NR","NR",BH20="?","?",1,(AY20*vlookup(AX20,Ores[],7,FALSE)+if(isblank(AZ20),0,BA20*vlookup(AZ20,Ores[],7,FALSE))+if(isblank(BB20),0,BC20*vlookup(BB20,Ores[],7,FALSE))+if(isblank(BD20),0,BE20*vlookup(BD20,Ores[],7,FALSE))+if(isblank(BF20),0,BG20*vlookup(BF20,Ores[],7,FALSE)))/BH20)</f>
        <v>0</v>
      </c>
      <c r="BT20" s="21">
        <f>ifs(isblank(AX20),0,BH20="NR","NR",BH20="?","?",1,(AY20*vlookup(AX20,Ores[],3,FALSE)+if(isblank(AZ20),0,BA20*vlookup(AZ20,Ores[],3,FALSE))+if(isblank(BB20),0,BC20*vlookup(BB20,Ores[],3,FALSE))+if(isblank(BD20),0,BE20*vlookup(BD20,Ores[],3,FALSE))+if(isblank(BF20),0,BG20*vlookup(BF20,Ores[],3,FALSE)))/BH20)</f>
        <v>0.88</v>
      </c>
      <c r="BU20" s="21">
        <f>ifs(isblank(AX20),0,BH20="NR","NR",BH20="?","?",1,(AY20*vlookup(AX20,Ores[],5,FALSE)+if(isblank(AZ20),0,BA20*vlookup(AZ20,Ores[],5,FALSE))+if(isblank(BB20),0,BC20*vlookup(BB20,Ores[],5,FALSE))+if(isblank(BD20),0,BE20*vlookup(BD20,Ores[],5,FALSE))+if(isblank(BF20),0,BG20*vlookup(BF20,Ores[],5,FALSE)))/BH20)</f>
        <v>0.6</v>
      </c>
      <c r="BV20" s="22" t="str">
        <f t="shared" si="7"/>
        <v>NR</v>
      </c>
      <c r="BW20" s="40">
        <v>35.0</v>
      </c>
      <c r="BX20" s="43">
        <v>40.9</v>
      </c>
      <c r="BY20" s="47"/>
      <c r="BZ20" s="56">
        <f t="shared" si="8"/>
        <v>16</v>
      </c>
      <c r="CA20" s="53">
        <f t="shared" si="9"/>
        <v>7.04</v>
      </c>
      <c r="CB20" s="41" t="s">
        <v>315</v>
      </c>
      <c r="CC20" s="43" t="s">
        <v>116</v>
      </c>
      <c r="CD20" s="28">
        <f t="shared" si="10"/>
        <v>7.04</v>
      </c>
      <c r="CE20" s="43">
        <f t="shared" si="11"/>
        <v>176</v>
      </c>
      <c r="CF20" s="41"/>
      <c r="CG20" s="43"/>
      <c r="CH20" s="43">
        <v>42.0</v>
      </c>
      <c r="CI20" s="41">
        <f>180+15+23</f>
        <v>218</v>
      </c>
      <c r="CJ20" s="43" t="s">
        <v>116</v>
      </c>
      <c r="CK20" s="43">
        <v>11.0</v>
      </c>
      <c r="CL20" s="53">
        <f>20/2.2</f>
        <v>9.090909091</v>
      </c>
      <c r="CM20" s="43">
        <v>4.0</v>
      </c>
      <c r="CN20" s="41">
        <f>55/2.2</f>
        <v>25</v>
      </c>
      <c r="CO20" s="43">
        <v>11.0</v>
      </c>
      <c r="CP20" s="53">
        <f>15/2.2</f>
        <v>6.818181818</v>
      </c>
      <c r="CQ20" s="43">
        <v>3.0</v>
      </c>
      <c r="CR20" s="43" t="s">
        <v>157</v>
      </c>
      <c r="CS20" s="53">
        <v>0.7</v>
      </c>
      <c r="CT20" s="43" t="s">
        <v>316</v>
      </c>
      <c r="CU20" s="27" t="s">
        <v>243</v>
      </c>
      <c r="CV20" s="29"/>
      <c r="CW20" s="30">
        <f t="shared" si="12"/>
        <v>0.07954545455</v>
      </c>
      <c r="CX20" s="31">
        <f t="shared" si="13"/>
        <v>0.1868389152</v>
      </c>
      <c r="CY20" s="41" t="s">
        <v>159</v>
      </c>
      <c r="CZ20" s="41"/>
      <c r="DA20" s="41" t="s">
        <v>264</v>
      </c>
      <c r="DB20" s="41" t="s">
        <v>317</v>
      </c>
      <c r="DC20" s="41" t="s">
        <v>318</v>
      </c>
      <c r="DD20" s="41"/>
      <c r="DE20" s="41"/>
      <c r="DF20" s="41"/>
      <c r="DG20" s="41"/>
      <c r="DH20" s="41"/>
      <c r="DI20" s="41"/>
      <c r="DJ20" s="41"/>
      <c r="DK20" s="41"/>
      <c r="DL20" s="41"/>
      <c r="DM20" s="45"/>
    </row>
    <row r="21" ht="21.75" customHeight="1">
      <c r="A21" s="33">
        <v>20.0</v>
      </c>
      <c r="B21" s="34" t="s">
        <v>310</v>
      </c>
      <c r="C21" s="34" t="s">
        <v>274</v>
      </c>
      <c r="D21" s="34" t="s">
        <v>311</v>
      </c>
      <c r="E21" s="35">
        <v>38999.0</v>
      </c>
      <c r="F21" s="34" t="s">
        <v>194</v>
      </c>
      <c r="G21" s="36" t="s">
        <v>110</v>
      </c>
      <c r="H21" s="34"/>
      <c r="I21" s="34" t="s">
        <v>250</v>
      </c>
      <c r="J21" s="34" t="s">
        <v>251</v>
      </c>
      <c r="K21" s="34"/>
      <c r="L21" s="34"/>
      <c r="M21" s="36" t="s">
        <v>114</v>
      </c>
      <c r="N21" s="36" t="s">
        <v>115</v>
      </c>
      <c r="O21" s="34">
        <f t="shared" si="1"/>
        <v>60</v>
      </c>
      <c r="P21" s="34">
        <f t="shared" si="2"/>
        <v>60</v>
      </c>
      <c r="Q21" s="36">
        <v>60.0</v>
      </c>
      <c r="R21" s="34"/>
      <c r="S21" s="34">
        <v>40.0</v>
      </c>
      <c r="T21" s="34" t="s">
        <v>252</v>
      </c>
      <c r="U21" s="36">
        <v>25.0</v>
      </c>
      <c r="V21" s="36">
        <v>25.0</v>
      </c>
      <c r="W21" s="34"/>
      <c r="X21" s="34"/>
      <c r="Y21" s="34"/>
      <c r="Z21" s="34"/>
      <c r="AA21" s="37">
        <f>Calcs!O21</f>
        <v>625</v>
      </c>
      <c r="AB21" s="34">
        <v>2.5</v>
      </c>
      <c r="AC21" s="34" t="s">
        <v>222</v>
      </c>
      <c r="AD21" s="34" t="s">
        <v>253</v>
      </c>
      <c r="AE21" s="34">
        <v>2.5</v>
      </c>
      <c r="AF21" s="36" t="s">
        <v>123</v>
      </c>
      <c r="AG21" s="36">
        <v>20.0</v>
      </c>
      <c r="AH21" s="36" t="s">
        <v>170</v>
      </c>
      <c r="AI21" s="36" t="s">
        <v>123</v>
      </c>
      <c r="AJ21" s="34">
        <v>5.0</v>
      </c>
      <c r="AK21" s="36" t="s">
        <v>123</v>
      </c>
      <c r="AL21" s="34" t="s">
        <v>184</v>
      </c>
      <c r="AM21" s="34"/>
      <c r="AN21" s="36" t="s">
        <v>116</v>
      </c>
      <c r="AO21" s="36">
        <v>15.0</v>
      </c>
      <c r="AP21" s="36" t="s">
        <v>123</v>
      </c>
      <c r="AQ21" s="34" t="s">
        <v>254</v>
      </c>
      <c r="AR21" s="36"/>
      <c r="AS21" s="36">
        <v>1000.0</v>
      </c>
      <c r="AT21" s="14" t="str">
        <f t="shared" si="3"/>
        <v/>
      </c>
      <c r="AU21" s="16" t="s">
        <v>123</v>
      </c>
      <c r="AV21" s="38"/>
      <c r="AW21" s="17">
        <f t="shared" si="4"/>
        <v>750</v>
      </c>
      <c r="AX21" s="36" t="s">
        <v>155</v>
      </c>
      <c r="AY21" s="36">
        <v>45.5</v>
      </c>
      <c r="AZ21" s="36"/>
      <c r="BA21" s="36"/>
      <c r="BB21" s="36"/>
      <c r="BC21" s="36"/>
      <c r="BD21" s="34"/>
      <c r="BE21" s="34"/>
      <c r="BF21" s="34"/>
      <c r="BG21" s="34"/>
      <c r="BH21" s="18">
        <f t="shared" si="5"/>
        <v>45.5</v>
      </c>
      <c r="BI21" s="19">
        <f>ifs(BH21=0,"na",BH21="NR","NR",BH21="?","?",BK21&gt;0,"?",iserror(Calcs!AB21),"?",1,Calcs!AB21)</f>
        <v>0.58</v>
      </c>
      <c r="BJ21" s="34" t="s">
        <v>125</v>
      </c>
      <c r="BK21" s="34"/>
      <c r="BL21" s="18">
        <f t="shared" si="6"/>
        <v>45.5</v>
      </c>
      <c r="BM21" s="34"/>
      <c r="BN21" s="34"/>
      <c r="BO21" s="34" t="s">
        <v>173</v>
      </c>
      <c r="BP21" s="20">
        <f>ifs(isblank(AX21),0,BH21="NR","NR",BH21="?","?",1,(AY21*vlookup(AX21,Ores[],2,FALSE)+if(isblank(AZ21),0,BA21*vlookup(AZ21,Ores[],2,FALSE))+if(isblank(BB21),0,BC21*vlookup(BB21,Ores[],2,FALSE))+if(isblank(BD21),0,BE21*vlookup(BD21,Ores[],2,FALSE))+if(isblank(BF21),0,BG21*vlookup(BF21,Ores[],2,FALSE)))/BH21)</f>
        <v>8.73</v>
      </c>
      <c r="BQ21" s="20">
        <f>ifs(isblank(AX21),0,BH21="NR","NR",BH21="?","?",1,(AY21*vlookup(AX21,Ores[],4,FALSE)+if(isblank(AZ21),0,BA21*vlookup(AZ21,Ores[],4,FALSE))+if(isblank(BB21),0,BC21*vlookup(BB21,Ores[],4,FALSE))+if(isblank(BD21),0,BE21*vlookup(BD21,Ores[],4,FALSE))+if(isblank(BF21),0,BG21*vlookup(BF21,Ores[],4,FALSE)))/BH21)</f>
        <v>2.04</v>
      </c>
      <c r="BR21" s="21">
        <f>ifs(isblank(AX21),0,BH21="NR","NR",BH21="?","?",1,(AY21*vlookup(AX21,Ores[],8,FALSE)+if(isblank(AZ21),0,BA21*vlookup(AZ21,Ores[],8,FALSE))+if(isblank(BB21),0,BC21*vlookup(BB21,Ores[],8,FALSE))+if(isblank(BD21),0,BE21*vlookup(BD21,Ores[],8,FALSE))+if(isblank(BF21),0,BG21*vlookup(BF21,Ores[],8,FALSE)))/BH21)</f>
        <v>4.02</v>
      </c>
      <c r="BS21" s="21">
        <f>ifs(isblank(AX21),0,BH21="NR","NR",BH21="?","?",1,(AY21*vlookup(AX21,Ores[],7,FALSE)+if(isblank(AZ21),0,BA21*vlookup(AZ21,Ores[],7,FALSE))+if(isblank(BB21),0,BC21*vlookup(BB21,Ores[],7,FALSE))+if(isblank(BD21),0,BE21*vlookup(BD21,Ores[],7,FALSE))+if(isblank(BF21),0,BG21*vlookup(BF21,Ores[],7,FALSE)))/BH21)</f>
        <v>0</v>
      </c>
      <c r="BT21" s="21">
        <f>ifs(isblank(AX21),0,BH21="NR","NR",BH21="?","?",1,(AY21*vlookup(AX21,Ores[],3,FALSE)+if(isblank(AZ21),0,BA21*vlookup(AZ21,Ores[],3,FALSE))+if(isblank(BB21),0,BC21*vlookup(BB21,Ores[],3,FALSE))+if(isblank(BD21),0,BE21*vlookup(BD21,Ores[],3,FALSE))+if(isblank(BF21),0,BG21*vlookup(BF21,Ores[],3,FALSE)))/BH21)</f>
        <v>0</v>
      </c>
      <c r="BU21" s="21">
        <f>ifs(isblank(AX21),0,BH21="NR","NR",BH21="?","?",1,(AY21*vlookup(AX21,Ores[],5,FALSE)+if(isblank(AZ21),0,BA21*vlookup(AZ21,Ores[],5,FALSE))+if(isblank(BB21),0,BC21*vlookup(BB21,Ores[],5,FALSE))+if(isblank(BD21),0,BE21*vlookup(BD21,Ores[],5,FALSE))+if(isblank(BF21),0,BG21*vlookup(BF21,Ores[],5,FALSE)))/BH21)</f>
        <v>0.4</v>
      </c>
      <c r="BV21" s="22" t="str">
        <f t="shared" si="7"/>
        <v>NR</v>
      </c>
      <c r="BW21" s="40">
        <v>35.0</v>
      </c>
      <c r="BX21" s="44">
        <v>58.18</v>
      </c>
      <c r="BY21" s="47"/>
      <c r="BZ21" s="56">
        <f t="shared" si="8"/>
        <v>8.909090909</v>
      </c>
      <c r="CA21" s="53">
        <f t="shared" si="9"/>
        <v>4.9</v>
      </c>
      <c r="CB21" s="41" t="s">
        <v>315</v>
      </c>
      <c r="CC21" s="43" t="s">
        <v>116</v>
      </c>
      <c r="CD21" s="28">
        <f t="shared" si="10"/>
        <v>4.9</v>
      </c>
      <c r="CE21" s="43">
        <f t="shared" si="11"/>
        <v>196</v>
      </c>
      <c r="CF21" s="41"/>
      <c r="CG21" s="43"/>
      <c r="CH21" s="43">
        <v>31.0</v>
      </c>
      <c r="CI21" s="43">
        <v>227.0</v>
      </c>
      <c r="CJ21" s="43" t="s">
        <v>116</v>
      </c>
      <c r="CK21" s="43">
        <v>22.0</v>
      </c>
      <c r="CL21" s="53">
        <f>24/2.2</f>
        <v>10.90909091</v>
      </c>
      <c r="CM21" s="43">
        <v>6.0</v>
      </c>
      <c r="CN21" s="53">
        <f>88/2.2</f>
        <v>40</v>
      </c>
      <c r="CO21" s="43">
        <v>22.0</v>
      </c>
      <c r="CP21" s="53">
        <f>16/2.2</f>
        <v>7.272727273</v>
      </c>
      <c r="CQ21" s="43">
        <v>4.0</v>
      </c>
      <c r="CR21" s="41" t="s">
        <v>257</v>
      </c>
      <c r="CS21" s="53" t="s">
        <v>116</v>
      </c>
      <c r="CT21" s="43" t="s">
        <v>234</v>
      </c>
      <c r="CU21" s="30"/>
      <c r="CV21" s="29"/>
      <c r="CW21" s="30" t="str">
        <f t="shared" si="12"/>
        <v>NR</v>
      </c>
      <c r="CX21" s="31" t="str">
        <f t="shared" si="13"/>
        <v>NR</v>
      </c>
      <c r="CY21" s="41" t="s">
        <v>159</v>
      </c>
      <c r="CZ21" s="41"/>
      <c r="DA21" s="41" t="s">
        <v>264</v>
      </c>
      <c r="DB21" s="41" t="s">
        <v>319</v>
      </c>
      <c r="DC21" s="41" t="s">
        <v>320</v>
      </c>
      <c r="DD21" s="41"/>
      <c r="DE21" s="41"/>
      <c r="DF21" s="41"/>
      <c r="DG21" s="41"/>
      <c r="DH21" s="41"/>
      <c r="DI21" s="41"/>
      <c r="DJ21" s="41"/>
      <c r="DK21" s="41"/>
      <c r="DL21" s="41"/>
      <c r="DM21" s="45"/>
    </row>
    <row r="22" ht="21.75" customHeight="1">
      <c r="A22" s="33" t="s">
        <v>321</v>
      </c>
      <c r="B22" s="34" t="s">
        <v>322</v>
      </c>
      <c r="C22" s="34" t="s">
        <v>137</v>
      </c>
      <c r="D22" s="34" t="s">
        <v>138</v>
      </c>
      <c r="E22" s="35">
        <v>39026.0</v>
      </c>
      <c r="F22" s="34" t="s">
        <v>109</v>
      </c>
      <c r="G22" s="36" t="s">
        <v>110</v>
      </c>
      <c r="H22" s="34"/>
      <c r="I22" s="34" t="s">
        <v>293</v>
      </c>
      <c r="J22" s="36" t="s">
        <v>276</v>
      </c>
      <c r="K22" s="36">
        <v>2.0</v>
      </c>
      <c r="L22" s="36">
        <v>19.0</v>
      </c>
      <c r="M22" s="36" t="s">
        <v>150</v>
      </c>
      <c r="N22" s="36" t="s">
        <v>168</v>
      </c>
      <c r="O22" s="34">
        <f t="shared" si="1"/>
        <v>90</v>
      </c>
      <c r="P22" s="34">
        <f t="shared" si="2"/>
        <v>90</v>
      </c>
      <c r="Q22" s="36">
        <v>60.0</v>
      </c>
      <c r="R22" s="36">
        <v>30.0</v>
      </c>
      <c r="S22" s="34">
        <v>75.0</v>
      </c>
      <c r="T22" s="34">
        <v>50.0</v>
      </c>
      <c r="U22" s="34">
        <v>23.0</v>
      </c>
      <c r="V22" s="34"/>
      <c r="W22" s="34"/>
      <c r="X22" s="34"/>
      <c r="Y22" s="34"/>
      <c r="Z22" s="34"/>
      <c r="AA22" s="37">
        <f>Calcs!O22</f>
        <v>415.5</v>
      </c>
      <c r="AB22" s="34">
        <v>7.5</v>
      </c>
      <c r="AC22" s="34" t="s">
        <v>294</v>
      </c>
      <c r="AD22" s="34" t="s">
        <v>262</v>
      </c>
      <c r="AE22" s="34">
        <v>2.5</v>
      </c>
      <c r="AF22" s="36"/>
      <c r="AG22" s="36">
        <v>20.0</v>
      </c>
      <c r="AH22" s="36" t="s">
        <v>170</v>
      </c>
      <c r="AI22" s="34"/>
      <c r="AJ22" s="34">
        <v>5.0</v>
      </c>
      <c r="AK22" s="34"/>
      <c r="AL22" s="34" t="s">
        <v>121</v>
      </c>
      <c r="AM22" s="34"/>
      <c r="AN22" s="36">
        <v>10.0</v>
      </c>
      <c r="AO22" s="34">
        <v>10.0</v>
      </c>
      <c r="AP22" s="34"/>
      <c r="AQ22" s="36" t="s">
        <v>154</v>
      </c>
      <c r="AR22" s="34"/>
      <c r="AS22" s="34">
        <v>1060.0</v>
      </c>
      <c r="AT22" s="14" t="str">
        <f t="shared" si="3"/>
        <v/>
      </c>
      <c r="AU22" s="12"/>
      <c r="AV22" s="38"/>
      <c r="AW22" s="17">
        <f t="shared" si="4"/>
        <v>498.6</v>
      </c>
      <c r="AX22" s="36" t="s">
        <v>155</v>
      </c>
      <c r="AY22" s="36">
        <v>23.5</v>
      </c>
      <c r="AZ22" s="36"/>
      <c r="BA22" s="36"/>
      <c r="BB22" s="36"/>
      <c r="BC22" s="36"/>
      <c r="BD22" s="34"/>
      <c r="BE22" s="34"/>
      <c r="BF22" s="34"/>
      <c r="BG22" s="34"/>
      <c r="BH22" s="18">
        <f t="shared" si="5"/>
        <v>23.5</v>
      </c>
      <c r="BI22" s="19">
        <f>ifs(BH22=0,"na",BH22="NR","NR",BH22="?","?",BK22&gt;0,"?",iserror(Calcs!AB22),"?",1,Calcs!AB22)</f>
        <v>0.58</v>
      </c>
      <c r="BJ22" s="34" t="s">
        <v>125</v>
      </c>
      <c r="BK22" s="34"/>
      <c r="BL22" s="18">
        <f t="shared" si="6"/>
        <v>23.5</v>
      </c>
      <c r="BM22" s="34"/>
      <c r="BN22" s="34"/>
      <c r="BO22" s="34" t="s">
        <v>173</v>
      </c>
      <c r="BP22" s="20">
        <f>ifs(isblank(AX22),0,BH22="NR","NR",BH22="?","?",1,(AY22*vlookup(AX22,Ores[],2,FALSE)+if(isblank(AZ22),0,BA22*vlookup(AZ22,Ores[],2,FALSE))+if(isblank(BB22),0,BC22*vlookup(BB22,Ores[],2,FALSE))+if(isblank(BD22),0,BE22*vlookup(BD22,Ores[],2,FALSE))+if(isblank(BF22),0,BG22*vlookup(BF22,Ores[],2,FALSE)))/BH22)</f>
        <v>8.73</v>
      </c>
      <c r="BQ22" s="20">
        <f>ifs(isblank(AX22),0,BH22="NR","NR",BH22="?","?",1,(AY22*vlookup(AX22,Ores[],4,FALSE)+if(isblank(AZ22),0,BA22*vlookup(AZ22,Ores[],4,FALSE))+if(isblank(BB22),0,BC22*vlookup(BB22,Ores[],4,FALSE))+if(isblank(BD22),0,BE22*vlookup(BD22,Ores[],4,FALSE))+if(isblank(BF22),0,BG22*vlookup(BF22,Ores[],4,FALSE)))/BH22)</f>
        <v>2.04</v>
      </c>
      <c r="BR22" s="21">
        <f>ifs(isblank(AX22),0,BH22="NR","NR",BH22="?","?",1,(AY22*vlookup(AX22,Ores[],8,FALSE)+if(isblank(AZ22),0,BA22*vlookup(AZ22,Ores[],8,FALSE))+if(isblank(BB22),0,BC22*vlookup(BB22,Ores[],8,FALSE))+if(isblank(BD22),0,BE22*vlookup(BD22,Ores[],8,FALSE))+if(isblank(BF22),0,BG22*vlookup(BF22,Ores[],8,FALSE)))/BH22)</f>
        <v>4.02</v>
      </c>
      <c r="BS22" s="21">
        <f>ifs(isblank(AX22),0,BH22="NR","NR",BH22="?","?",1,(AY22*vlookup(AX22,Ores[],7,FALSE)+if(isblank(AZ22),0,BA22*vlookup(AZ22,Ores[],7,FALSE))+if(isblank(BB22),0,BC22*vlookup(BB22,Ores[],7,FALSE))+if(isblank(BD22),0,BE22*vlookup(BD22,Ores[],7,FALSE))+if(isblank(BF22),0,BG22*vlookup(BF22,Ores[],7,FALSE)))/BH22)</f>
        <v>0</v>
      </c>
      <c r="BT22" s="21">
        <f>ifs(isblank(AX22),0,BH22="NR","NR",BH22="?","?",1,(AY22*vlookup(AX22,Ores[],3,FALSE)+if(isblank(AZ22),0,BA22*vlookup(AZ22,Ores[],3,FALSE))+if(isblank(BB22),0,BC22*vlookup(BB22,Ores[],3,FALSE))+if(isblank(BD22),0,BE22*vlookup(BD22,Ores[],3,FALSE))+if(isblank(BF22),0,BG22*vlookup(BF22,Ores[],3,FALSE)))/BH22)</f>
        <v>0</v>
      </c>
      <c r="BU22" s="21">
        <f>ifs(isblank(AX22),0,BH22="NR","NR",BH22="?","?",1,(AY22*vlookup(AX22,Ores[],5,FALSE)+if(isblank(AZ22),0,BA22*vlookup(AZ22,Ores[],5,FALSE))+if(isblank(BB22),0,BC22*vlookup(BB22,Ores[],5,FALSE))+if(isblank(BD22),0,BE22*vlookup(BD22,Ores[],5,FALSE))+if(isblank(BF22),0,BG22*vlookup(BF22,Ores[],5,FALSE)))/BH22)</f>
        <v>0.4</v>
      </c>
      <c r="BV22" s="22">
        <f t="shared" si="7"/>
        <v>8.368421053</v>
      </c>
      <c r="BW22" s="40">
        <v>40.0</v>
      </c>
      <c r="BX22" s="43">
        <v>19.0</v>
      </c>
      <c r="BY22" s="47"/>
      <c r="BZ22" s="56">
        <f t="shared" si="8"/>
        <v>6.363636364</v>
      </c>
      <c r="CA22" s="53">
        <f t="shared" si="9"/>
        <v>6.363636364</v>
      </c>
      <c r="CB22" s="43" t="s">
        <v>127</v>
      </c>
      <c r="CC22" s="41" t="s">
        <v>128</v>
      </c>
      <c r="CD22" s="28">
        <f t="shared" si="10"/>
        <v>6.363636364</v>
      </c>
      <c r="CE22" s="43">
        <f t="shared" si="11"/>
        <v>70</v>
      </c>
      <c r="CF22" s="41"/>
      <c r="CG22" s="43"/>
      <c r="CH22" s="43">
        <v>37.0</v>
      </c>
      <c r="CI22" s="43">
        <v>107.0</v>
      </c>
      <c r="CJ22" s="43">
        <v>159.0</v>
      </c>
      <c r="CK22" s="43">
        <v>11.0</v>
      </c>
      <c r="CL22" s="43">
        <v>5.0</v>
      </c>
      <c r="CM22" s="43">
        <v>5.0</v>
      </c>
      <c r="CN22" s="43">
        <v>11.0</v>
      </c>
      <c r="CO22" s="43">
        <v>11.0</v>
      </c>
      <c r="CP22" s="43">
        <v>3.0</v>
      </c>
      <c r="CQ22" s="43">
        <v>3.0</v>
      </c>
      <c r="CR22" s="41" t="s">
        <v>129</v>
      </c>
      <c r="CS22" s="44">
        <v>0.0</v>
      </c>
      <c r="CT22" s="41" t="s">
        <v>323</v>
      </c>
      <c r="CU22" s="30"/>
      <c r="CV22" s="29"/>
      <c r="CW22" s="30" t="str">
        <f t="shared" si="12"/>
        <v>na</v>
      </c>
      <c r="CX22" s="31" t="str">
        <f t="shared" si="13"/>
        <v>na</v>
      </c>
      <c r="CY22" s="41" t="s">
        <v>159</v>
      </c>
      <c r="CZ22" s="41"/>
      <c r="DA22" s="41" t="s">
        <v>264</v>
      </c>
      <c r="DB22" s="41" t="s">
        <v>319</v>
      </c>
      <c r="DC22" s="41" t="s">
        <v>324</v>
      </c>
      <c r="DD22" s="41"/>
      <c r="DE22" s="41"/>
      <c r="DF22" s="41"/>
      <c r="DG22" s="41"/>
      <c r="DH22" s="41"/>
      <c r="DI22" s="41"/>
      <c r="DJ22" s="41"/>
      <c r="DK22" s="41"/>
      <c r="DL22" s="41"/>
      <c r="DM22" s="45"/>
    </row>
    <row r="23" ht="21.75" customHeight="1">
      <c r="A23" s="62">
        <v>22.0</v>
      </c>
      <c r="B23" s="67" t="s">
        <v>325</v>
      </c>
      <c r="C23" s="34"/>
      <c r="D23" s="34" t="s">
        <v>138</v>
      </c>
      <c r="E23" s="35">
        <v>39027.0</v>
      </c>
      <c r="F23" s="34" t="s">
        <v>109</v>
      </c>
      <c r="G23" s="36" t="s">
        <v>110</v>
      </c>
      <c r="H23" s="34"/>
      <c r="I23" s="34" t="s">
        <v>293</v>
      </c>
      <c r="J23" s="36" t="s">
        <v>276</v>
      </c>
      <c r="K23" s="36">
        <v>3.0</v>
      </c>
      <c r="L23" s="36">
        <v>19.0</v>
      </c>
      <c r="M23" s="36" t="s">
        <v>150</v>
      </c>
      <c r="N23" s="36" t="s">
        <v>168</v>
      </c>
      <c r="O23" s="34">
        <f t="shared" si="1"/>
        <v>90</v>
      </c>
      <c r="P23" s="34">
        <f t="shared" si="2"/>
        <v>90</v>
      </c>
      <c r="Q23" s="36">
        <v>60.0</v>
      </c>
      <c r="R23" s="36">
        <v>30.0</v>
      </c>
      <c r="S23" s="34">
        <v>75.0</v>
      </c>
      <c r="T23" s="34">
        <v>50.0</v>
      </c>
      <c r="U23" s="34">
        <v>23.0</v>
      </c>
      <c r="V23" s="34"/>
      <c r="W23" s="34"/>
      <c r="X23" s="34"/>
      <c r="Y23" s="34"/>
      <c r="Z23" s="34"/>
      <c r="AA23" s="37">
        <f>Calcs!O23</f>
        <v>415.5</v>
      </c>
      <c r="AB23" s="34">
        <v>7.5</v>
      </c>
      <c r="AC23" s="34" t="s">
        <v>294</v>
      </c>
      <c r="AD23" s="34" t="s">
        <v>262</v>
      </c>
      <c r="AE23" s="34">
        <v>2.5</v>
      </c>
      <c r="AF23" s="36"/>
      <c r="AG23" s="36">
        <v>20.0</v>
      </c>
      <c r="AH23" s="36" t="s">
        <v>170</v>
      </c>
      <c r="AI23" s="34"/>
      <c r="AJ23" s="34">
        <v>5.0</v>
      </c>
      <c r="AK23" s="34"/>
      <c r="AL23" s="34" t="s">
        <v>121</v>
      </c>
      <c r="AM23" s="34"/>
      <c r="AN23" s="36">
        <v>25.0</v>
      </c>
      <c r="AO23" s="34">
        <v>10.0</v>
      </c>
      <c r="AP23" s="34"/>
      <c r="AQ23" s="36" t="s">
        <v>154</v>
      </c>
      <c r="AR23" s="34"/>
      <c r="AS23" s="34">
        <v>1060.0</v>
      </c>
      <c r="AT23" s="14" t="str">
        <f t="shared" si="3"/>
        <v/>
      </c>
      <c r="AU23" s="12"/>
      <c r="AV23" s="38"/>
      <c r="AW23" s="17">
        <f t="shared" si="4"/>
        <v>498.6</v>
      </c>
      <c r="AX23" s="39" t="s">
        <v>295</v>
      </c>
      <c r="AY23" s="36">
        <v>8.9</v>
      </c>
      <c r="AZ23" s="36"/>
      <c r="BA23" s="36"/>
      <c r="BB23" s="36"/>
      <c r="BC23" s="36"/>
      <c r="BD23" s="34"/>
      <c r="BE23" s="34"/>
      <c r="BF23" s="34"/>
      <c r="BG23" s="34"/>
      <c r="BH23" s="18">
        <f t="shared" si="5"/>
        <v>8.9</v>
      </c>
      <c r="BI23" s="19" t="str">
        <f>ifs(BH23=0,"na",BH23="NR","NR",BH23="?","?",BK23&gt;0,"?",iserror(Calcs!AB23),"?",1,Calcs!AB23)</f>
        <v>?</v>
      </c>
      <c r="BJ23" s="34" t="s">
        <v>125</v>
      </c>
      <c r="BK23" s="36">
        <v>10.2</v>
      </c>
      <c r="BL23" s="18">
        <f t="shared" si="6"/>
        <v>19.1</v>
      </c>
      <c r="BM23" s="34"/>
      <c r="BN23" s="36" t="s">
        <v>123</v>
      </c>
      <c r="BO23" s="34" t="s">
        <v>326</v>
      </c>
      <c r="BP23" s="20">
        <f>ifs(isblank(AX23),0,BH23="NR","NR",BH23="?","?",1,(AY23*vlookup(AX23,Ores[],2,FALSE)+if(isblank(AZ23),0,BA23*vlookup(AZ23,Ores[],2,FALSE))+if(isblank(BB23),0,BC23*vlookup(BB23,Ores[],2,FALSE))+if(isblank(BD23),0,BE23*vlookup(BD23,Ores[],2,FALSE))+if(isblank(BF23),0,BG23*vlookup(BF23,Ores[],2,FALSE)))/BH23)</f>
        <v>15.01</v>
      </c>
      <c r="BQ23" s="20">
        <f>ifs(isblank(AX23),0,BH23="NR","NR",BH23="?","?",1,(AY23*vlookup(AX23,Ores[],4,FALSE)+if(isblank(AZ23),0,BA23*vlookup(AZ23,Ores[],4,FALSE))+if(isblank(BB23),0,BC23*vlookup(BB23,Ores[],4,FALSE))+if(isblank(BD23),0,BE23*vlookup(BD23,Ores[],4,FALSE))+if(isblank(BF23),0,BG23*vlookup(BF23,Ores[],4,FALSE)))/BH23)</f>
        <v>4.93</v>
      </c>
      <c r="BR23" s="21">
        <f>ifs(isblank(AX23),0,BH23="NR","NR",BH23="?","?",1,(AY23*vlookup(AX23,Ores[],8,FALSE)+if(isblank(AZ23),0,BA23*vlookup(AZ23,Ores[],8,FALSE))+if(isblank(BB23),0,BC23*vlookup(BB23,Ores[],8,FALSE))+if(isblank(BD23),0,BE23*vlookup(BD23,Ores[],8,FALSE))+if(isblank(BF23),0,BG23*vlookup(BF23,Ores[],8,FALSE)))/BH23)</f>
        <v>2.35</v>
      </c>
      <c r="BS23" s="21">
        <f>ifs(isblank(AX23),0,BH23="NR","NR",BH23="?","?",1,(AY23*vlookup(AX23,Ores[],7,FALSE)+if(isblank(AZ23),0,BA23*vlookup(AZ23,Ores[],7,FALSE))+if(isblank(BB23),0,BC23*vlookup(BB23,Ores[],7,FALSE))+if(isblank(BD23),0,BE23*vlookup(BD23,Ores[],7,FALSE))+if(isblank(BF23),0,BG23*vlookup(BF23,Ores[],7,FALSE)))/BH23)</f>
        <v>0</v>
      </c>
      <c r="BT23" s="21">
        <f>ifs(isblank(AX23),0,BH23="NR","NR",BH23="?","?",1,(AY23*vlookup(AX23,Ores[],3,FALSE)+if(isblank(AZ23),0,BA23*vlookup(AZ23,Ores[],3,FALSE))+if(isblank(BB23),0,BC23*vlookup(BB23,Ores[],3,FALSE))+if(isblank(BD23),0,BE23*vlookup(BD23,Ores[],3,FALSE))+if(isblank(BF23),0,BG23*vlookup(BF23,Ores[],3,FALSE)))/BH23)</f>
        <v>0.33</v>
      </c>
      <c r="BU23" s="21">
        <f>ifs(isblank(AX23),0,BH23="NR","NR",BH23="?","?",1,(AY23*vlookup(AX23,Ores[],5,FALSE)+if(isblank(AZ23),0,BA23*vlookup(AZ23,Ores[],5,FALSE))+if(isblank(BB23),0,BC23*vlookup(BB23,Ores[],5,FALSE))+if(isblank(BD23),0,BE23*vlookup(BD23,Ores[],5,FALSE))+if(isblank(BF23),0,BG23*vlookup(BF23,Ores[],5,FALSE)))/BH23)</f>
        <v>3.87</v>
      </c>
      <c r="BV23" s="22">
        <f t="shared" si="7"/>
        <v>4.007858546</v>
      </c>
      <c r="BW23" s="40">
        <v>45.0</v>
      </c>
      <c r="BX23" s="43">
        <v>50.9</v>
      </c>
      <c r="BY23" s="47"/>
      <c r="BZ23" s="56">
        <f t="shared" si="8"/>
        <v>6.578947368</v>
      </c>
      <c r="CA23" s="53">
        <f t="shared" si="9"/>
        <v>3.618421053</v>
      </c>
      <c r="CB23" s="43" t="s">
        <v>127</v>
      </c>
      <c r="CC23" s="41" t="s">
        <v>327</v>
      </c>
      <c r="CD23" s="28">
        <f t="shared" si="10"/>
        <v>3.618421053</v>
      </c>
      <c r="CE23" s="43">
        <f t="shared" si="11"/>
        <v>125</v>
      </c>
      <c r="CF23" s="41"/>
      <c r="CG23" s="43"/>
      <c r="CH23" s="43">
        <v>27.0</v>
      </c>
      <c r="CI23" s="43">
        <v>152.0</v>
      </c>
      <c r="CJ23" s="43">
        <v>204.0</v>
      </c>
      <c r="CK23" s="43">
        <v>17.0</v>
      </c>
      <c r="CL23" s="53">
        <f t="shared" ref="CL23:CL25" si="17">20/2.2</f>
        <v>9.090909091</v>
      </c>
      <c r="CM23" s="43">
        <v>5.0</v>
      </c>
      <c r="CN23" s="53">
        <f>76/2.2</f>
        <v>34.54545455</v>
      </c>
      <c r="CO23" s="43">
        <v>19.0</v>
      </c>
      <c r="CP23" s="53">
        <f>16/2.2</f>
        <v>7.272727273</v>
      </c>
      <c r="CQ23" s="43">
        <v>4.0</v>
      </c>
      <c r="CR23" s="41" t="s">
        <v>129</v>
      </c>
      <c r="CS23" s="53">
        <v>6.8</v>
      </c>
      <c r="CT23" s="43" t="s">
        <v>234</v>
      </c>
      <c r="CU23" s="30"/>
      <c r="CV23" s="58">
        <v>5.53</v>
      </c>
      <c r="CW23" s="30">
        <f t="shared" si="12"/>
        <v>0.3560209424</v>
      </c>
      <c r="CX23" s="27" t="s">
        <v>140</v>
      </c>
      <c r="CY23" s="41" t="s">
        <v>159</v>
      </c>
      <c r="CZ23" s="41"/>
      <c r="DA23" s="41" t="s">
        <v>264</v>
      </c>
      <c r="DB23" s="41" t="s">
        <v>328</v>
      </c>
      <c r="DC23" s="41" t="s">
        <v>329</v>
      </c>
      <c r="DD23" s="41"/>
      <c r="DE23" s="41"/>
      <c r="DF23" s="41"/>
      <c r="DG23" s="41"/>
      <c r="DH23" s="41"/>
      <c r="DI23" s="41"/>
      <c r="DJ23" s="41"/>
      <c r="DK23" s="41"/>
      <c r="DL23" s="41"/>
      <c r="DM23" s="45"/>
    </row>
    <row r="24" ht="21.75" customHeight="1">
      <c r="A24" s="33">
        <v>23.0</v>
      </c>
      <c r="B24" s="34" t="s">
        <v>330</v>
      </c>
      <c r="C24" s="34" t="s">
        <v>331</v>
      </c>
      <c r="D24" s="34" t="s">
        <v>138</v>
      </c>
      <c r="E24" s="35">
        <v>39235.0</v>
      </c>
      <c r="F24" s="36" t="s">
        <v>194</v>
      </c>
      <c r="G24" s="36" t="s">
        <v>110</v>
      </c>
      <c r="H24" s="36" t="s">
        <v>249</v>
      </c>
      <c r="I24" s="34" t="s">
        <v>195</v>
      </c>
      <c r="J24" s="36" t="s">
        <v>206</v>
      </c>
      <c r="K24" s="34"/>
      <c r="L24" s="34"/>
      <c r="M24" s="51" t="s">
        <v>332</v>
      </c>
      <c r="N24" s="51" t="s">
        <v>168</v>
      </c>
      <c r="O24" s="34">
        <f t="shared" si="1"/>
        <v>60</v>
      </c>
      <c r="P24" s="34">
        <f t="shared" si="2"/>
        <v>60</v>
      </c>
      <c r="Q24" s="36">
        <v>60.0</v>
      </c>
      <c r="R24" s="34"/>
      <c r="S24" s="34">
        <v>40.0</v>
      </c>
      <c r="T24" s="34">
        <v>50.0</v>
      </c>
      <c r="U24" s="34">
        <v>25.0</v>
      </c>
      <c r="V24" s="34"/>
      <c r="W24" s="34"/>
      <c r="X24" s="34"/>
      <c r="Y24" s="34"/>
      <c r="Z24" s="34"/>
      <c r="AA24" s="37">
        <f>Calcs!O24</f>
        <v>541.3</v>
      </c>
      <c r="AB24" s="34" t="s">
        <v>198</v>
      </c>
      <c r="AC24" s="34" t="s">
        <v>270</v>
      </c>
      <c r="AD24" s="34" t="s">
        <v>262</v>
      </c>
      <c r="AE24" s="34">
        <v>2.5</v>
      </c>
      <c r="AF24" s="36"/>
      <c r="AG24" s="36">
        <v>20.0</v>
      </c>
      <c r="AH24" s="36" t="s">
        <v>170</v>
      </c>
      <c r="AI24" s="34"/>
      <c r="AJ24" s="34">
        <v>5.0</v>
      </c>
      <c r="AK24" s="34"/>
      <c r="AL24" s="34" t="s">
        <v>184</v>
      </c>
      <c r="AM24" s="34"/>
      <c r="AN24" s="36" t="s">
        <v>116</v>
      </c>
      <c r="AO24" s="36">
        <v>15.0</v>
      </c>
      <c r="AP24" s="36" t="s">
        <v>123</v>
      </c>
      <c r="AQ24" s="36" t="s">
        <v>154</v>
      </c>
      <c r="AR24" s="34"/>
      <c r="AS24" s="34">
        <v>800.0</v>
      </c>
      <c r="AT24" s="14" t="str">
        <f t="shared" si="3"/>
        <v/>
      </c>
      <c r="AU24" s="12"/>
      <c r="AV24" s="38"/>
      <c r="AW24" s="17">
        <f t="shared" si="4"/>
        <v>649.56</v>
      </c>
      <c r="AX24" s="39" t="s">
        <v>281</v>
      </c>
      <c r="AY24" s="36">
        <v>22.3</v>
      </c>
      <c r="AZ24" s="34"/>
      <c r="BA24" s="34"/>
      <c r="BB24" s="34"/>
      <c r="BC24" s="34"/>
      <c r="BD24" s="34"/>
      <c r="BE24" s="34"/>
      <c r="BF24" s="34"/>
      <c r="BG24" s="34"/>
      <c r="BH24" s="18">
        <f t="shared" si="5"/>
        <v>22.3</v>
      </c>
      <c r="BI24" s="19">
        <f>ifs(BH24=0,"na",BH24="NR","NR",BH24="?","?",BK24&gt;0,"?",iserror(Calcs!AB24),"?",1,Calcs!AB24)</f>
        <v>0.6867011216</v>
      </c>
      <c r="BJ24" s="36" t="s">
        <v>282</v>
      </c>
      <c r="BK24" s="34"/>
      <c r="BL24" s="18">
        <f t="shared" si="6"/>
        <v>22.3</v>
      </c>
      <c r="BM24" s="34"/>
      <c r="BN24" s="34"/>
      <c r="BO24" s="34">
        <v>1.0</v>
      </c>
      <c r="BP24" s="20">
        <f>ifs(isblank(AX24),0,BH24="NR","NR",BH24="?","?",1,(AY24*vlookup(AX24,Ores[],2,FALSE)+if(isblank(AZ24),0,BA24*vlookup(AZ24,Ores[],2,FALSE))+if(isblank(BB24),0,BC24*vlookup(BB24,Ores[],2,FALSE))+if(isblank(BD24),0,BE24*vlookup(BD24,Ores[],2,FALSE))+if(isblank(BF24),0,BG24*vlookup(BF24,Ores[],2,FALSE)))/BH24)</f>
        <v>0</v>
      </c>
      <c r="BQ24" s="20">
        <f>ifs(isblank(AX24),0,BH24="NR","NR",BH24="?","?",1,(AY24*vlookup(AX24,Ores[],4,FALSE)+if(isblank(AZ24),0,BA24*vlookup(AZ24,Ores[],4,FALSE))+if(isblank(BB24),0,BC24*vlookup(BB24,Ores[],4,FALSE))+if(isblank(BD24),0,BE24*vlookup(BD24,Ores[],4,FALSE))+if(isblank(BF24),0,BG24*vlookup(BF24,Ores[],4,FALSE)))/BH24)</f>
        <v>0.34</v>
      </c>
      <c r="BR24" s="21">
        <f>ifs(isblank(AX24),0,BH24="NR","NR",BH24="?","?",1,(AY24*vlookup(AX24,Ores[],8,FALSE)+if(isblank(AZ24),0,BA24*vlookup(AZ24,Ores[],8,FALSE))+if(isblank(BB24),0,BC24*vlookup(BB24,Ores[],8,FALSE))+if(isblank(BD24),0,BE24*vlookup(BD24,Ores[],8,FALSE))+if(isblank(BF24),0,BG24*vlookup(BF24,Ores[],8,FALSE)))/BH24)</f>
        <v>0</v>
      </c>
      <c r="BS24" s="21">
        <f>ifs(isblank(AX24),0,BH24="NR","NR",BH24="?","?",1,(AY24*vlookup(AX24,Ores[],7,FALSE)+if(isblank(AZ24),0,BA24*vlookup(AZ24,Ores[],7,FALSE))+if(isblank(BB24),0,BC24*vlookup(BB24,Ores[],7,FALSE))+if(isblank(BD24),0,BE24*vlookup(BD24,Ores[],7,FALSE))+if(isblank(BF24),0,BG24*vlookup(BF24,Ores[],7,FALSE)))/BH24)</f>
        <v>0</v>
      </c>
      <c r="BT24" s="21">
        <f>ifs(isblank(AX24),0,BH24="NR","NR",BH24="?","?",1,(AY24*vlookup(AX24,Ores[],3,FALSE)+if(isblank(AZ24),0,BA24*vlookup(AZ24,Ores[],3,FALSE))+if(isblank(BB24),0,BC24*vlookup(BB24,Ores[],3,FALSE))+if(isblank(BD24),0,BE24*vlookup(BD24,Ores[],3,FALSE))+if(isblank(BF24),0,BG24*vlookup(BF24,Ores[],3,FALSE)))/BH24)</f>
        <v>0.05</v>
      </c>
      <c r="BU24" s="21">
        <f>ifs(isblank(AX24),0,BH24="NR","NR",BH24="?","?",1,(AY24*vlookup(AX24,Ores[],5,FALSE)+if(isblank(AZ24),0,BA24*vlookup(AZ24,Ores[],5,FALSE))+if(isblank(BB24),0,BC24*vlookup(BB24,Ores[],5,FALSE))+if(isblank(BD24),0,BE24*vlookup(BD24,Ores[],5,FALSE))+if(isblank(BF24),0,BG24*vlookup(BF24,Ores[],5,FALSE)))/BH24)</f>
        <v>0</v>
      </c>
      <c r="BV24" s="22" t="str">
        <f t="shared" si="7"/>
        <v>NR</v>
      </c>
      <c r="BW24" s="40">
        <v>55.0</v>
      </c>
      <c r="BX24" s="53">
        <f>120/2.2</f>
        <v>54.54545455</v>
      </c>
      <c r="BY24" s="47"/>
      <c r="BZ24" s="56">
        <f t="shared" si="8"/>
        <v>8.086956522</v>
      </c>
      <c r="CA24" s="53">
        <f t="shared" si="9"/>
        <v>4.447826087</v>
      </c>
      <c r="CB24" s="43" t="s">
        <v>127</v>
      </c>
      <c r="CC24" s="41" t="s">
        <v>327</v>
      </c>
      <c r="CD24" s="28">
        <f t="shared" si="10"/>
        <v>4.447826087</v>
      </c>
      <c r="CE24" s="43">
        <f t="shared" si="11"/>
        <v>186</v>
      </c>
      <c r="CF24" s="41"/>
      <c r="CG24" s="43"/>
      <c r="CH24" s="43">
        <v>50.0</v>
      </c>
      <c r="CI24" s="43">
        <v>236.0</v>
      </c>
      <c r="CJ24" s="43" t="s">
        <v>116</v>
      </c>
      <c r="CK24" s="43">
        <v>22.0</v>
      </c>
      <c r="CL24" s="53">
        <f t="shared" si="17"/>
        <v>9.090909091</v>
      </c>
      <c r="CM24" s="43">
        <v>5.0</v>
      </c>
      <c r="CN24" s="53">
        <f>92/2.2</f>
        <v>41.81818182</v>
      </c>
      <c r="CO24" s="43">
        <v>23.0</v>
      </c>
      <c r="CP24" s="53">
        <f t="shared" ref="CP24:CP25" si="18">8/2.2</f>
        <v>3.636363636</v>
      </c>
      <c r="CQ24" s="43">
        <v>2.0</v>
      </c>
      <c r="CR24" s="43" t="s">
        <v>157</v>
      </c>
      <c r="CS24" s="53">
        <v>12.7</v>
      </c>
      <c r="CT24" s="43" t="s">
        <v>234</v>
      </c>
      <c r="CU24" s="27" t="s">
        <v>200</v>
      </c>
      <c r="CV24" s="29"/>
      <c r="CW24" s="30">
        <f t="shared" si="12"/>
        <v>0.5695067265</v>
      </c>
      <c r="CX24" s="31">
        <f t="shared" ref="CX24:CX103" si="19">ifs(OR(BH24=0,BI24="?"),"?",CS24="NR","NR",CS24=0,"na",isnumber(CS24),CS24/(BH24*BI24),1,"na")</f>
        <v>0.8293371142</v>
      </c>
      <c r="CY24" s="41" t="s">
        <v>159</v>
      </c>
      <c r="CZ24" s="41"/>
      <c r="DA24" s="41" t="s">
        <v>264</v>
      </c>
      <c r="DB24" s="41" t="s">
        <v>333</v>
      </c>
      <c r="DC24" s="41" t="s">
        <v>334</v>
      </c>
      <c r="DD24" s="41"/>
      <c r="DE24" s="41"/>
      <c r="DF24" s="41"/>
      <c r="DG24" s="41"/>
      <c r="DH24" s="41"/>
      <c r="DI24" s="41"/>
      <c r="DJ24" s="41"/>
      <c r="DK24" s="41"/>
      <c r="DL24" s="41"/>
      <c r="DM24" s="45"/>
    </row>
    <row r="25" ht="21.75" customHeight="1">
      <c r="A25" s="33" t="s">
        <v>335</v>
      </c>
      <c r="B25" s="34" t="s">
        <v>336</v>
      </c>
      <c r="C25" s="34" t="s">
        <v>137</v>
      </c>
      <c r="D25" s="34" t="s">
        <v>138</v>
      </c>
      <c r="E25" s="35">
        <v>39242.0</v>
      </c>
      <c r="F25" s="34" t="s">
        <v>109</v>
      </c>
      <c r="G25" s="36" t="s">
        <v>110</v>
      </c>
      <c r="H25" s="34"/>
      <c r="I25" s="34" t="s">
        <v>293</v>
      </c>
      <c r="J25" s="36" t="s">
        <v>276</v>
      </c>
      <c r="K25" s="36">
        <v>4.0</v>
      </c>
      <c r="L25" s="36">
        <v>19.0</v>
      </c>
      <c r="M25" s="36" t="s">
        <v>150</v>
      </c>
      <c r="N25" s="36" t="s">
        <v>168</v>
      </c>
      <c r="O25" s="34">
        <f t="shared" si="1"/>
        <v>90</v>
      </c>
      <c r="P25" s="34">
        <f t="shared" si="2"/>
        <v>90</v>
      </c>
      <c r="Q25" s="36">
        <v>60.0</v>
      </c>
      <c r="R25" s="36">
        <v>30.0</v>
      </c>
      <c r="S25" s="34">
        <v>75.0</v>
      </c>
      <c r="T25" s="34">
        <v>40.0</v>
      </c>
      <c r="U25" s="34">
        <v>23.0</v>
      </c>
      <c r="V25" s="34"/>
      <c r="W25" s="34"/>
      <c r="X25" s="34"/>
      <c r="Y25" s="34"/>
      <c r="Z25" s="34"/>
      <c r="AA25" s="37">
        <f>Calcs!O25</f>
        <v>415.5</v>
      </c>
      <c r="AB25" s="34">
        <v>7.5</v>
      </c>
      <c r="AC25" s="34" t="s">
        <v>294</v>
      </c>
      <c r="AD25" s="34" t="s">
        <v>262</v>
      </c>
      <c r="AE25" s="34">
        <v>2.5</v>
      </c>
      <c r="AF25" s="36"/>
      <c r="AG25" s="36">
        <v>15.0</v>
      </c>
      <c r="AH25" s="36" t="s">
        <v>170</v>
      </c>
      <c r="AI25" s="34"/>
      <c r="AJ25" s="34">
        <v>5.0</v>
      </c>
      <c r="AK25" s="34"/>
      <c r="AL25" s="34" t="s">
        <v>184</v>
      </c>
      <c r="AM25" s="34"/>
      <c r="AN25" s="36" t="s">
        <v>116</v>
      </c>
      <c r="AO25" s="34">
        <v>14.0</v>
      </c>
      <c r="AP25" s="34"/>
      <c r="AQ25" s="36" t="s">
        <v>154</v>
      </c>
      <c r="AR25" s="34"/>
      <c r="AS25" s="34">
        <v>900.0</v>
      </c>
      <c r="AT25" s="14" t="str">
        <f t="shared" si="3"/>
        <v/>
      </c>
      <c r="AU25" s="12"/>
      <c r="AV25" s="38"/>
      <c r="AW25" s="17">
        <f t="shared" si="4"/>
        <v>498.6</v>
      </c>
      <c r="AX25" s="39" t="s">
        <v>295</v>
      </c>
      <c r="AY25" s="36">
        <v>20.0</v>
      </c>
      <c r="AZ25" s="68"/>
      <c r="BA25" s="36"/>
      <c r="BB25" s="36"/>
      <c r="BC25" s="36"/>
      <c r="BD25" s="34"/>
      <c r="BE25" s="34"/>
      <c r="BF25" s="34"/>
      <c r="BG25" s="34"/>
      <c r="BH25" s="18">
        <f t="shared" si="5"/>
        <v>20</v>
      </c>
      <c r="BI25" s="19">
        <f>ifs(BH25=0,"na",BH25="NR","NR",BH25="?","?",BK25&gt;0,"?",iserror(Calcs!AB25),"?",1,Calcs!AB25)</f>
        <v>0.4535109057</v>
      </c>
      <c r="BJ25" s="34" t="s">
        <v>125</v>
      </c>
      <c r="BK25" s="34"/>
      <c r="BL25" s="18">
        <f t="shared" si="6"/>
        <v>20</v>
      </c>
      <c r="BM25" s="34"/>
      <c r="BN25" s="34"/>
      <c r="BO25" s="34" t="s">
        <v>173</v>
      </c>
      <c r="BP25" s="20">
        <f>ifs(isblank(AX25),0,BH25="NR","NR",BH25="?","?",1,(AY25*vlookup(AX25,Ores[],2,FALSE)+if(isblank(AZ25),0,BA25*vlookup(AZ25,Ores[],2,FALSE))+if(isblank(BB25),0,BC25*vlookup(BB25,Ores[],2,FALSE))+if(isblank(BD25),0,BE25*vlookup(BD25,Ores[],2,FALSE))+if(isblank(BF25),0,BG25*vlookup(BF25,Ores[],2,FALSE)))/BH25)</f>
        <v>15.01</v>
      </c>
      <c r="BQ25" s="20">
        <f>ifs(isblank(AX25),0,BH25="NR","NR",BH25="?","?",1,(AY25*vlookup(AX25,Ores[],4,FALSE)+if(isblank(AZ25),0,BA25*vlookup(AZ25,Ores[],4,FALSE))+if(isblank(BB25),0,BC25*vlookup(BB25,Ores[],4,FALSE))+if(isblank(BD25),0,BE25*vlookup(BD25,Ores[],4,FALSE))+if(isblank(BF25),0,BG25*vlookup(BF25,Ores[],4,FALSE)))/BH25)</f>
        <v>4.93</v>
      </c>
      <c r="BR25" s="21">
        <f>ifs(isblank(AX25),0,BH25="NR","NR",BH25="?","?",1,(AY25*vlookup(AX25,Ores[],8,FALSE)+if(isblank(AZ25),0,BA25*vlookup(AZ25,Ores[],8,FALSE))+if(isblank(BB25),0,BC25*vlookup(BB25,Ores[],8,FALSE))+if(isblank(BD25),0,BE25*vlookup(BD25,Ores[],8,FALSE))+if(isblank(BF25),0,BG25*vlookup(BF25,Ores[],8,FALSE)))/BH25)</f>
        <v>2.35</v>
      </c>
      <c r="BS25" s="21">
        <f>ifs(isblank(AX25),0,BH25="NR","NR",BH25="?","?",1,(AY25*vlookup(AX25,Ores[],7,FALSE)+if(isblank(AZ25),0,BA25*vlookup(AZ25,Ores[],7,FALSE))+if(isblank(BB25),0,BC25*vlookup(BB25,Ores[],7,FALSE))+if(isblank(BD25),0,BE25*vlookup(BD25,Ores[],7,FALSE))+if(isblank(BF25),0,BG25*vlookup(BF25,Ores[],7,FALSE)))/BH25)</f>
        <v>0</v>
      </c>
      <c r="BT25" s="21">
        <f>ifs(isblank(AX25),0,BH25="NR","NR",BH25="?","?",1,(AY25*vlookup(AX25,Ores[],3,FALSE)+if(isblank(AZ25),0,BA25*vlookup(AZ25,Ores[],3,FALSE))+if(isblank(BB25),0,BC25*vlookup(BB25,Ores[],3,FALSE))+if(isblank(BD25),0,BE25*vlookup(BD25,Ores[],3,FALSE))+if(isblank(BF25),0,BG25*vlookup(BF25,Ores[],3,FALSE)))/BH25)</f>
        <v>0.33</v>
      </c>
      <c r="BU25" s="21">
        <f>ifs(isblank(AX25),0,BH25="NR","NR",BH25="?","?",1,(AY25*vlookup(AX25,Ores[],5,FALSE)+if(isblank(AZ25),0,BA25*vlookup(AZ25,Ores[],5,FALSE))+if(isblank(BB25),0,BC25*vlookup(BB25,Ores[],5,FALSE))+if(isblank(BD25),0,BE25*vlookup(BD25,Ores[],5,FALSE))+if(isblank(BF25),0,BG25*vlookup(BF25,Ores[],5,FALSE)))/BH25)</f>
        <v>3.87</v>
      </c>
      <c r="BV25" s="22">
        <f t="shared" si="7"/>
        <v>5.559633028</v>
      </c>
      <c r="BW25" s="40">
        <v>43.0</v>
      </c>
      <c r="BX25" s="43">
        <v>54.5</v>
      </c>
      <c r="BY25" s="47"/>
      <c r="BZ25" s="56">
        <f t="shared" si="8"/>
        <v>9.541666667</v>
      </c>
      <c r="CA25" s="53">
        <f t="shared" si="9"/>
        <v>5.247916667</v>
      </c>
      <c r="CB25" s="43" t="s">
        <v>127</v>
      </c>
      <c r="CC25" s="41" t="s">
        <v>128</v>
      </c>
      <c r="CD25" s="28">
        <f t="shared" si="10"/>
        <v>5.247916667</v>
      </c>
      <c r="CE25" s="43">
        <f t="shared" si="11"/>
        <v>229</v>
      </c>
      <c r="CF25" s="41"/>
      <c r="CG25" s="43"/>
      <c r="CH25" s="43">
        <v>59.0</v>
      </c>
      <c r="CI25" s="43">
        <v>288.0</v>
      </c>
      <c r="CJ25" s="43">
        <v>303.0</v>
      </c>
      <c r="CK25" s="43">
        <v>57.0</v>
      </c>
      <c r="CL25" s="53">
        <f t="shared" si="17"/>
        <v>9.090909091</v>
      </c>
      <c r="CM25" s="43">
        <v>5.0</v>
      </c>
      <c r="CN25" s="53">
        <f>96/2.2</f>
        <v>43.63636364</v>
      </c>
      <c r="CO25" s="43">
        <v>24.0</v>
      </c>
      <c r="CP25" s="53">
        <f t="shared" si="18"/>
        <v>3.636363636</v>
      </c>
      <c r="CQ25" s="43">
        <v>2.0</v>
      </c>
      <c r="CR25" s="41" t="s">
        <v>129</v>
      </c>
      <c r="CS25" s="53">
        <v>0.9</v>
      </c>
      <c r="CT25" s="43" t="s">
        <v>234</v>
      </c>
      <c r="CU25" s="30"/>
      <c r="CV25" s="29"/>
      <c r="CW25" s="30">
        <f t="shared" si="12"/>
        <v>0.045</v>
      </c>
      <c r="CX25" s="31">
        <f t="shared" si="19"/>
        <v>0.09922583875</v>
      </c>
      <c r="CY25" s="41" t="s">
        <v>159</v>
      </c>
      <c r="CZ25" s="41"/>
      <c r="DA25" s="41" t="s">
        <v>264</v>
      </c>
      <c r="DB25" s="41" t="s">
        <v>337</v>
      </c>
      <c r="DC25" s="41" t="s">
        <v>338</v>
      </c>
      <c r="DD25" s="41"/>
      <c r="DE25" s="41"/>
      <c r="DF25" s="41"/>
      <c r="DG25" s="41"/>
      <c r="DH25" s="41"/>
      <c r="DI25" s="41"/>
      <c r="DJ25" s="41"/>
      <c r="DK25" s="41"/>
      <c r="DL25" s="41"/>
      <c r="DM25" s="45"/>
    </row>
    <row r="26" ht="21.75" customHeight="1">
      <c r="A26" s="33" t="s">
        <v>339</v>
      </c>
      <c r="B26" s="34" t="s">
        <v>336</v>
      </c>
      <c r="C26" s="34" t="s">
        <v>137</v>
      </c>
      <c r="D26" s="34" t="s">
        <v>138</v>
      </c>
      <c r="E26" s="35">
        <v>39242.0</v>
      </c>
      <c r="F26" s="34" t="s">
        <v>109</v>
      </c>
      <c r="G26" s="36" t="s">
        <v>110</v>
      </c>
      <c r="H26" s="34"/>
      <c r="I26" s="34" t="s">
        <v>293</v>
      </c>
      <c r="J26" s="36" t="s">
        <v>276</v>
      </c>
      <c r="K26" s="36">
        <v>5.0</v>
      </c>
      <c r="L26" s="36">
        <v>19.0</v>
      </c>
      <c r="M26" s="36" t="s">
        <v>150</v>
      </c>
      <c r="N26" s="36" t="s">
        <v>168</v>
      </c>
      <c r="O26" s="34">
        <f t="shared" si="1"/>
        <v>90</v>
      </c>
      <c r="P26" s="34">
        <f t="shared" si="2"/>
        <v>90</v>
      </c>
      <c r="Q26" s="36">
        <v>60.0</v>
      </c>
      <c r="R26" s="36">
        <v>30.0</v>
      </c>
      <c r="S26" s="34">
        <v>75.0</v>
      </c>
      <c r="T26" s="34">
        <v>40.0</v>
      </c>
      <c r="U26" s="34">
        <v>23.0</v>
      </c>
      <c r="V26" s="34"/>
      <c r="W26" s="34"/>
      <c r="X26" s="34"/>
      <c r="Y26" s="34"/>
      <c r="Z26" s="34"/>
      <c r="AA26" s="37">
        <f>Calcs!O26</f>
        <v>415.5</v>
      </c>
      <c r="AB26" s="34">
        <v>7.5</v>
      </c>
      <c r="AC26" s="34" t="s">
        <v>294</v>
      </c>
      <c r="AD26" s="34" t="s">
        <v>262</v>
      </c>
      <c r="AE26" s="34">
        <v>2.5</v>
      </c>
      <c r="AF26" s="36"/>
      <c r="AG26" s="36">
        <v>15.0</v>
      </c>
      <c r="AH26" s="36" t="s">
        <v>170</v>
      </c>
      <c r="AI26" s="34"/>
      <c r="AJ26" s="34" t="s">
        <v>140</v>
      </c>
      <c r="AK26" s="34"/>
      <c r="AL26" s="34" t="s">
        <v>340</v>
      </c>
      <c r="AM26" s="34"/>
      <c r="AN26" s="36" t="s">
        <v>116</v>
      </c>
      <c r="AO26" s="34" t="s">
        <v>116</v>
      </c>
      <c r="AP26" s="34"/>
      <c r="AQ26" s="36" t="s">
        <v>154</v>
      </c>
      <c r="AR26" s="34"/>
      <c r="AS26" s="34">
        <v>900.0</v>
      </c>
      <c r="AT26" s="14" t="str">
        <f t="shared" si="3"/>
        <v/>
      </c>
      <c r="AU26" s="12"/>
      <c r="AV26" s="38"/>
      <c r="AW26" s="17">
        <f t="shared" si="4"/>
        <v>498.6</v>
      </c>
      <c r="AX26" s="39" t="s">
        <v>295</v>
      </c>
      <c r="AY26" s="36">
        <v>12.0</v>
      </c>
      <c r="AZ26" s="39" t="s">
        <v>281</v>
      </c>
      <c r="BA26" s="36">
        <v>11.9</v>
      </c>
      <c r="BB26" s="36"/>
      <c r="BC26" s="36"/>
      <c r="BD26" s="34"/>
      <c r="BE26" s="34"/>
      <c r="BF26" s="34"/>
      <c r="BG26" s="34"/>
      <c r="BH26" s="18">
        <f t="shared" si="5"/>
        <v>23.9</v>
      </c>
      <c r="BI26" s="64">
        <v>0.57</v>
      </c>
      <c r="BJ26" s="34" t="s">
        <v>125</v>
      </c>
      <c r="BK26" s="36" t="s">
        <v>116</v>
      </c>
      <c r="BL26" s="18" t="str">
        <f t="shared" si="6"/>
        <v>NR</v>
      </c>
      <c r="BM26" s="34"/>
      <c r="BN26" s="34"/>
      <c r="BO26" s="34" t="s">
        <v>341</v>
      </c>
      <c r="BP26" s="20">
        <f>ifs(isblank(AX26),0,BH26="NR","NR",BH26="?","?",1,(AY26*vlookup(AX26,Ores[],2,FALSE)+if(isblank(AZ26),0,BA26*vlookup(AZ26,Ores[],2,FALSE))+if(isblank(BB26),0,BC26*vlookup(BB26,Ores[],2,FALSE))+if(isblank(BD26),0,BE26*vlookup(BD26,Ores[],2,FALSE))+if(isblank(BF26),0,BG26*vlookup(BF26,Ores[],2,FALSE)))/BH26)</f>
        <v>7.536401674</v>
      </c>
      <c r="BQ26" s="20">
        <f>ifs(isblank(AX26),0,BH26="NR","NR",BH26="?","?",1,(AY26*vlookup(AX26,Ores[],4,FALSE)+if(isblank(AZ26),0,BA26*vlookup(AZ26,Ores[],4,FALSE))+if(isblank(BB26),0,BC26*vlookup(BB26,Ores[],4,FALSE))+if(isblank(BD26),0,BE26*vlookup(BD26,Ores[],4,FALSE))+if(isblank(BF26),0,BG26*vlookup(BF26,Ores[],4,FALSE)))/BH26)</f>
        <v>2.64460251</v>
      </c>
      <c r="BR26" s="21">
        <f>ifs(isblank(AX26),0,BH26="NR","NR",BH26="?","?",1,(AY26*vlookup(AX26,Ores[],8,FALSE)+if(isblank(AZ26),0,BA26*vlookup(AZ26,Ores[],8,FALSE))+if(isblank(BB26),0,BC26*vlookup(BB26,Ores[],8,FALSE))+if(isblank(BD26),0,BE26*vlookup(BD26,Ores[],8,FALSE))+if(isblank(BF26),0,BG26*vlookup(BF26,Ores[],8,FALSE)))/BH26)</f>
        <v>1.179916318</v>
      </c>
      <c r="BS26" s="21">
        <f>ifs(isblank(AX26),0,BH26="NR","NR",BH26="?","?",1,(AY26*vlookup(AX26,Ores[],7,FALSE)+if(isblank(AZ26),0,BA26*vlookup(AZ26,Ores[],7,FALSE))+if(isblank(BB26),0,BC26*vlookup(BB26,Ores[],7,FALSE))+if(isblank(BD26),0,BE26*vlookup(BD26,Ores[],7,FALSE))+if(isblank(BF26),0,BG26*vlookup(BF26,Ores[],7,FALSE)))/BH26)</f>
        <v>0</v>
      </c>
      <c r="BT26" s="21">
        <f>ifs(isblank(AX26),0,BH26="NR","NR",BH26="?","?",1,(AY26*vlookup(AX26,Ores[],3,FALSE)+if(isblank(AZ26),0,BA26*vlookup(AZ26,Ores[],3,FALSE))+if(isblank(BB26),0,BC26*vlookup(BB26,Ores[],3,FALSE))+if(isblank(BD26),0,BE26*vlookup(BD26,Ores[],3,FALSE))+if(isblank(BF26),0,BG26*vlookup(BF26,Ores[],3,FALSE)))/BH26)</f>
        <v>0.1905857741</v>
      </c>
      <c r="BU26" s="21">
        <f>ifs(isblank(AX26),0,BH26="NR","NR",BH26="?","?",1,(AY26*vlookup(AX26,Ores[],5,FALSE)+if(isblank(AZ26),0,BA26*vlookup(AZ26,Ores[],5,FALSE))+if(isblank(BB26),0,BC26*vlookup(BB26,Ores[],5,FALSE))+if(isblank(BD26),0,BE26*vlookup(BD26,Ores[],5,FALSE))+if(isblank(BF26),0,BG26*vlookup(BF26,Ores[],5,FALSE)))/BH26)</f>
        <v>1.943096234</v>
      </c>
      <c r="BV26" s="22" t="str">
        <f t="shared" si="7"/>
        <v>NR</v>
      </c>
      <c r="BW26" s="69">
        <v>0.0</v>
      </c>
      <c r="BX26" s="43">
        <v>41.8</v>
      </c>
      <c r="BY26" s="47"/>
      <c r="BZ26" s="56">
        <f t="shared" si="8"/>
        <v>7.421052632</v>
      </c>
      <c r="CA26" s="53">
        <f t="shared" si="9"/>
        <v>4.308333333</v>
      </c>
      <c r="CB26" s="43" t="s">
        <v>127</v>
      </c>
      <c r="CC26" s="41" t="s">
        <v>128</v>
      </c>
      <c r="CD26" s="28">
        <f t="shared" si="10"/>
        <v>4.308333333</v>
      </c>
      <c r="CE26" s="43">
        <f t="shared" si="11"/>
        <v>141</v>
      </c>
      <c r="CF26" s="41"/>
      <c r="CG26" s="43"/>
      <c r="CH26" s="43">
        <v>29.0</v>
      </c>
      <c r="CI26" s="43">
        <v>170.0</v>
      </c>
      <c r="CJ26" s="43" t="s">
        <v>116</v>
      </c>
      <c r="CK26" s="43">
        <v>45.0</v>
      </c>
      <c r="CL26" s="53">
        <f>12/2.2</f>
        <v>5.454545455</v>
      </c>
      <c r="CM26" s="43">
        <v>3.0</v>
      </c>
      <c r="CN26" s="53">
        <f>72/2.2</f>
        <v>32.72727273</v>
      </c>
      <c r="CO26" s="43">
        <v>19.0</v>
      </c>
      <c r="CP26" s="53">
        <f>4/2.2</f>
        <v>1.818181818</v>
      </c>
      <c r="CQ26" s="43">
        <v>1.0</v>
      </c>
      <c r="CR26" s="41" t="s">
        <v>129</v>
      </c>
      <c r="CS26" s="53">
        <v>3.1</v>
      </c>
      <c r="CT26" s="43" t="s">
        <v>234</v>
      </c>
      <c r="CU26" s="30"/>
      <c r="CV26" s="58">
        <v>5.26</v>
      </c>
      <c r="CW26" s="30" t="str">
        <f t="shared" si="12"/>
        <v>NR</v>
      </c>
      <c r="CX26" s="31">
        <f t="shared" si="19"/>
        <v>0.2275563385</v>
      </c>
      <c r="CY26" s="41" t="s">
        <v>342</v>
      </c>
      <c r="CZ26" s="41"/>
      <c r="DA26" s="41" t="s">
        <v>264</v>
      </c>
      <c r="DB26" s="41" t="s">
        <v>343</v>
      </c>
      <c r="DC26" s="41" t="s">
        <v>344</v>
      </c>
      <c r="DD26" s="41"/>
      <c r="DE26" s="41"/>
      <c r="DF26" s="41"/>
      <c r="DG26" s="41"/>
      <c r="DH26" s="41"/>
      <c r="DI26" s="41"/>
      <c r="DJ26" s="41"/>
      <c r="DK26" s="41"/>
      <c r="DL26" s="41"/>
      <c r="DM26" s="45"/>
    </row>
    <row r="27" ht="21.75" customHeight="1">
      <c r="A27" s="33">
        <v>26.0</v>
      </c>
      <c r="B27" s="34" t="s">
        <v>345</v>
      </c>
      <c r="C27" s="36" t="s">
        <v>346</v>
      </c>
      <c r="D27" s="34" t="s">
        <v>138</v>
      </c>
      <c r="E27" s="35">
        <v>39362.0</v>
      </c>
      <c r="F27" s="34" t="s">
        <v>347</v>
      </c>
      <c r="G27" s="36" t="s">
        <v>110</v>
      </c>
      <c r="H27" s="36" t="s">
        <v>348</v>
      </c>
      <c r="I27" s="34" t="s">
        <v>293</v>
      </c>
      <c r="J27" s="34" t="s">
        <v>349</v>
      </c>
      <c r="K27" s="34"/>
      <c r="L27" s="34"/>
      <c r="M27" s="36" t="s">
        <v>350</v>
      </c>
      <c r="N27" s="36" t="s">
        <v>168</v>
      </c>
      <c r="O27" s="36">
        <v>77.0</v>
      </c>
      <c r="P27" s="36">
        <v>77.0</v>
      </c>
      <c r="Q27" s="36">
        <v>77.0</v>
      </c>
      <c r="R27" s="34"/>
      <c r="S27" s="36">
        <v>53.5</v>
      </c>
      <c r="T27" s="34">
        <v>40.0</v>
      </c>
      <c r="U27" s="36">
        <v>27.0</v>
      </c>
      <c r="V27" s="36">
        <v>23.0</v>
      </c>
      <c r="W27" s="36"/>
      <c r="X27" s="34"/>
      <c r="Y27" s="34"/>
      <c r="Z27" s="36"/>
      <c r="AA27" s="37">
        <f>Calcs!O27</f>
        <v>519.7069702</v>
      </c>
      <c r="AB27" s="34" t="s">
        <v>198</v>
      </c>
      <c r="AC27" s="34" t="s">
        <v>351</v>
      </c>
      <c r="AD27" s="34" t="s">
        <v>262</v>
      </c>
      <c r="AE27" s="34">
        <v>2.5</v>
      </c>
      <c r="AF27" s="36"/>
      <c r="AG27" s="36">
        <v>20.0</v>
      </c>
      <c r="AH27" s="36" t="s">
        <v>170</v>
      </c>
      <c r="AI27" s="34"/>
      <c r="AJ27" s="36">
        <v>0.0</v>
      </c>
      <c r="AK27" s="34"/>
      <c r="AL27" s="34" t="s">
        <v>121</v>
      </c>
      <c r="AM27" s="36" t="s">
        <v>352</v>
      </c>
      <c r="AN27" s="36">
        <v>8.0</v>
      </c>
      <c r="AO27" s="36">
        <v>10.0</v>
      </c>
      <c r="AP27" s="36" t="s">
        <v>123</v>
      </c>
      <c r="AQ27" s="36" t="s">
        <v>154</v>
      </c>
      <c r="AR27" s="34"/>
      <c r="AS27" s="34">
        <v>800.0</v>
      </c>
      <c r="AT27" s="14" t="str">
        <f t="shared" si="3"/>
        <v/>
      </c>
      <c r="AU27" s="12"/>
      <c r="AV27" s="38"/>
      <c r="AW27" s="17">
        <f t="shared" si="4"/>
        <v>623.6483643</v>
      </c>
      <c r="AX27" s="36" t="s">
        <v>281</v>
      </c>
      <c r="AY27" s="36">
        <v>12.3</v>
      </c>
      <c r="AZ27" s="34"/>
      <c r="BA27" s="34"/>
      <c r="BB27" s="34"/>
      <c r="BC27" s="34"/>
      <c r="BD27" s="34"/>
      <c r="BE27" s="34"/>
      <c r="BF27" s="34"/>
      <c r="BG27" s="34"/>
      <c r="BH27" s="18">
        <f t="shared" si="5"/>
        <v>12.3</v>
      </c>
      <c r="BI27" s="19">
        <f>ifs(BH27=0,"na",BH27="NR","NR",BH27="?","?",BK27&gt;0,"?",iserror(Calcs!AB27),"?",1,Calcs!AB27)</f>
        <v>0.6867011216</v>
      </c>
      <c r="BJ27" s="34" t="s">
        <v>125</v>
      </c>
      <c r="BK27" s="34"/>
      <c r="BL27" s="18">
        <f t="shared" si="6"/>
        <v>12.3</v>
      </c>
      <c r="BM27" s="34"/>
      <c r="BN27" s="34"/>
      <c r="BO27" s="34" t="s">
        <v>353</v>
      </c>
      <c r="BP27" s="20">
        <f>ifs(isblank(AX27),0,BH27="NR","NR",BH27="?","?",1,(AY27*vlookup(AX27,Ores[],2,FALSE)+if(isblank(AZ27),0,BA27*vlookup(AZ27,Ores[],2,FALSE))+if(isblank(BB27),0,BC27*vlookup(BB27,Ores[],2,FALSE))+if(isblank(BD27),0,BE27*vlookup(BD27,Ores[],2,FALSE))+if(isblank(BF27),0,BG27*vlookup(BF27,Ores[],2,FALSE)))/BH27)</f>
        <v>0</v>
      </c>
      <c r="BQ27" s="20">
        <f>ifs(isblank(AX27),0,BH27="NR","NR",BH27="?","?",1,(AY27*vlookup(AX27,Ores[],4,FALSE)+if(isblank(AZ27),0,BA27*vlookup(AZ27,Ores[],4,FALSE))+if(isblank(BB27),0,BC27*vlookup(BB27,Ores[],4,FALSE))+if(isblank(BD27),0,BE27*vlookup(BD27,Ores[],4,FALSE))+if(isblank(BF27),0,BG27*vlookup(BF27,Ores[],4,FALSE)))/BH27)</f>
        <v>0.34</v>
      </c>
      <c r="BR27" s="21">
        <f>ifs(isblank(AX27),0,BH27="NR","NR",BH27="?","?",1,(AY27*vlookup(AX27,Ores[],8,FALSE)+if(isblank(AZ27),0,BA27*vlookup(AZ27,Ores[],8,FALSE))+if(isblank(BB27),0,BC27*vlookup(BB27,Ores[],8,FALSE))+if(isblank(BD27),0,BE27*vlookup(BD27,Ores[],8,FALSE))+if(isblank(BF27),0,BG27*vlookup(BF27,Ores[],8,FALSE)))/BH27)</f>
        <v>0</v>
      </c>
      <c r="BS27" s="21">
        <f>ifs(isblank(AX27),0,BH27="NR","NR",BH27="?","?",1,(AY27*vlookup(AX27,Ores[],7,FALSE)+if(isblank(AZ27),0,BA27*vlookup(AZ27,Ores[],7,FALSE))+if(isblank(BB27),0,BC27*vlookup(BB27,Ores[],7,FALSE))+if(isblank(BD27),0,BE27*vlookup(BD27,Ores[],7,FALSE))+if(isblank(BF27),0,BG27*vlookup(BF27,Ores[],7,FALSE)))/BH27)</f>
        <v>0</v>
      </c>
      <c r="BT27" s="21">
        <f>ifs(isblank(AX27),0,BH27="NR","NR",BH27="?","?",1,(AY27*vlookup(AX27,Ores[],3,FALSE)+if(isblank(AZ27),0,BA27*vlookup(AZ27,Ores[],3,FALSE))+if(isblank(BB27),0,BC27*vlookup(BB27,Ores[],3,FALSE))+if(isblank(BD27),0,BE27*vlookup(BD27,Ores[],3,FALSE))+if(isblank(BF27),0,BG27*vlookup(BF27,Ores[],3,FALSE)))/BH27)</f>
        <v>0.05</v>
      </c>
      <c r="BU27" s="21">
        <f>ifs(isblank(AX27),0,BH27="NR","NR",BH27="?","?",1,(AY27*vlookup(AX27,Ores[],5,FALSE)+if(isblank(AZ27),0,BA27*vlookup(AZ27,Ores[],5,FALSE))+if(isblank(BB27),0,BC27*vlookup(BB27,Ores[],5,FALSE))+if(isblank(BD27),0,BE27*vlookup(BD27,Ores[],5,FALSE))+if(isblank(BF27),0,BG27*vlookup(BF27,Ores[],5,FALSE)))/BH27)</f>
        <v>0</v>
      </c>
      <c r="BV27" s="22">
        <f t="shared" si="7"/>
        <v>4.388888889</v>
      </c>
      <c r="BW27" s="40">
        <v>135.0</v>
      </c>
      <c r="BX27" s="41">
        <v>54.0</v>
      </c>
      <c r="BY27" s="47"/>
      <c r="BZ27" s="56">
        <f t="shared" si="8"/>
        <v>7.0625</v>
      </c>
      <c r="CA27" s="53">
        <f t="shared" si="9"/>
        <v>3.85665529</v>
      </c>
      <c r="CB27" s="43" t="s">
        <v>127</v>
      </c>
      <c r="CC27" s="41" t="s">
        <v>327</v>
      </c>
      <c r="CD27" s="28">
        <f t="shared" si="10"/>
        <v>3.85665529</v>
      </c>
      <c r="CE27" s="43">
        <f t="shared" si="11"/>
        <v>113</v>
      </c>
      <c r="CF27" s="41"/>
      <c r="CG27" s="43"/>
      <c r="CH27" s="43">
        <v>64.0</v>
      </c>
      <c r="CI27" s="43">
        <v>177.0</v>
      </c>
      <c r="CJ27" s="43">
        <v>237.0</v>
      </c>
      <c r="CK27" s="43">
        <v>22.0</v>
      </c>
      <c r="CL27" s="43">
        <v>11.0</v>
      </c>
      <c r="CM27" s="43">
        <v>6.0</v>
      </c>
      <c r="CN27" s="43">
        <v>29.3</v>
      </c>
      <c r="CO27" s="43">
        <v>16.0</v>
      </c>
      <c r="CP27" s="43">
        <v>7.3</v>
      </c>
      <c r="CQ27" s="43">
        <v>4.0</v>
      </c>
      <c r="CR27" s="41" t="s">
        <v>129</v>
      </c>
      <c r="CS27" s="53">
        <v>6.0</v>
      </c>
      <c r="CT27" s="43" t="s">
        <v>234</v>
      </c>
      <c r="CU27" s="30"/>
      <c r="CV27" s="29"/>
      <c r="CW27" s="30">
        <f t="shared" si="12"/>
        <v>0.487804878</v>
      </c>
      <c r="CX27" s="31">
        <f t="shared" si="19"/>
        <v>0.7103598097</v>
      </c>
      <c r="CY27" s="41" t="s">
        <v>159</v>
      </c>
      <c r="CZ27" s="41"/>
      <c r="DA27" s="41" t="s">
        <v>306</v>
      </c>
      <c r="DB27" s="41" t="s">
        <v>354</v>
      </c>
      <c r="DC27" s="41" t="s">
        <v>355</v>
      </c>
      <c r="DD27" s="41"/>
      <c r="DE27" s="41"/>
      <c r="DF27" s="41"/>
      <c r="DG27" s="41"/>
      <c r="DH27" s="41"/>
      <c r="DI27" s="41"/>
      <c r="DJ27" s="41"/>
      <c r="DK27" s="41"/>
      <c r="DL27" s="41"/>
      <c r="DM27" s="45"/>
    </row>
    <row r="28" ht="21.75" customHeight="1">
      <c r="A28" s="33" t="s">
        <v>356</v>
      </c>
      <c r="B28" s="34" t="s">
        <v>357</v>
      </c>
      <c r="C28" s="34" t="s">
        <v>137</v>
      </c>
      <c r="D28" s="34" t="s">
        <v>138</v>
      </c>
      <c r="E28" s="35">
        <v>39382.0</v>
      </c>
      <c r="F28" s="34" t="s">
        <v>347</v>
      </c>
      <c r="G28" s="36" t="s">
        <v>110</v>
      </c>
      <c r="H28" s="36" t="s">
        <v>348</v>
      </c>
      <c r="I28" s="34" t="s">
        <v>293</v>
      </c>
      <c r="J28" s="36" t="s">
        <v>113</v>
      </c>
      <c r="K28" s="34"/>
      <c r="L28" s="34"/>
      <c r="M28" s="36" t="s">
        <v>114</v>
      </c>
      <c r="N28" s="36" t="s">
        <v>358</v>
      </c>
      <c r="O28" s="34">
        <f t="shared" ref="O28:O33" si="20">P28</f>
        <v>70</v>
      </c>
      <c r="P28" s="34">
        <f t="shared" ref="P28:P98" si="21">Q28+R28</f>
        <v>70</v>
      </c>
      <c r="Q28" s="36">
        <v>70.0</v>
      </c>
      <c r="R28" s="34"/>
      <c r="S28" s="34">
        <v>45.0</v>
      </c>
      <c r="T28" s="34">
        <v>46.0</v>
      </c>
      <c r="U28" s="36">
        <v>35.0</v>
      </c>
      <c r="V28" s="36">
        <v>25.0</v>
      </c>
      <c r="W28" s="36"/>
      <c r="X28" s="36">
        <v>35.0</v>
      </c>
      <c r="Y28" s="36">
        <v>25.0</v>
      </c>
      <c r="Z28" s="34"/>
      <c r="AA28" s="37">
        <f>Calcs!O28</f>
        <v>875</v>
      </c>
      <c r="AB28" s="46" t="s">
        <v>359</v>
      </c>
      <c r="AC28" s="34" t="s">
        <v>360</v>
      </c>
      <c r="AD28" s="34" t="s">
        <v>262</v>
      </c>
      <c r="AE28" s="34">
        <v>2.5</v>
      </c>
      <c r="AF28" s="36"/>
      <c r="AG28" s="36">
        <v>26.0</v>
      </c>
      <c r="AH28" s="36" t="s">
        <v>170</v>
      </c>
      <c r="AI28" s="34"/>
      <c r="AJ28" s="36">
        <v>0.0</v>
      </c>
      <c r="AK28" s="34"/>
      <c r="AL28" s="34" t="s">
        <v>184</v>
      </c>
      <c r="AM28" s="36" t="s">
        <v>352</v>
      </c>
      <c r="AN28" s="36">
        <v>6.0</v>
      </c>
      <c r="AO28" s="34">
        <v>18.0</v>
      </c>
      <c r="AP28" s="34"/>
      <c r="AQ28" s="36" t="s">
        <v>154</v>
      </c>
      <c r="AR28" s="34"/>
      <c r="AS28" s="34">
        <v>410.0</v>
      </c>
      <c r="AT28" s="14" t="str">
        <f t="shared" si="3"/>
        <v/>
      </c>
      <c r="AU28" s="12"/>
      <c r="AV28" s="38"/>
      <c r="AW28" s="17">
        <f t="shared" si="4"/>
        <v>1050</v>
      </c>
      <c r="AX28" s="39" t="s">
        <v>281</v>
      </c>
      <c r="AY28" s="36">
        <v>10.0</v>
      </c>
      <c r="AZ28" s="36" t="s">
        <v>295</v>
      </c>
      <c r="BA28" s="36">
        <v>2.3</v>
      </c>
      <c r="BB28" s="34"/>
      <c r="BC28" s="34"/>
      <c r="BD28" s="34"/>
      <c r="BE28" s="34"/>
      <c r="BF28" s="34"/>
      <c r="BG28" s="34"/>
      <c r="BH28" s="18">
        <f t="shared" si="5"/>
        <v>12.3</v>
      </c>
      <c r="BI28" s="19">
        <f>ifs(BH28=0,"na",BH28="NR","NR",BH28="?","?",BK28&gt;0,"?",iserror(Calcs!AB28),"?",1,Calcs!AB28)</f>
        <v>0.6430964471</v>
      </c>
      <c r="BJ28" s="36" t="s">
        <v>282</v>
      </c>
      <c r="BK28" s="34"/>
      <c r="BL28" s="18">
        <f t="shared" si="6"/>
        <v>12.3</v>
      </c>
      <c r="BM28" s="34"/>
      <c r="BN28" s="34"/>
      <c r="BO28" s="34">
        <v>1.0</v>
      </c>
      <c r="BP28" s="20">
        <f>ifs(isblank(AX28),0,BH28="NR","NR",BH28="?","?",1,(AY28*vlookup(AX28,Ores[],2,FALSE)+if(isblank(AZ28),0,BA28*vlookup(AZ28,Ores[],2,FALSE))+if(isblank(BB28),0,BC28*vlookup(BB28,Ores[],2,FALSE))+if(isblank(BD28),0,BE28*vlookup(BD28,Ores[],2,FALSE))+if(isblank(BF28),0,BG28*vlookup(BF28,Ores[],2,FALSE)))/BH28)</f>
        <v>2.806747967</v>
      </c>
      <c r="BQ28" s="20">
        <f>ifs(isblank(AX28),0,BH28="NR","NR",BH28="?","?",1,(AY28*vlookup(AX28,Ores[],4,FALSE)+if(isblank(AZ28),0,BA28*vlookup(AZ28,Ores[],4,FALSE))+if(isblank(BB28),0,BC28*vlookup(BB28,Ores[],4,FALSE))+if(isblank(BD28),0,BE28*vlookup(BD28,Ores[],4,FALSE))+if(isblank(BF28),0,BG28*vlookup(BF28,Ores[],4,FALSE)))/BH28)</f>
        <v>1.198292683</v>
      </c>
      <c r="BR28" s="21">
        <f>ifs(isblank(AX28),0,BH28="NR","NR",BH28="?","?",1,(AY28*vlookup(AX28,Ores[],8,FALSE)+if(isblank(AZ28),0,BA28*vlookup(AZ28,Ores[],8,FALSE))+if(isblank(BB28),0,BC28*vlookup(BB28,Ores[],8,FALSE))+if(isblank(BD28),0,BE28*vlookup(BD28,Ores[],8,FALSE))+if(isblank(BF28),0,BG28*vlookup(BF28,Ores[],8,FALSE)))/BH28)</f>
        <v>0.4394308943</v>
      </c>
      <c r="BS28" s="21">
        <f>ifs(isblank(AX28),0,BH28="NR","NR",BH28="?","?",1,(AY28*vlookup(AX28,Ores[],7,FALSE)+if(isblank(AZ28),0,BA28*vlookup(AZ28,Ores[],7,FALSE))+if(isblank(BB28),0,BC28*vlookup(BB28,Ores[],7,FALSE))+if(isblank(BD28),0,BE28*vlookup(BD28,Ores[],7,FALSE))+if(isblank(BF28),0,BG28*vlookup(BF28,Ores[],7,FALSE)))/BH28)</f>
        <v>0</v>
      </c>
      <c r="BT28" s="21">
        <f>ifs(isblank(AX28),0,BH28="NR","NR",BH28="?","?",1,(AY28*vlookup(AX28,Ores[],3,FALSE)+if(isblank(AZ28),0,BA28*vlookup(AZ28,Ores[],3,FALSE))+if(isblank(BB28),0,BC28*vlookup(BB28,Ores[],3,FALSE))+if(isblank(BD28),0,BE28*vlookup(BD28,Ores[],3,FALSE))+if(isblank(BF28),0,BG28*vlookup(BF28,Ores[],3,FALSE)))/BH28)</f>
        <v>0.1023577236</v>
      </c>
      <c r="BU28" s="21">
        <f>ifs(isblank(AX28),0,BH28="NR","NR",BH28="?","?",1,(AY28*vlookup(AX28,Ores[],5,FALSE)+if(isblank(AZ28),0,BA28*vlookup(AZ28,Ores[],5,FALSE))+if(isblank(BB28),0,BC28*vlookup(BB28,Ores[],5,FALSE))+if(isblank(BD28),0,BE28*vlookup(BD28,Ores[],5,FALSE))+if(isblank(BF28),0,BG28*vlookup(BF28,Ores[],5,FALSE)))/BH28)</f>
        <v>0.7236585366</v>
      </c>
      <c r="BV28" s="22" t="str">
        <f t="shared" si="7"/>
        <v>NR</v>
      </c>
      <c r="BW28" s="40">
        <v>77.0</v>
      </c>
      <c r="BX28" s="41">
        <v>34.0</v>
      </c>
      <c r="BY28" s="47"/>
      <c r="BZ28" s="56">
        <f t="shared" si="8"/>
        <v>19.92307692</v>
      </c>
      <c r="CA28" s="53">
        <f t="shared" si="9"/>
        <v>13.16056911</v>
      </c>
      <c r="CB28" s="43" t="s">
        <v>127</v>
      </c>
      <c r="CC28" s="41" t="s">
        <v>128</v>
      </c>
      <c r="CD28" s="28">
        <f t="shared" si="10"/>
        <v>13.16056911</v>
      </c>
      <c r="CE28" s="43">
        <f t="shared" si="11"/>
        <v>259</v>
      </c>
      <c r="CF28" s="41"/>
      <c r="CG28" s="43"/>
      <c r="CH28" s="43">
        <v>58.0</v>
      </c>
      <c r="CI28" s="43">
        <v>317.0</v>
      </c>
      <c r="CJ28" s="43" t="s">
        <v>116</v>
      </c>
      <c r="CK28" s="43">
        <v>27.0</v>
      </c>
      <c r="CL28" s="43">
        <v>7.36</v>
      </c>
      <c r="CM28" s="43">
        <v>3.0</v>
      </c>
      <c r="CN28" s="43">
        <v>19.68</v>
      </c>
      <c r="CO28" s="43">
        <v>13.0</v>
      </c>
      <c r="CP28" s="43">
        <v>3.58</v>
      </c>
      <c r="CQ28" s="43">
        <v>2.0</v>
      </c>
      <c r="CR28" s="41" t="s">
        <v>257</v>
      </c>
      <c r="CS28" s="44">
        <v>2.0</v>
      </c>
      <c r="CT28" s="41" t="s">
        <v>361</v>
      </c>
      <c r="CU28" s="30"/>
      <c r="CV28" s="29"/>
      <c r="CW28" s="30">
        <f t="shared" si="12"/>
        <v>0.162601626</v>
      </c>
      <c r="CX28" s="31">
        <f t="shared" si="19"/>
        <v>0.2528417421</v>
      </c>
      <c r="CY28" s="43" t="s">
        <v>362</v>
      </c>
      <c r="CZ28" s="41">
        <v>3.5</v>
      </c>
      <c r="DA28" s="41" t="s">
        <v>306</v>
      </c>
      <c r="DB28" s="41" t="s">
        <v>363</v>
      </c>
      <c r="DC28" s="41" t="s">
        <v>364</v>
      </c>
      <c r="DD28" s="41"/>
      <c r="DE28" s="41"/>
      <c r="DF28" s="41"/>
      <c r="DG28" s="41"/>
      <c r="DH28" s="41"/>
      <c r="DI28" s="41"/>
      <c r="DJ28" s="41"/>
      <c r="DK28" s="41"/>
      <c r="DL28" s="41"/>
      <c r="DM28" s="45"/>
    </row>
    <row r="29" ht="22.5" customHeight="1">
      <c r="A29" s="33">
        <v>28.0</v>
      </c>
      <c r="B29" s="34" t="s">
        <v>330</v>
      </c>
      <c r="C29" s="34" t="s">
        <v>365</v>
      </c>
      <c r="D29" s="34" t="s">
        <v>138</v>
      </c>
      <c r="E29" s="35">
        <v>39411.0</v>
      </c>
      <c r="F29" s="34" t="s">
        <v>109</v>
      </c>
      <c r="G29" s="36" t="s">
        <v>110</v>
      </c>
      <c r="H29" s="36" t="s">
        <v>249</v>
      </c>
      <c r="I29" s="36" t="s">
        <v>366</v>
      </c>
      <c r="J29" s="36" t="s">
        <v>276</v>
      </c>
      <c r="K29" s="34"/>
      <c r="L29" s="34"/>
      <c r="M29" s="36" t="s">
        <v>150</v>
      </c>
      <c r="N29" s="36" t="s">
        <v>168</v>
      </c>
      <c r="O29" s="34">
        <f t="shared" si="20"/>
        <v>72</v>
      </c>
      <c r="P29" s="34">
        <f t="shared" si="21"/>
        <v>72</v>
      </c>
      <c r="Q29" s="36">
        <v>72.0</v>
      </c>
      <c r="R29" s="34"/>
      <c r="S29" s="34">
        <v>50.0</v>
      </c>
      <c r="T29" s="34">
        <v>40.0</v>
      </c>
      <c r="U29" s="34">
        <v>25.0</v>
      </c>
      <c r="V29" s="34"/>
      <c r="W29" s="34"/>
      <c r="X29" s="34"/>
      <c r="Y29" s="34"/>
      <c r="Z29" s="34"/>
      <c r="AA29" s="37">
        <f>Calcs!O29</f>
        <v>490.9</v>
      </c>
      <c r="AB29" s="46" t="s">
        <v>367</v>
      </c>
      <c r="AC29" s="34" t="s">
        <v>152</v>
      </c>
      <c r="AD29" s="34" t="s">
        <v>262</v>
      </c>
      <c r="AE29" s="34">
        <v>2.5</v>
      </c>
      <c r="AF29" s="36"/>
      <c r="AG29" s="36">
        <v>20.0</v>
      </c>
      <c r="AH29" s="36" t="s">
        <v>170</v>
      </c>
      <c r="AI29" s="34"/>
      <c r="AJ29" s="34">
        <v>5.0</v>
      </c>
      <c r="AK29" s="34"/>
      <c r="AL29" s="34" t="s">
        <v>184</v>
      </c>
      <c r="AM29" s="34"/>
      <c r="AN29" s="36">
        <v>20.0</v>
      </c>
      <c r="AO29" s="34">
        <v>10.0</v>
      </c>
      <c r="AP29" s="34"/>
      <c r="AQ29" s="36" t="s">
        <v>154</v>
      </c>
      <c r="AR29" s="34"/>
      <c r="AS29" s="34">
        <v>770.0</v>
      </c>
      <c r="AT29" s="14" t="str">
        <f t="shared" si="3"/>
        <v/>
      </c>
      <c r="AU29" s="12"/>
      <c r="AV29" s="38"/>
      <c r="AW29" s="17">
        <f t="shared" si="4"/>
        <v>589.08</v>
      </c>
      <c r="AX29" s="36" t="s">
        <v>225</v>
      </c>
      <c r="AY29" s="36">
        <v>16.2</v>
      </c>
      <c r="AZ29" s="36" t="s">
        <v>295</v>
      </c>
      <c r="BA29" s="36">
        <v>1.8</v>
      </c>
      <c r="BB29" s="34"/>
      <c r="BC29" s="34"/>
      <c r="BD29" s="34"/>
      <c r="BE29" s="34"/>
      <c r="BF29" s="34"/>
      <c r="BG29" s="34"/>
      <c r="BH29" s="18">
        <f t="shared" si="5"/>
        <v>18</v>
      </c>
      <c r="BI29" s="19">
        <f>ifs(BH29=0,"na",BH29="NR","NR",BH29="?","?",BK29&gt;0,"?",iserror(Calcs!AB29),"?",1,Calcs!AB29)</f>
        <v>0.6339220763</v>
      </c>
      <c r="BJ29" s="34" t="s">
        <v>125</v>
      </c>
      <c r="BK29" s="34"/>
      <c r="BL29" s="18">
        <f t="shared" si="6"/>
        <v>18</v>
      </c>
      <c r="BM29" s="34"/>
      <c r="BN29" s="34"/>
      <c r="BO29" s="34" t="s">
        <v>173</v>
      </c>
      <c r="BP29" s="20">
        <f>ifs(isblank(AX29),0,BH29="NR","NR",BH29="?","?",1,(AY29*vlookup(AX29,Ores[],2,FALSE)+if(isblank(AZ29),0,BA29*vlookup(AZ29,Ores[],2,FALSE))+if(isblank(BB29),0,BC29*vlookup(BB29,Ores[],2,FALSE))+if(isblank(BD29),0,BE29*vlookup(BD29,Ores[],2,FALSE))+if(isblank(BF29),0,BG29*vlookup(BF29,Ores[],2,FALSE)))/BH29)</f>
        <v>5.884</v>
      </c>
      <c r="BQ29" s="20">
        <f>ifs(isblank(AX29),0,BH29="NR","NR",BH29="?","?",1,(AY29*vlookup(AX29,Ores[],4,FALSE)+if(isblank(AZ29),0,BA29*vlookup(AZ29,Ores[],4,FALSE))+if(isblank(BB29),0,BC29*vlookup(BB29,Ores[],4,FALSE))+if(isblank(BD29),0,BE29*vlookup(BD29,Ores[],4,FALSE))+if(isblank(BF29),0,BG29*vlookup(BF29,Ores[],4,FALSE)))/BH29)</f>
        <v>0.691</v>
      </c>
      <c r="BR29" s="21">
        <f>ifs(isblank(AX29),0,BH29="NR","NR",BH29="?","?",1,(AY29*vlookup(AX29,Ores[],8,FALSE)+if(isblank(AZ29),0,BA29*vlookup(AZ29,Ores[],8,FALSE))+if(isblank(BB29),0,BC29*vlookup(BB29,Ores[],8,FALSE))+if(isblank(BD29),0,BE29*vlookup(BD29,Ores[],8,FALSE))+if(isblank(BF29),0,BG29*vlookup(BF29,Ores[],8,FALSE)))/BH29)</f>
        <v>0.235</v>
      </c>
      <c r="BS29" s="21">
        <f>ifs(isblank(AX29),0,BH29="NR","NR",BH29="?","?",1,(AY29*vlookup(AX29,Ores[],7,FALSE)+if(isblank(AZ29),0,BA29*vlookup(AZ29,Ores[],7,FALSE))+if(isblank(BB29),0,BC29*vlookup(BB29,Ores[],7,FALSE))+if(isblank(BD29),0,BE29*vlookup(BD29,Ores[],7,FALSE))+if(isblank(BF29),0,BG29*vlookup(BF29,Ores[],7,FALSE)))/BH29)</f>
        <v>0</v>
      </c>
      <c r="BT29" s="21">
        <f>ifs(isblank(AX29),0,BH29="NR","NR",BH29="?","?",1,(AY29*vlookup(AX29,Ores[],3,FALSE)+if(isblank(AZ29),0,BA29*vlookup(AZ29,Ores[],3,FALSE))+if(isblank(BB29),0,BC29*vlookup(BB29,Ores[],3,FALSE))+if(isblank(BD29),0,BE29*vlookup(BD29,Ores[],3,FALSE))+if(isblank(BF29),0,BG29*vlookup(BF29,Ores[],3,FALSE)))/BH29)</f>
        <v>0.357</v>
      </c>
      <c r="BU29" s="21">
        <f>ifs(isblank(AX29),0,BH29="NR","NR",BH29="?","?",1,(AY29*vlookup(AX29,Ores[],5,FALSE)+if(isblank(AZ29),0,BA29*vlookup(AZ29,Ores[],5,FALSE))+if(isblank(BB29),0,BC29*vlookup(BB29,Ores[],5,FALSE))+if(isblank(BD29),0,BE29*vlookup(BD29,Ores[],5,FALSE))+if(isblank(BF29),0,BG29*vlookup(BF29,Ores[],5,FALSE)))/BH29)</f>
        <v>0.558</v>
      </c>
      <c r="BV29" s="22">
        <f t="shared" si="7"/>
        <v>4.333333333</v>
      </c>
      <c r="BW29" s="40">
        <v>120.0</v>
      </c>
      <c r="BX29" s="41">
        <v>60.0</v>
      </c>
      <c r="BY29" s="47"/>
      <c r="BZ29" s="56">
        <f t="shared" si="8"/>
        <v>7.375</v>
      </c>
      <c r="CA29" s="53">
        <f t="shared" si="9"/>
        <v>4.179166667</v>
      </c>
      <c r="CB29" s="43" t="s">
        <v>127</v>
      </c>
      <c r="CC29" s="41" t="s">
        <v>327</v>
      </c>
      <c r="CD29" s="28">
        <f t="shared" si="10"/>
        <v>4.179166667</v>
      </c>
      <c r="CE29" s="43">
        <f t="shared" si="11"/>
        <v>177</v>
      </c>
      <c r="CF29" s="41"/>
      <c r="CG29" s="43"/>
      <c r="CH29" s="43">
        <v>32.0</v>
      </c>
      <c r="CI29" s="43">
        <v>209.0</v>
      </c>
      <c r="CJ29" s="43">
        <v>260.0</v>
      </c>
      <c r="CK29" s="43">
        <v>51.0</v>
      </c>
      <c r="CL29" s="53">
        <f>CM29*$BX29/34</f>
        <v>8.823529412</v>
      </c>
      <c r="CM29" s="43">
        <v>5.0</v>
      </c>
      <c r="CN29" s="53">
        <f>CO29*$BX29/34</f>
        <v>42.35294118</v>
      </c>
      <c r="CO29" s="43">
        <v>24.0</v>
      </c>
      <c r="CP29" s="53">
        <f>CQ29*$BX29/34</f>
        <v>3.529411765</v>
      </c>
      <c r="CQ29" s="43">
        <v>2.0</v>
      </c>
      <c r="CR29" s="41" t="s">
        <v>129</v>
      </c>
      <c r="CS29" s="53">
        <v>5.5</v>
      </c>
      <c r="CT29" s="43" t="s">
        <v>234</v>
      </c>
      <c r="CU29" s="30"/>
      <c r="CV29" s="29"/>
      <c r="CW29" s="30">
        <f t="shared" si="12"/>
        <v>0.3055555556</v>
      </c>
      <c r="CX29" s="31">
        <f t="shared" si="19"/>
        <v>0.4820080685</v>
      </c>
      <c r="CY29" s="41" t="s">
        <v>159</v>
      </c>
      <c r="CZ29" s="41">
        <v>9.0</v>
      </c>
      <c r="DA29" s="41" t="s">
        <v>264</v>
      </c>
      <c r="DB29" s="41" t="s">
        <v>333</v>
      </c>
      <c r="DC29" s="41" t="s">
        <v>334</v>
      </c>
      <c r="DD29" s="41"/>
      <c r="DE29" s="41"/>
      <c r="DF29" s="41"/>
      <c r="DG29" s="41"/>
      <c r="DH29" s="41"/>
      <c r="DI29" s="41"/>
      <c r="DJ29" s="41"/>
      <c r="DK29" s="41"/>
      <c r="DL29" s="41"/>
      <c r="DM29" s="45"/>
    </row>
    <row r="30" ht="21.75" customHeight="1">
      <c r="A30" s="33">
        <v>29.0</v>
      </c>
      <c r="B30" s="34" t="s">
        <v>368</v>
      </c>
      <c r="C30" s="34" t="s">
        <v>369</v>
      </c>
      <c r="D30" s="36" t="s">
        <v>205</v>
      </c>
      <c r="E30" s="35">
        <v>39520.0</v>
      </c>
      <c r="F30" s="34" t="s">
        <v>109</v>
      </c>
      <c r="G30" s="36" t="s">
        <v>110</v>
      </c>
      <c r="H30" s="34"/>
      <c r="I30" s="34" t="s">
        <v>148</v>
      </c>
      <c r="J30" s="36" t="s">
        <v>370</v>
      </c>
      <c r="K30" s="36">
        <v>1.0</v>
      </c>
      <c r="L30" s="36"/>
      <c r="M30" s="36" t="s">
        <v>150</v>
      </c>
      <c r="N30" s="36" t="s">
        <v>168</v>
      </c>
      <c r="O30" s="34">
        <f t="shared" si="20"/>
        <v>105</v>
      </c>
      <c r="P30" s="34">
        <f t="shared" si="21"/>
        <v>105</v>
      </c>
      <c r="Q30" s="36">
        <v>105.0</v>
      </c>
      <c r="R30" s="34"/>
      <c r="S30" s="34">
        <v>60.0</v>
      </c>
      <c r="T30" s="34" t="s">
        <v>371</v>
      </c>
      <c r="U30" s="51">
        <v>30.0</v>
      </c>
      <c r="V30" s="51"/>
      <c r="W30" s="36"/>
      <c r="X30" s="36"/>
      <c r="Y30" s="36"/>
      <c r="Z30" s="36"/>
      <c r="AA30" s="37">
        <f>Calcs!O30</f>
        <v>706.9</v>
      </c>
      <c r="AB30" s="34">
        <v>7.0</v>
      </c>
      <c r="AC30" s="34" t="s">
        <v>372</v>
      </c>
      <c r="AD30" s="34" t="s">
        <v>373</v>
      </c>
      <c r="AE30" s="34">
        <v>3.0</v>
      </c>
      <c r="AF30" s="65"/>
      <c r="AG30" s="65">
        <v>22.0</v>
      </c>
      <c r="AH30" s="36" t="s">
        <v>170</v>
      </c>
      <c r="AI30" s="34"/>
      <c r="AJ30" s="36">
        <v>-6.0</v>
      </c>
      <c r="AK30" s="34"/>
      <c r="AL30" s="34" t="s">
        <v>184</v>
      </c>
      <c r="AM30" s="34"/>
      <c r="AN30" s="36" t="s">
        <v>116</v>
      </c>
      <c r="AO30" s="34">
        <v>15.0</v>
      </c>
      <c r="AP30" s="34"/>
      <c r="AQ30" s="34" t="s">
        <v>254</v>
      </c>
      <c r="AR30" s="34"/>
      <c r="AS30" s="34" t="s">
        <v>116</v>
      </c>
      <c r="AT30" s="14" t="str">
        <f t="shared" si="3"/>
        <v/>
      </c>
      <c r="AU30" s="12"/>
      <c r="AV30" s="38"/>
      <c r="AW30" s="17">
        <f t="shared" si="4"/>
        <v>848.28</v>
      </c>
      <c r="AX30" s="36" t="s">
        <v>155</v>
      </c>
      <c r="AY30" s="36">
        <v>23.0</v>
      </c>
      <c r="AZ30" s="36"/>
      <c r="BA30" s="36"/>
      <c r="BB30" s="36"/>
      <c r="BC30" s="36"/>
      <c r="BD30" s="34"/>
      <c r="BE30" s="34"/>
      <c r="BF30" s="34"/>
      <c r="BG30" s="34"/>
      <c r="BH30" s="18">
        <f t="shared" si="5"/>
        <v>23</v>
      </c>
      <c r="BI30" s="19">
        <f>ifs(BH30=0,"na",BH30="NR","NR",BH30="?","?",BK30&gt;0,"?",iserror(Calcs!AB30),"?",1,Calcs!AB30)</f>
        <v>0.58</v>
      </c>
      <c r="BJ30" s="34" t="s">
        <v>125</v>
      </c>
      <c r="BK30" s="34"/>
      <c r="BL30" s="18">
        <f t="shared" si="6"/>
        <v>23</v>
      </c>
      <c r="BM30" s="34"/>
      <c r="BN30" s="34"/>
      <c r="BO30" s="34" t="s">
        <v>173</v>
      </c>
      <c r="BP30" s="20">
        <f>ifs(isblank(AX30),0,BH30="NR","NR",BH30="?","?",1,(AY30*vlookup(AX30,Ores[],2,FALSE)+if(isblank(AZ30),0,BA30*vlookup(AZ30,Ores[],2,FALSE))+if(isblank(BB30),0,BC30*vlookup(BB30,Ores[],2,FALSE))+if(isblank(BD30),0,BE30*vlookup(BD30,Ores[],2,FALSE))+if(isblank(BF30),0,BG30*vlookup(BF30,Ores[],2,FALSE)))/BH30)</f>
        <v>8.73</v>
      </c>
      <c r="BQ30" s="20">
        <f>ifs(isblank(AX30),0,BH30="NR","NR",BH30="?","?",1,(AY30*vlookup(AX30,Ores[],4,FALSE)+if(isblank(AZ30),0,BA30*vlookup(AZ30,Ores[],4,FALSE))+if(isblank(BB30),0,BC30*vlookup(BB30,Ores[],4,FALSE))+if(isblank(BD30),0,BE30*vlookup(BD30,Ores[],4,FALSE))+if(isblank(BF30),0,BG30*vlookup(BF30,Ores[],4,FALSE)))/BH30)</f>
        <v>2.04</v>
      </c>
      <c r="BR30" s="21">
        <f>ifs(isblank(AX30),0,BH30="NR","NR",BH30="?","?",1,(AY30*vlookup(AX30,Ores[],8,FALSE)+if(isblank(AZ30),0,BA30*vlookup(AZ30,Ores[],8,FALSE))+if(isblank(BB30),0,BC30*vlookup(BB30,Ores[],8,FALSE))+if(isblank(BD30),0,BE30*vlookup(BD30,Ores[],8,FALSE))+if(isblank(BF30),0,BG30*vlookup(BF30,Ores[],8,FALSE)))/BH30)</f>
        <v>4.02</v>
      </c>
      <c r="BS30" s="21">
        <f>ifs(isblank(AX30),0,BH30="NR","NR",BH30="?","?",1,(AY30*vlookup(AX30,Ores[],7,FALSE)+if(isblank(AZ30),0,BA30*vlookup(AZ30,Ores[],7,FALSE))+if(isblank(BB30),0,BC30*vlookup(BB30,Ores[],7,FALSE))+if(isblank(BD30),0,BE30*vlookup(BD30,Ores[],7,FALSE))+if(isblank(BF30),0,BG30*vlookup(BF30,Ores[],7,FALSE)))/BH30)</f>
        <v>0</v>
      </c>
      <c r="BT30" s="21">
        <f>ifs(isblank(AX30),0,BH30="NR","NR",BH30="?","?",1,(AY30*vlookup(AX30,Ores[],3,FALSE)+if(isblank(AZ30),0,BA30*vlookup(AZ30,Ores[],3,FALSE))+if(isblank(BB30),0,BC30*vlookup(BB30,Ores[],3,FALSE))+if(isblank(BD30),0,BE30*vlookup(BD30,Ores[],3,FALSE))+if(isblank(BF30),0,BG30*vlookup(BF30,Ores[],3,FALSE)))/BH30)</f>
        <v>0</v>
      </c>
      <c r="BU30" s="21">
        <f>ifs(isblank(AX30),0,BH30="NR","NR",BH30="?","?",1,(AY30*vlookup(AX30,Ores[],5,FALSE)+if(isblank(AZ30),0,BA30*vlookup(AZ30,Ores[],5,FALSE))+if(isblank(BB30),0,BC30*vlookup(BB30,Ores[],5,FALSE))+if(isblank(BD30),0,BE30*vlookup(BD30,Ores[],5,FALSE))+if(isblank(BF30),0,BG30*vlookup(BF30,Ores[],5,FALSE)))/BH30)</f>
        <v>0.4</v>
      </c>
      <c r="BV30" s="22">
        <f t="shared" si="7"/>
        <v>6.088888889</v>
      </c>
      <c r="BW30" s="40">
        <v>123.0</v>
      </c>
      <c r="BX30" s="43">
        <v>45.0</v>
      </c>
      <c r="BY30" s="47"/>
      <c r="BZ30" s="56">
        <f t="shared" si="8"/>
        <v>13.21212121</v>
      </c>
      <c r="CA30" s="53">
        <f t="shared" si="9"/>
        <v>7.486868687</v>
      </c>
      <c r="CB30" s="41" t="s">
        <v>185</v>
      </c>
      <c r="CC30" s="41" t="s">
        <v>186</v>
      </c>
      <c r="CD30" s="28">
        <f t="shared" si="10"/>
        <v>7.486868687</v>
      </c>
      <c r="CE30" s="43">
        <f t="shared" si="11"/>
        <v>218</v>
      </c>
      <c r="CF30" s="41"/>
      <c r="CG30" s="43"/>
      <c r="CH30" s="43">
        <v>36.0</v>
      </c>
      <c r="CI30" s="43">
        <v>254.0</v>
      </c>
      <c r="CJ30" s="43">
        <v>274.0</v>
      </c>
      <c r="CK30" s="43">
        <v>20.0</v>
      </c>
      <c r="CL30" s="44">
        <f>CM30*$BX30/25.5</f>
        <v>5.294117647</v>
      </c>
      <c r="CM30" s="43">
        <v>3.0</v>
      </c>
      <c r="CN30" s="44">
        <f>CO30*$BX30/25.5</f>
        <v>29.11764706</v>
      </c>
      <c r="CO30" s="43">
        <v>16.5</v>
      </c>
      <c r="CP30" s="44">
        <f>CQ30*$BX30/25.5</f>
        <v>0</v>
      </c>
      <c r="CQ30" s="43">
        <v>0.0</v>
      </c>
      <c r="CR30" s="41" t="s">
        <v>257</v>
      </c>
      <c r="CS30" s="53">
        <v>5.5</v>
      </c>
      <c r="CT30" s="43" t="s">
        <v>374</v>
      </c>
      <c r="CU30" s="27" t="s">
        <v>212</v>
      </c>
      <c r="CV30" s="29"/>
      <c r="CW30" s="30">
        <f t="shared" si="12"/>
        <v>0.2391304348</v>
      </c>
      <c r="CX30" s="31">
        <f t="shared" si="19"/>
        <v>0.4122938531</v>
      </c>
      <c r="CY30" s="41" t="s">
        <v>375</v>
      </c>
      <c r="CZ30" s="41"/>
      <c r="DA30" s="41" t="s">
        <v>376</v>
      </c>
      <c r="DB30" s="41" t="s">
        <v>377</v>
      </c>
      <c r="DC30" s="41" t="s">
        <v>378</v>
      </c>
      <c r="DD30" s="41"/>
      <c r="DE30" s="41"/>
      <c r="DF30" s="41"/>
      <c r="DG30" s="41"/>
      <c r="DH30" s="41"/>
      <c r="DI30" s="41"/>
      <c r="DJ30" s="41"/>
      <c r="DK30" s="41"/>
      <c r="DL30" s="41"/>
      <c r="DM30" s="45"/>
    </row>
    <row r="31" ht="21.75" customHeight="1">
      <c r="A31" s="33">
        <v>30.0</v>
      </c>
      <c r="B31" s="34" t="s">
        <v>379</v>
      </c>
      <c r="C31" s="34" t="s">
        <v>369</v>
      </c>
      <c r="D31" s="36" t="s">
        <v>205</v>
      </c>
      <c r="E31" s="35">
        <v>39523.0</v>
      </c>
      <c r="F31" s="34" t="s">
        <v>109</v>
      </c>
      <c r="G31" s="36" t="s">
        <v>110</v>
      </c>
      <c r="H31" s="34"/>
      <c r="I31" s="34" t="s">
        <v>148</v>
      </c>
      <c r="J31" s="36" t="s">
        <v>370</v>
      </c>
      <c r="K31" s="36">
        <v>2.0</v>
      </c>
      <c r="L31" s="36">
        <v>29.0</v>
      </c>
      <c r="M31" s="36" t="s">
        <v>150</v>
      </c>
      <c r="N31" s="36" t="s">
        <v>168</v>
      </c>
      <c r="O31" s="34">
        <f t="shared" si="20"/>
        <v>105</v>
      </c>
      <c r="P31" s="34">
        <f t="shared" si="21"/>
        <v>105</v>
      </c>
      <c r="Q31" s="36">
        <v>105.0</v>
      </c>
      <c r="R31" s="34"/>
      <c r="S31" s="34">
        <v>60.0</v>
      </c>
      <c r="T31" s="34" t="s">
        <v>371</v>
      </c>
      <c r="U31" s="51">
        <v>30.0</v>
      </c>
      <c r="V31" s="51"/>
      <c r="W31" s="36"/>
      <c r="X31" s="36"/>
      <c r="Y31" s="36"/>
      <c r="Z31" s="36"/>
      <c r="AA31" s="37">
        <f>Calcs!O31</f>
        <v>706.9</v>
      </c>
      <c r="AB31" s="34">
        <v>7.0</v>
      </c>
      <c r="AC31" s="34" t="s">
        <v>380</v>
      </c>
      <c r="AD31" s="34" t="s">
        <v>373</v>
      </c>
      <c r="AE31" s="34">
        <v>3.0</v>
      </c>
      <c r="AF31" s="70"/>
      <c r="AG31" s="70">
        <v>22.0</v>
      </c>
      <c r="AH31" s="71" t="s">
        <v>170</v>
      </c>
      <c r="AI31" s="34"/>
      <c r="AJ31" s="36">
        <v>-6.0</v>
      </c>
      <c r="AK31" s="34"/>
      <c r="AL31" s="34" t="s">
        <v>184</v>
      </c>
      <c r="AM31" s="34"/>
      <c r="AN31" s="36" t="s">
        <v>116</v>
      </c>
      <c r="AO31" s="34">
        <v>15.0</v>
      </c>
      <c r="AP31" s="34"/>
      <c r="AQ31" s="34" t="s">
        <v>254</v>
      </c>
      <c r="AR31" s="34"/>
      <c r="AS31" s="34" t="s">
        <v>116</v>
      </c>
      <c r="AT31" s="14" t="str">
        <f t="shared" si="3"/>
        <v/>
      </c>
      <c r="AU31" s="12"/>
      <c r="AV31" s="38"/>
      <c r="AW31" s="17">
        <f t="shared" si="4"/>
        <v>848.28</v>
      </c>
      <c r="AX31" s="36" t="s">
        <v>381</v>
      </c>
      <c r="AY31" s="36">
        <v>30.2</v>
      </c>
      <c r="AZ31" s="34"/>
      <c r="BA31" s="34"/>
      <c r="BB31" s="34"/>
      <c r="BC31" s="34"/>
      <c r="BD31" s="34"/>
      <c r="BE31" s="34"/>
      <c r="BF31" s="34"/>
      <c r="BG31" s="34"/>
      <c r="BH31" s="18">
        <f t="shared" si="5"/>
        <v>30.2</v>
      </c>
      <c r="BI31" s="19">
        <f>ifs(BH31=0,"na",BH31="NR","NR",BH31="?","?",BK31&gt;0,"?",iserror(Calcs!AB31),"?",1,Calcs!AB31)</f>
        <v>0.4984213344</v>
      </c>
      <c r="BJ31" s="34"/>
      <c r="BK31" s="34"/>
      <c r="BL31" s="18">
        <f t="shared" si="6"/>
        <v>30.2</v>
      </c>
      <c r="BM31" s="34"/>
      <c r="BN31" s="34"/>
      <c r="BO31" s="34" t="s">
        <v>382</v>
      </c>
      <c r="BP31" s="20">
        <f>ifs(isblank(AX31),0,BH31="NR","NR",BH31="?","?",1,(AY31*vlookup(AX31,Ores[],2,FALSE)+if(isblank(AZ31),0,BA31*vlookup(AZ31,Ores[],2,FALSE))+if(isblank(BB31),0,BC31*vlookup(BB31,Ores[],2,FALSE))+if(isblank(BD31),0,BE31*vlookup(BD31,Ores[],2,FALSE))+if(isblank(BF31),0,BG31*vlookup(BF31,Ores[],2,FALSE)))/BH31)</f>
        <v>13.48973607</v>
      </c>
      <c r="BQ31" s="20">
        <f>ifs(isblank(AX31),0,BH31="NR","NR",BH31="?","?",1,(AY31*vlookup(AX31,Ores[],4,FALSE)+if(isblank(AZ31),0,BA31*vlookup(AZ31,Ores[],4,FALSE))+if(isblank(BB31),0,BC31*vlookup(BB31,Ores[],4,FALSE))+if(isblank(BD31),0,BE31*vlookup(BD31,Ores[],4,FALSE))+if(isblank(BF31),0,BG31*vlookup(BF31,Ores[],4,FALSE)))/BH31)</f>
        <v>2.287390029</v>
      </c>
      <c r="BR31" s="21">
        <f>ifs(isblank(AX31),0,BH31="NR","NR",BH31="?","?",1,(AY31*vlookup(AX31,Ores[],8,FALSE)+if(isblank(AZ31),0,BA31*vlookup(AZ31,Ores[],8,FALSE))+if(isblank(BB31),0,BC31*vlookup(BB31,Ores[],8,FALSE))+if(isblank(BD31),0,BE31*vlookup(BD31,Ores[],8,FALSE))+if(isblank(BF31),0,BG31*vlookup(BF31,Ores[],8,FALSE)))/BH31)</f>
        <v>0</v>
      </c>
      <c r="BS31" s="21">
        <f>ifs(isblank(AX31),0,BH31="NR","NR",BH31="?","?",1,(AY31*vlookup(AX31,Ores[],7,FALSE)+if(isblank(AZ31),0,BA31*vlookup(AZ31,Ores[],7,FALSE))+if(isblank(BB31),0,BC31*vlookup(BB31,Ores[],7,FALSE))+if(isblank(BD31),0,BE31*vlookup(BD31,Ores[],7,FALSE))+if(isblank(BF31),0,BG31*vlookup(BF31,Ores[],7,FALSE)))/BH31)</f>
        <v>0</v>
      </c>
      <c r="BT31" s="21">
        <f>ifs(isblank(AX31),0,BH31="NR","NR",BH31="?","?",1,(AY31*vlookup(AX31,Ores[],3,FALSE)+if(isblank(AZ31),0,BA31*vlookup(AZ31,Ores[],3,FALSE))+if(isblank(BB31),0,BC31*vlookup(BB31,Ores[],3,FALSE))+if(isblank(BD31),0,BE31*vlookup(BD31,Ores[],3,FALSE))+if(isblank(BF31),0,BG31*vlookup(BF31,Ores[],3,FALSE)))/BH31)</f>
        <v>1.759530792</v>
      </c>
      <c r="BU31" s="21">
        <f>ifs(isblank(AX31),0,BH31="NR","NR",BH31="?","?",1,(AY31*vlookup(AX31,Ores[],5,FALSE)+if(isblank(AZ31),0,BA31*vlookup(AZ31,Ores[],5,FALSE))+if(isblank(BB31),0,BC31*vlookup(BB31,Ores[],5,FALSE))+if(isblank(BD31),0,BE31*vlookup(BD31,Ores[],5,FALSE))+if(isblank(BF31),0,BG31*vlookup(BF31,Ores[],5,FALSE)))/BH31)</f>
        <v>0</v>
      </c>
      <c r="BV31" s="22" t="str">
        <f t="shared" si="7"/>
        <v>NR</v>
      </c>
      <c r="BW31" s="40">
        <v>70.0</v>
      </c>
      <c r="BX31" s="44">
        <f>120/2.2</f>
        <v>54.54545455</v>
      </c>
      <c r="BY31" s="47"/>
      <c r="BZ31" s="56">
        <f t="shared" si="8"/>
        <v>12.54545455</v>
      </c>
      <c r="CA31" s="53">
        <f t="shared" si="9"/>
        <v>6.9</v>
      </c>
      <c r="CB31" s="41" t="s">
        <v>185</v>
      </c>
      <c r="CC31" s="41" t="s">
        <v>186</v>
      </c>
      <c r="CD31" s="28">
        <f t="shared" si="10"/>
        <v>6.9</v>
      </c>
      <c r="CE31" s="43">
        <f t="shared" si="11"/>
        <v>276</v>
      </c>
      <c r="CF31" s="41"/>
      <c r="CG31" s="43"/>
      <c r="CH31" s="43">
        <v>43.0</v>
      </c>
      <c r="CI31" s="43">
        <v>319.0</v>
      </c>
      <c r="CJ31" s="43" t="s">
        <v>116</v>
      </c>
      <c r="CK31" s="43">
        <v>58.0</v>
      </c>
      <c r="CL31" s="44">
        <f>CM31*$BX31/30</f>
        <v>5.454545455</v>
      </c>
      <c r="CM31" s="43">
        <v>3.0</v>
      </c>
      <c r="CN31" s="44">
        <f>CO31*$BX31/30</f>
        <v>40</v>
      </c>
      <c r="CO31" s="43">
        <v>22.0</v>
      </c>
      <c r="CP31" s="43">
        <v>0.0</v>
      </c>
      <c r="CQ31" s="43">
        <v>0.0</v>
      </c>
      <c r="CR31" s="41" t="s">
        <v>257</v>
      </c>
      <c r="CS31" s="53">
        <v>1.7</v>
      </c>
      <c r="CT31" s="43" t="s">
        <v>242</v>
      </c>
      <c r="CU31" s="27" t="s">
        <v>383</v>
      </c>
      <c r="CV31" s="29"/>
      <c r="CW31" s="30">
        <f t="shared" si="12"/>
        <v>0.05629139073</v>
      </c>
      <c r="CX31" s="31">
        <f t="shared" si="19"/>
        <v>0.1129393685</v>
      </c>
      <c r="CY31" s="41"/>
      <c r="CZ31" s="41"/>
      <c r="DA31" s="41" t="s">
        <v>376</v>
      </c>
      <c r="DB31" s="41" t="s">
        <v>377</v>
      </c>
      <c r="DC31" s="41" t="s">
        <v>384</v>
      </c>
      <c r="DD31" s="41"/>
      <c r="DE31" s="41"/>
      <c r="DF31" s="41"/>
      <c r="DG31" s="41"/>
      <c r="DH31" s="41"/>
      <c r="DI31" s="41"/>
      <c r="DJ31" s="41"/>
      <c r="DK31" s="41"/>
      <c r="DL31" s="41"/>
      <c r="DM31" s="45"/>
    </row>
    <row r="32" ht="21.75" customHeight="1">
      <c r="A32" s="33">
        <v>31.0</v>
      </c>
      <c r="B32" s="34" t="s">
        <v>368</v>
      </c>
      <c r="C32" s="34" t="s">
        <v>369</v>
      </c>
      <c r="D32" s="36" t="s">
        <v>205</v>
      </c>
      <c r="E32" s="35">
        <v>39524.0</v>
      </c>
      <c r="F32" s="34" t="s">
        <v>109</v>
      </c>
      <c r="G32" s="36" t="s">
        <v>110</v>
      </c>
      <c r="H32" s="34"/>
      <c r="I32" s="34" t="s">
        <v>148</v>
      </c>
      <c r="J32" s="36" t="s">
        <v>370</v>
      </c>
      <c r="K32" s="36">
        <v>3.0</v>
      </c>
      <c r="L32" s="36">
        <v>29.0</v>
      </c>
      <c r="M32" s="36" t="s">
        <v>150</v>
      </c>
      <c r="N32" s="36" t="s">
        <v>168</v>
      </c>
      <c r="O32" s="34">
        <f t="shared" si="20"/>
        <v>105</v>
      </c>
      <c r="P32" s="34">
        <f t="shared" si="21"/>
        <v>105</v>
      </c>
      <c r="Q32" s="36">
        <v>105.0</v>
      </c>
      <c r="R32" s="34"/>
      <c r="S32" s="34">
        <v>58.0</v>
      </c>
      <c r="T32" s="34" t="s">
        <v>371</v>
      </c>
      <c r="U32" s="51">
        <v>30.0</v>
      </c>
      <c r="V32" s="51"/>
      <c r="W32" s="36"/>
      <c r="X32" s="36"/>
      <c r="Y32" s="36"/>
      <c r="Z32" s="36"/>
      <c r="AA32" s="37">
        <f>Calcs!O32</f>
        <v>706.9</v>
      </c>
      <c r="AB32" s="34">
        <v>7.0</v>
      </c>
      <c r="AC32" s="34" t="s">
        <v>385</v>
      </c>
      <c r="AD32" s="34" t="s">
        <v>373</v>
      </c>
      <c r="AE32" s="34">
        <v>4.0</v>
      </c>
      <c r="AF32" s="65"/>
      <c r="AG32" s="65">
        <v>22.0</v>
      </c>
      <c r="AH32" s="36" t="s">
        <v>170</v>
      </c>
      <c r="AI32" s="34"/>
      <c r="AJ32" s="36">
        <v>-13.5</v>
      </c>
      <c r="AK32" s="34"/>
      <c r="AL32" s="34" t="s">
        <v>184</v>
      </c>
      <c r="AM32" s="34"/>
      <c r="AN32" s="36" t="s">
        <v>116</v>
      </c>
      <c r="AO32" s="34">
        <v>10.0</v>
      </c>
      <c r="AP32" s="34"/>
      <c r="AQ32" s="34" t="s">
        <v>254</v>
      </c>
      <c r="AR32" s="34"/>
      <c r="AS32" s="34" t="s">
        <v>116</v>
      </c>
      <c r="AT32" s="14" t="str">
        <f t="shared" si="3"/>
        <v/>
      </c>
      <c r="AU32" s="12"/>
      <c r="AV32" s="38"/>
      <c r="AW32" s="17">
        <f t="shared" si="4"/>
        <v>848.28</v>
      </c>
      <c r="AX32" s="39" t="s">
        <v>295</v>
      </c>
      <c r="AY32" s="36">
        <v>59.5</v>
      </c>
      <c r="AZ32" s="36"/>
      <c r="BA32" s="36"/>
      <c r="BB32" s="36"/>
      <c r="BC32" s="36"/>
      <c r="BD32" s="34"/>
      <c r="BE32" s="34"/>
      <c r="BF32" s="34"/>
      <c r="BG32" s="34"/>
      <c r="BH32" s="18">
        <f t="shared" si="5"/>
        <v>59.5</v>
      </c>
      <c r="BI32" s="19">
        <f>ifs(BH32=0,"na",BH32="NR","NR",BH32="?","?",BK32&gt;0,"?",iserror(Calcs!AB32),"?",1,Calcs!AB32)</f>
        <v>0.4535109057</v>
      </c>
      <c r="BJ32" s="34" t="s">
        <v>125</v>
      </c>
      <c r="BK32" s="34"/>
      <c r="BL32" s="18">
        <f t="shared" si="6"/>
        <v>59.5</v>
      </c>
      <c r="BM32" s="34"/>
      <c r="BN32" s="34"/>
      <c r="BO32" s="34" t="s">
        <v>173</v>
      </c>
      <c r="BP32" s="20">
        <f>ifs(isblank(AX32),0,BH32="NR","NR",BH32="?","?",1,(AY32*vlookup(AX32,Ores[],2,FALSE)+if(isblank(AZ32),0,BA32*vlookup(AZ32,Ores[],2,FALSE))+if(isblank(BB32),0,BC32*vlookup(BB32,Ores[],2,FALSE))+if(isblank(BD32),0,BE32*vlookup(BD32,Ores[],2,FALSE))+if(isblank(BF32),0,BG32*vlookup(BF32,Ores[],2,FALSE)))/BH32)</f>
        <v>15.01</v>
      </c>
      <c r="BQ32" s="20">
        <f>ifs(isblank(AX32),0,BH32="NR","NR",BH32="?","?",1,(AY32*vlookup(AX32,Ores[],4,FALSE)+if(isblank(AZ32),0,BA32*vlookup(AZ32,Ores[],4,FALSE))+if(isblank(BB32),0,BC32*vlookup(BB32,Ores[],4,FALSE))+if(isblank(BD32),0,BE32*vlookup(BD32,Ores[],4,FALSE))+if(isblank(BF32),0,BG32*vlookup(BF32,Ores[],4,FALSE)))/BH32)</f>
        <v>4.93</v>
      </c>
      <c r="BR32" s="21">
        <f>ifs(isblank(AX32),0,BH32="NR","NR",BH32="?","?",1,(AY32*vlookup(AX32,Ores[],8,FALSE)+if(isblank(AZ32),0,BA32*vlookup(AZ32,Ores[],8,FALSE))+if(isblank(BB32),0,BC32*vlookup(BB32,Ores[],8,FALSE))+if(isblank(BD32),0,BE32*vlookup(BD32,Ores[],8,FALSE))+if(isblank(BF32),0,BG32*vlookup(BF32,Ores[],8,FALSE)))/BH32)</f>
        <v>2.35</v>
      </c>
      <c r="BS32" s="21">
        <f>ifs(isblank(AX32),0,BH32="NR","NR",BH32="?","?",1,(AY32*vlookup(AX32,Ores[],7,FALSE)+if(isblank(AZ32),0,BA32*vlookup(AZ32,Ores[],7,FALSE))+if(isblank(BB32),0,BC32*vlookup(BB32,Ores[],7,FALSE))+if(isblank(BD32),0,BE32*vlookup(BD32,Ores[],7,FALSE))+if(isblank(BF32),0,BG32*vlookup(BF32,Ores[],7,FALSE)))/BH32)</f>
        <v>0</v>
      </c>
      <c r="BT32" s="21">
        <f>ifs(isblank(AX32),0,BH32="NR","NR",BH32="?","?",1,(AY32*vlookup(AX32,Ores[],3,FALSE)+if(isblank(AZ32),0,BA32*vlookup(AZ32,Ores[],3,FALSE))+if(isblank(BB32),0,BC32*vlookup(BB32,Ores[],3,FALSE))+if(isblank(BD32),0,BE32*vlookup(BD32,Ores[],3,FALSE))+if(isblank(BF32),0,BG32*vlookup(BF32,Ores[],3,FALSE)))/BH32)</f>
        <v>0.33</v>
      </c>
      <c r="BU32" s="21">
        <f>ifs(isblank(AX32),0,BH32="NR","NR",BH32="?","?",1,(AY32*vlookup(AX32,Ores[],5,FALSE)+if(isblank(AZ32),0,BA32*vlookup(AZ32,Ores[],5,FALSE))+if(isblank(BB32),0,BC32*vlookup(BB32,Ores[],5,FALSE))+if(isblank(BD32),0,BE32*vlookup(BD32,Ores[],5,FALSE))+if(isblank(BF32),0,BG32*vlookup(BF32,Ores[],5,FALSE)))/BH32)</f>
        <v>3.87</v>
      </c>
      <c r="BV32" s="22">
        <f t="shared" si="7"/>
        <v>5.382666667</v>
      </c>
      <c r="BW32" s="40">
        <v>131.0</v>
      </c>
      <c r="BX32" s="44">
        <f>150/2.2</f>
        <v>68.18181818</v>
      </c>
      <c r="BY32" s="47"/>
      <c r="BZ32" s="56">
        <f t="shared" si="8"/>
        <v>11.39285714</v>
      </c>
      <c r="CA32" s="53">
        <f t="shared" si="9"/>
        <v>6.015428571</v>
      </c>
      <c r="CB32" s="41" t="s">
        <v>185</v>
      </c>
      <c r="CC32" s="41" t="s">
        <v>186</v>
      </c>
      <c r="CD32" s="28">
        <f t="shared" si="10"/>
        <v>6.015428571</v>
      </c>
      <c r="CE32" s="43">
        <f t="shared" si="11"/>
        <v>319</v>
      </c>
      <c r="CF32" s="41"/>
      <c r="CG32" s="57"/>
      <c r="CH32" s="57">
        <v>10.0</v>
      </c>
      <c r="CI32" s="57">
        <v>329.0</v>
      </c>
      <c r="CJ32" s="57">
        <v>367.0</v>
      </c>
      <c r="CK32" s="57">
        <v>28.0</v>
      </c>
      <c r="CL32" s="44">
        <f>CM32*$BX32/36</f>
        <v>1.893939394</v>
      </c>
      <c r="CM32" s="43">
        <v>1.0</v>
      </c>
      <c r="CN32" s="44">
        <f>CO32*$BX32/36</f>
        <v>53.03030303</v>
      </c>
      <c r="CO32" s="43">
        <v>28.0</v>
      </c>
      <c r="CP32" s="44">
        <f>CQ32*$BX32/36</f>
        <v>3.787878788</v>
      </c>
      <c r="CQ32" s="43">
        <v>2.0</v>
      </c>
      <c r="CR32" s="41" t="s">
        <v>257</v>
      </c>
      <c r="CS32" s="53">
        <v>7.7</v>
      </c>
      <c r="CT32" s="43" t="s">
        <v>386</v>
      </c>
      <c r="CU32" s="27" t="s">
        <v>212</v>
      </c>
      <c r="CV32" s="58">
        <v>4.59</v>
      </c>
      <c r="CW32" s="30">
        <f t="shared" si="12"/>
        <v>0.1294117647</v>
      </c>
      <c r="CX32" s="31">
        <f t="shared" si="19"/>
        <v>0.2853553533</v>
      </c>
      <c r="CY32" s="41"/>
      <c r="CZ32" s="41"/>
      <c r="DA32" s="41" t="s">
        <v>376</v>
      </c>
      <c r="DB32" s="41" t="s">
        <v>377</v>
      </c>
      <c r="DC32" s="41" t="s">
        <v>387</v>
      </c>
      <c r="DD32" s="41"/>
      <c r="DE32" s="41"/>
      <c r="DF32" s="41"/>
      <c r="DG32" s="41"/>
      <c r="DH32" s="41"/>
      <c r="DI32" s="41"/>
      <c r="DJ32" s="41"/>
      <c r="DK32" s="41"/>
      <c r="DL32" s="41"/>
      <c r="DM32" s="45"/>
    </row>
    <row r="33" ht="21.75" customHeight="1">
      <c r="A33" s="33" t="s">
        <v>388</v>
      </c>
      <c r="B33" s="34" t="s">
        <v>389</v>
      </c>
      <c r="C33" s="34" t="s">
        <v>137</v>
      </c>
      <c r="D33" s="34" t="s">
        <v>138</v>
      </c>
      <c r="E33" s="35">
        <v>39551.0</v>
      </c>
      <c r="F33" s="34" t="s">
        <v>194</v>
      </c>
      <c r="G33" s="36" t="s">
        <v>110</v>
      </c>
      <c r="H33" s="34"/>
      <c r="I33" s="36" t="s">
        <v>195</v>
      </c>
      <c r="J33" s="36" t="s">
        <v>390</v>
      </c>
      <c r="K33" s="34"/>
      <c r="L33" s="34"/>
      <c r="M33" s="36" t="s">
        <v>332</v>
      </c>
      <c r="N33" s="51" t="s">
        <v>168</v>
      </c>
      <c r="O33" s="34">
        <f t="shared" si="20"/>
        <v>70</v>
      </c>
      <c r="P33" s="34">
        <f t="shared" si="21"/>
        <v>70</v>
      </c>
      <c r="Q33" s="36">
        <v>70.0</v>
      </c>
      <c r="R33" s="34"/>
      <c r="S33" s="34">
        <v>45.0</v>
      </c>
      <c r="T33" s="34">
        <v>35.0</v>
      </c>
      <c r="U33" s="36">
        <v>20.0</v>
      </c>
      <c r="V33" s="36"/>
      <c r="W33" s="34"/>
      <c r="X33" s="34"/>
      <c r="Y33" s="34"/>
      <c r="Z33" s="34"/>
      <c r="AA33" s="37">
        <f>Calcs!O33</f>
        <v>346.4</v>
      </c>
      <c r="AB33" s="34" t="s">
        <v>391</v>
      </c>
      <c r="AC33" s="34" t="s">
        <v>392</v>
      </c>
      <c r="AD33" s="34" t="s">
        <v>262</v>
      </c>
      <c r="AE33" s="34">
        <v>2.5</v>
      </c>
      <c r="AF33" s="36"/>
      <c r="AG33" s="36">
        <v>20.0</v>
      </c>
      <c r="AH33" s="36" t="s">
        <v>170</v>
      </c>
      <c r="AI33" s="34"/>
      <c r="AJ33" s="34">
        <v>5.0</v>
      </c>
      <c r="AK33" s="34"/>
      <c r="AL33" s="34" t="s">
        <v>184</v>
      </c>
      <c r="AM33" s="34"/>
      <c r="AN33" s="36" t="s">
        <v>116</v>
      </c>
      <c r="AO33" s="34">
        <v>15.0</v>
      </c>
      <c r="AP33" s="34"/>
      <c r="AQ33" s="34" t="s">
        <v>254</v>
      </c>
      <c r="AR33" s="36">
        <v>365.0</v>
      </c>
      <c r="AS33" s="36">
        <v>450.0</v>
      </c>
      <c r="AT33" s="14">
        <f t="shared" si="3"/>
        <v>407.5</v>
      </c>
      <c r="AU33" s="12"/>
      <c r="AV33" s="38"/>
      <c r="AW33" s="17">
        <f t="shared" si="4"/>
        <v>415.68</v>
      </c>
      <c r="AX33" s="36" t="s">
        <v>381</v>
      </c>
      <c r="AY33" s="36">
        <v>18.0</v>
      </c>
      <c r="AZ33" s="34"/>
      <c r="BA33" s="34"/>
      <c r="BB33" s="34"/>
      <c r="BC33" s="34"/>
      <c r="BD33" s="34"/>
      <c r="BE33" s="34"/>
      <c r="BF33" s="34"/>
      <c r="BG33" s="34"/>
      <c r="BH33" s="18">
        <f t="shared" si="5"/>
        <v>18</v>
      </c>
      <c r="BI33" s="19">
        <f>ifs(BH33=0,"na",BH33="NR","NR",BH33="?","?",BK33&gt;0,"?",iserror(Calcs!AB33),"?",1,Calcs!AB33)</f>
        <v>0.4984213344</v>
      </c>
      <c r="BJ33" s="34"/>
      <c r="BK33" s="34"/>
      <c r="BL33" s="18">
        <f t="shared" si="6"/>
        <v>18</v>
      </c>
      <c r="BM33" s="34"/>
      <c r="BN33" s="34"/>
      <c r="BO33" s="34" t="s">
        <v>382</v>
      </c>
      <c r="BP33" s="20">
        <f>ifs(isblank(AX33),0,BH33="NR","NR",BH33="?","?",1,(AY33*vlookup(AX33,Ores[],2,FALSE)+if(isblank(AZ33),0,BA33*vlookup(AZ33,Ores[],2,FALSE))+if(isblank(BB33),0,BC33*vlookup(BB33,Ores[],2,FALSE))+if(isblank(BD33),0,BE33*vlookup(BD33,Ores[],2,FALSE))+if(isblank(BF33),0,BG33*vlookup(BF33,Ores[],2,FALSE)))/BH33)</f>
        <v>13.48973607</v>
      </c>
      <c r="BQ33" s="20">
        <f>ifs(isblank(AX33),0,BH33="NR","NR",BH33="?","?",1,(AY33*vlookup(AX33,Ores[],4,FALSE)+if(isblank(AZ33),0,BA33*vlookup(AZ33,Ores[],4,FALSE))+if(isblank(BB33),0,BC33*vlookup(BB33,Ores[],4,FALSE))+if(isblank(BD33),0,BE33*vlookup(BD33,Ores[],4,FALSE))+if(isblank(BF33),0,BG33*vlookup(BF33,Ores[],4,FALSE)))/BH33)</f>
        <v>2.287390029</v>
      </c>
      <c r="BR33" s="21">
        <f>ifs(isblank(AX33),0,BH33="NR","NR",BH33="?","?",1,(AY33*vlookup(AX33,Ores[],8,FALSE)+if(isblank(AZ33),0,BA33*vlookup(AZ33,Ores[],8,FALSE))+if(isblank(BB33),0,BC33*vlookup(BB33,Ores[],8,FALSE))+if(isblank(BD33),0,BE33*vlookup(BD33,Ores[],8,FALSE))+if(isblank(BF33),0,BG33*vlookup(BF33,Ores[],8,FALSE)))/BH33)</f>
        <v>0</v>
      </c>
      <c r="BS33" s="21">
        <f>ifs(isblank(AX33),0,BH33="NR","NR",BH33="?","?",1,(AY33*vlookup(AX33,Ores[],7,FALSE)+if(isblank(AZ33),0,BA33*vlookup(AZ33,Ores[],7,FALSE))+if(isblank(BB33),0,BC33*vlookup(BB33,Ores[],7,FALSE))+if(isblank(BD33),0,BE33*vlookup(BD33,Ores[],7,FALSE))+if(isblank(BF33),0,BG33*vlookup(BF33,Ores[],7,FALSE)))/BH33)</f>
        <v>0</v>
      </c>
      <c r="BT33" s="21">
        <f>ifs(isblank(AX33),0,BH33="NR","NR",BH33="?","?",1,(AY33*vlookup(AX33,Ores[],3,FALSE)+if(isblank(AZ33),0,BA33*vlookup(AZ33,Ores[],3,FALSE))+if(isblank(BB33),0,BC33*vlookup(BB33,Ores[],3,FALSE))+if(isblank(BD33),0,BE33*vlookup(BD33,Ores[],3,FALSE))+if(isblank(BF33),0,BG33*vlookup(BF33,Ores[],3,FALSE)))/BH33)</f>
        <v>1.759530792</v>
      </c>
      <c r="BU33" s="21">
        <f>ifs(isblank(AX33),0,BH33="NR","NR",BH33="?","?",1,(AY33*vlookup(AX33,Ores[],5,FALSE)+if(isblank(AZ33),0,BA33*vlookup(AZ33,Ores[],5,FALSE))+if(isblank(BB33),0,BC33*vlookup(BB33,Ores[],5,FALSE))+if(isblank(BD33),0,BE33*vlookup(BD33,Ores[],5,FALSE))+if(isblank(BF33),0,BG33*vlookup(BF33,Ores[],5,FALSE)))/BH33)</f>
        <v>0</v>
      </c>
      <c r="BV33" s="22">
        <f t="shared" si="7"/>
        <v>8.088235294</v>
      </c>
      <c r="BW33" s="40">
        <v>85.0</v>
      </c>
      <c r="BX33" s="41">
        <v>34.0</v>
      </c>
      <c r="BY33" s="47"/>
      <c r="BZ33" s="56">
        <f t="shared" si="8"/>
        <v>14.1</v>
      </c>
      <c r="CA33" s="53">
        <f t="shared" si="9"/>
        <v>7.05</v>
      </c>
      <c r="CB33" s="43" t="s">
        <v>127</v>
      </c>
      <c r="CC33" s="41" t="s">
        <v>327</v>
      </c>
      <c r="CD33" s="28">
        <f t="shared" si="10"/>
        <v>7.05</v>
      </c>
      <c r="CE33" s="43">
        <f t="shared" si="11"/>
        <v>141</v>
      </c>
      <c r="CF33" s="41"/>
      <c r="CG33" s="43"/>
      <c r="CH33" s="43">
        <v>99.0</v>
      </c>
      <c r="CI33" s="43">
        <v>240.0</v>
      </c>
      <c r="CJ33" s="43">
        <v>275.0</v>
      </c>
      <c r="CK33" s="43">
        <v>10.0</v>
      </c>
      <c r="CL33" s="43">
        <v>12.0</v>
      </c>
      <c r="CM33" s="43">
        <v>6.0</v>
      </c>
      <c r="CN33" s="43">
        <v>20.0</v>
      </c>
      <c r="CO33" s="43">
        <v>10.0</v>
      </c>
      <c r="CP33" s="43">
        <v>2.0</v>
      </c>
      <c r="CQ33" s="43">
        <v>1.0</v>
      </c>
      <c r="CR33" s="41" t="s">
        <v>257</v>
      </c>
      <c r="CS33" s="53">
        <v>2.0</v>
      </c>
      <c r="CT33" s="43" t="s">
        <v>234</v>
      </c>
      <c r="CU33" s="30"/>
      <c r="CV33" s="29"/>
      <c r="CW33" s="30">
        <f t="shared" si="12"/>
        <v>0.1111111111</v>
      </c>
      <c r="CX33" s="31">
        <f t="shared" si="19"/>
        <v>0.2229260737</v>
      </c>
      <c r="CY33" s="41"/>
      <c r="CZ33" s="41"/>
      <c r="DA33" s="41" t="s">
        <v>264</v>
      </c>
      <c r="DB33" s="41" t="s">
        <v>393</v>
      </c>
      <c r="DC33" s="41" t="s">
        <v>394</v>
      </c>
      <c r="DD33" s="41"/>
      <c r="DE33" s="41"/>
      <c r="DF33" s="41"/>
      <c r="DG33" s="41"/>
      <c r="DH33" s="41"/>
      <c r="DI33" s="41"/>
      <c r="DJ33" s="41"/>
      <c r="DK33" s="41"/>
      <c r="DL33" s="41"/>
      <c r="DM33" s="45"/>
    </row>
    <row r="34" ht="21.75" customHeight="1">
      <c r="A34" s="33">
        <v>33.0</v>
      </c>
      <c r="B34" s="34" t="s">
        <v>395</v>
      </c>
      <c r="C34" s="36" t="s">
        <v>396</v>
      </c>
      <c r="D34" s="34" t="s">
        <v>397</v>
      </c>
      <c r="E34" s="35">
        <v>39568.0</v>
      </c>
      <c r="F34" s="34" t="s">
        <v>398</v>
      </c>
      <c r="G34" s="36" t="s">
        <v>110</v>
      </c>
      <c r="H34" s="34"/>
      <c r="I34" s="34" t="s">
        <v>399</v>
      </c>
      <c r="J34" s="34" t="s">
        <v>370</v>
      </c>
      <c r="K34" s="36">
        <v>1.0</v>
      </c>
      <c r="L34" s="36"/>
      <c r="M34" s="36" t="s">
        <v>150</v>
      </c>
      <c r="N34" s="36" t="s">
        <v>168</v>
      </c>
      <c r="O34" s="36">
        <v>55.0</v>
      </c>
      <c r="P34" s="34">
        <f t="shared" si="21"/>
        <v>110</v>
      </c>
      <c r="Q34" s="36">
        <v>110.0</v>
      </c>
      <c r="R34" s="34"/>
      <c r="S34" s="34">
        <v>30.0</v>
      </c>
      <c r="T34" s="34" t="s">
        <v>116</v>
      </c>
      <c r="U34" s="34">
        <v>25.0</v>
      </c>
      <c r="V34" s="34"/>
      <c r="W34" s="34"/>
      <c r="X34" s="34"/>
      <c r="Y34" s="34"/>
      <c r="Z34" s="34"/>
      <c r="AA34" s="37">
        <f>Calcs!O34</f>
        <v>490.9</v>
      </c>
      <c r="AB34" s="34" t="s">
        <v>116</v>
      </c>
      <c r="AC34" s="34" t="s">
        <v>400</v>
      </c>
      <c r="AD34" s="36" t="s">
        <v>119</v>
      </c>
      <c r="AE34" s="36">
        <v>2.0</v>
      </c>
      <c r="AF34" s="36" t="s">
        <v>123</v>
      </c>
      <c r="AG34" s="36">
        <v>20.0</v>
      </c>
      <c r="AH34" s="36" t="s">
        <v>170</v>
      </c>
      <c r="AI34" s="34"/>
      <c r="AJ34" s="36">
        <v>0.0</v>
      </c>
      <c r="AK34" s="34"/>
      <c r="AL34" s="36" t="s">
        <v>401</v>
      </c>
      <c r="AM34" s="36"/>
      <c r="AN34" s="36" t="s">
        <v>116</v>
      </c>
      <c r="AO34" s="34" t="s">
        <v>116</v>
      </c>
      <c r="AP34" s="34"/>
      <c r="AQ34" s="36" t="s">
        <v>402</v>
      </c>
      <c r="AR34" s="34"/>
      <c r="AS34" s="34">
        <v>1000.0</v>
      </c>
      <c r="AT34" s="14" t="str">
        <f t="shared" si="3"/>
        <v/>
      </c>
      <c r="AU34" s="12"/>
      <c r="AV34" s="38"/>
      <c r="AW34" s="17">
        <f t="shared" si="4"/>
        <v>589.08</v>
      </c>
      <c r="AX34" s="72" t="s">
        <v>403</v>
      </c>
      <c r="AY34" s="36">
        <v>15.0</v>
      </c>
      <c r="AZ34" s="34"/>
      <c r="BA34" s="34"/>
      <c r="BB34" s="34"/>
      <c r="BC34" s="34"/>
      <c r="BD34" s="34"/>
      <c r="BE34" s="34"/>
      <c r="BF34" s="34"/>
      <c r="BG34" s="34"/>
      <c r="BH34" s="73">
        <v>13.0</v>
      </c>
      <c r="BI34" s="19">
        <f>ifs(BH34=0,"na",BH34="NR","NR",BH34="?","?",BK34&gt;0,"?",iserror(Calcs!AB34),"?",1,Calcs!AB34)</f>
        <v>0.6415932177</v>
      </c>
      <c r="BJ34" s="34"/>
      <c r="BK34" s="34"/>
      <c r="BL34" s="18">
        <f t="shared" si="6"/>
        <v>13</v>
      </c>
      <c r="BM34" s="34"/>
      <c r="BN34" s="34"/>
      <c r="BO34" s="34" t="s">
        <v>404</v>
      </c>
      <c r="BP34" s="20">
        <f>ifs(isblank(AX34),0,BH34="NR","NR",BH34="?","?",1,(AY34*vlookup(AX34,Ores[],2,FALSE)+if(isblank(AZ34),0,BA34*vlookup(AZ34,Ores[],2,FALSE))+if(isblank(BB34),0,BC34*vlookup(BB34,Ores[],2,FALSE))+if(isblank(BD34),0,BE34*vlookup(BD34,Ores[],2,FALSE))+if(isblank(BF34),0,BG34*vlookup(BF34,Ores[],2,FALSE)))/BH34)</f>
        <v>17.53846154</v>
      </c>
      <c r="BQ34" s="20">
        <f>ifs(isblank(AX34),0,BH34="NR","NR",BH34="?","?",1,(AY34*vlookup(AX34,Ores[],4,FALSE)+if(isblank(AZ34),0,BA34*vlookup(AZ34,Ores[],4,FALSE))+if(isblank(BB34),0,BC34*vlookup(BB34,Ores[],4,FALSE))+if(isblank(BD34),0,BE34*vlookup(BD34,Ores[],4,FALSE))+if(isblank(BF34),0,BG34*vlookup(BF34,Ores[],4,FALSE)))/BH34)</f>
        <v>1.153846154</v>
      </c>
      <c r="BR34" s="21">
        <f>ifs(isblank(AX34),0,BH34="NR","NR",BH34="?","?",1,(AY34*vlookup(AX34,Ores[],8,FALSE)+if(isblank(AZ34),0,BA34*vlookup(AZ34,Ores[],8,FALSE))+if(isblank(BB34),0,BC34*vlookup(BB34,Ores[],8,FALSE))+if(isblank(BD34),0,BE34*vlookup(BD34,Ores[],8,FALSE))+if(isblank(BF34),0,BG34*vlookup(BF34,Ores[],8,FALSE)))/BH34)</f>
        <v>0</v>
      </c>
      <c r="BS34" s="21">
        <f>ifs(isblank(AX34),0,BH34="NR","NR",BH34="?","?",1,(AY34*vlookup(AX34,Ores[],7,FALSE)+if(isblank(AZ34),0,BA34*vlookup(AZ34,Ores[],7,FALSE))+if(isblank(BB34),0,BC34*vlookup(BB34,Ores[],7,FALSE))+if(isblank(BD34),0,BE34*vlookup(BD34,Ores[],7,FALSE))+if(isblank(BF34),0,BG34*vlookup(BF34,Ores[],7,FALSE)))/BH34)</f>
        <v>0</v>
      </c>
      <c r="BT34" s="21">
        <f>ifs(isblank(AX34),0,BH34="NR","NR",BH34="?","?",1,(AY34*vlookup(AX34,Ores[],3,FALSE)+if(isblank(AZ34),0,BA34*vlookup(AZ34,Ores[],3,FALSE))+if(isblank(BB34),0,BC34*vlookup(BB34,Ores[],3,FALSE))+if(isblank(BD34),0,BE34*vlookup(BD34,Ores[],3,FALSE))+if(isblank(BF34),0,BG34*vlookup(BF34,Ores[],3,FALSE)))/BH34)</f>
        <v>0</v>
      </c>
      <c r="BU34" s="21">
        <f>ifs(isblank(AX34),0,BH34="NR","NR",BH34="?","?",1,(AY34*vlookup(AX34,Ores[],5,FALSE)+if(isblank(AZ34),0,BA34*vlookup(AZ34,Ores[],5,FALSE))+if(isblank(BB34),0,BC34*vlookup(BB34,Ores[],5,FALSE))+if(isblank(BD34),0,BE34*vlookup(BD34,Ores[],5,FALSE))+if(isblank(BF34),0,BG34*vlookup(BF34,Ores[],5,FALSE)))/BH34)</f>
        <v>0.2307692308</v>
      </c>
      <c r="BV34" s="22" t="str">
        <f t="shared" si="7"/>
        <v>NR</v>
      </c>
      <c r="BW34" s="40">
        <v>125.0</v>
      </c>
      <c r="BX34" s="43">
        <v>27.5</v>
      </c>
      <c r="BY34" s="47"/>
      <c r="BZ34" s="56">
        <f t="shared" si="8"/>
        <v>10.5</v>
      </c>
      <c r="CA34" s="53">
        <f t="shared" si="9"/>
        <v>10.5</v>
      </c>
      <c r="CB34" s="41" t="s">
        <v>185</v>
      </c>
      <c r="CC34" s="43" t="s">
        <v>405</v>
      </c>
      <c r="CD34" s="28">
        <f t="shared" si="10"/>
        <v>10.5</v>
      </c>
      <c r="CE34" s="43">
        <f t="shared" si="11"/>
        <v>63</v>
      </c>
      <c r="CF34" s="41"/>
      <c r="CG34" s="43"/>
      <c r="CH34" s="43">
        <v>78.0</v>
      </c>
      <c r="CI34" s="43">
        <v>141.0</v>
      </c>
      <c r="CJ34" s="43" t="s">
        <v>116</v>
      </c>
      <c r="CK34" s="43">
        <v>12.0</v>
      </c>
      <c r="CL34" s="43">
        <v>7.0</v>
      </c>
      <c r="CM34" s="43">
        <v>7.0</v>
      </c>
      <c r="CN34" s="43">
        <v>6.0</v>
      </c>
      <c r="CO34" s="43">
        <v>6.0</v>
      </c>
      <c r="CP34" s="43">
        <v>2.0</v>
      </c>
      <c r="CQ34" s="43">
        <v>2.0</v>
      </c>
      <c r="CR34" s="41" t="s">
        <v>257</v>
      </c>
      <c r="CS34" s="44">
        <v>0.0</v>
      </c>
      <c r="CT34" s="43" t="s">
        <v>406</v>
      </c>
      <c r="CU34" s="30"/>
      <c r="CV34" s="29"/>
      <c r="CW34" s="30" t="str">
        <f t="shared" si="12"/>
        <v>na</v>
      </c>
      <c r="CX34" s="31" t="str">
        <f t="shared" si="19"/>
        <v>na</v>
      </c>
      <c r="CY34" s="41" t="s">
        <v>407</v>
      </c>
      <c r="CZ34" s="41"/>
      <c r="DA34" s="41" t="s">
        <v>408</v>
      </c>
      <c r="DB34" s="41" t="s">
        <v>409</v>
      </c>
      <c r="DC34" s="41" t="s">
        <v>410</v>
      </c>
      <c r="DD34" s="41"/>
      <c r="DE34" s="41"/>
      <c r="DF34" s="41"/>
      <c r="DG34" s="41"/>
      <c r="DH34" s="41"/>
      <c r="DI34" s="41"/>
      <c r="DJ34" s="41"/>
      <c r="DK34" s="41"/>
      <c r="DL34" s="41"/>
      <c r="DM34" s="45"/>
    </row>
    <row r="35" ht="21.75" customHeight="1">
      <c r="A35" s="33">
        <v>34.0</v>
      </c>
      <c r="B35" s="34" t="s">
        <v>411</v>
      </c>
      <c r="C35" s="34" t="s">
        <v>396</v>
      </c>
      <c r="D35" s="34" t="s">
        <v>397</v>
      </c>
      <c r="E35" s="35">
        <v>39570.0</v>
      </c>
      <c r="F35" s="34" t="s">
        <v>398</v>
      </c>
      <c r="G35" s="36" t="s">
        <v>110</v>
      </c>
      <c r="H35" s="34"/>
      <c r="I35" s="34" t="s">
        <v>399</v>
      </c>
      <c r="J35" s="34" t="s">
        <v>370</v>
      </c>
      <c r="K35" s="36">
        <v>2.0</v>
      </c>
      <c r="L35" s="36">
        <v>33.0</v>
      </c>
      <c r="M35" s="36" t="s">
        <v>150</v>
      </c>
      <c r="N35" s="36" t="s">
        <v>168</v>
      </c>
      <c r="O35" s="36">
        <v>70.0</v>
      </c>
      <c r="P35" s="34">
        <f t="shared" si="21"/>
        <v>110</v>
      </c>
      <c r="Q35" s="36">
        <v>110.0</v>
      </c>
      <c r="R35" s="34"/>
      <c r="S35" s="34">
        <v>50.0</v>
      </c>
      <c r="T35" s="34" t="s">
        <v>116</v>
      </c>
      <c r="U35" s="34">
        <v>25.0</v>
      </c>
      <c r="V35" s="34"/>
      <c r="W35" s="34"/>
      <c r="X35" s="34"/>
      <c r="Y35" s="34"/>
      <c r="Z35" s="34"/>
      <c r="AA35" s="37">
        <f>Calcs!O35</f>
        <v>490.9</v>
      </c>
      <c r="AB35" s="34" t="s">
        <v>116</v>
      </c>
      <c r="AC35" s="34" t="s">
        <v>412</v>
      </c>
      <c r="AD35" s="36" t="s">
        <v>119</v>
      </c>
      <c r="AE35" s="36">
        <v>2.0</v>
      </c>
      <c r="AF35" s="36" t="s">
        <v>123</v>
      </c>
      <c r="AG35" s="36">
        <v>20.0</v>
      </c>
      <c r="AH35" s="36" t="s">
        <v>170</v>
      </c>
      <c r="AI35" s="34"/>
      <c r="AJ35" s="36">
        <v>0.0</v>
      </c>
      <c r="AK35" s="34"/>
      <c r="AL35" s="34" t="s">
        <v>184</v>
      </c>
      <c r="AM35" s="34"/>
      <c r="AN35" s="36">
        <v>20.0</v>
      </c>
      <c r="AO35" s="34">
        <v>10.0</v>
      </c>
      <c r="AP35" s="34"/>
      <c r="AQ35" s="36" t="s">
        <v>402</v>
      </c>
      <c r="AR35" s="34"/>
      <c r="AS35" s="34">
        <v>1000.0</v>
      </c>
      <c r="AT35" s="14" t="str">
        <f t="shared" si="3"/>
        <v/>
      </c>
      <c r="AU35" s="12"/>
      <c r="AV35" s="38"/>
      <c r="AW35" s="17">
        <f t="shared" si="4"/>
        <v>589.08</v>
      </c>
      <c r="AX35" s="39" t="s">
        <v>413</v>
      </c>
      <c r="AY35" s="36">
        <v>7.75</v>
      </c>
      <c r="AZ35" s="34"/>
      <c r="BA35" s="34"/>
      <c r="BB35" s="34"/>
      <c r="BC35" s="34"/>
      <c r="BD35" s="34"/>
      <c r="BE35" s="34"/>
      <c r="BF35" s="34"/>
      <c r="BG35" s="34"/>
      <c r="BH35" s="18">
        <f t="shared" ref="BH35:BH37" si="22">ifs(OR(AY35="NR",BA35="NR",BC35="NR",BE35="NR",BG35="NR"),"NR",OR(AY35="?",BA35="?",BC35="?",BE35="?",BG35="?"),"?",1,AY35+BA35+BC35+BE35+BG35)</f>
        <v>7.75</v>
      </c>
      <c r="BI35" s="19" t="str">
        <f>ifs(BH35=0,"na",BH35="NR","NR",BH35="?","?",BK35&gt;0,"?",iserror(Calcs!AB35),"?",1,Calcs!AB35)</f>
        <v>?</v>
      </c>
      <c r="BJ35" s="34"/>
      <c r="BK35" s="34"/>
      <c r="BL35" s="18">
        <f t="shared" si="6"/>
        <v>7.75</v>
      </c>
      <c r="BM35" s="34"/>
      <c r="BN35" s="34"/>
      <c r="BO35" s="34" t="s">
        <v>173</v>
      </c>
      <c r="BP35" s="20">
        <f>ifs(isblank(AX35),0,BH35="NR","NR",BH35="?","?",1,(AY35*vlookup(AX35,Ores[],2,FALSE)+if(isblank(AZ35),0,BA35*vlookup(AZ35,Ores[],2,FALSE))+if(isblank(BB35),0,BC35*vlookup(BB35,Ores[],2,FALSE))+if(isblank(BD35),0,BE35*vlookup(BD35,Ores[],2,FALSE))+if(isblank(BF35),0,BG35*vlookup(BF35,Ores[],2,FALSE)))/BH35)</f>
        <v>0</v>
      </c>
      <c r="BQ35" s="20">
        <f>ifs(isblank(AX35),0,BH35="NR","NR",BH35="?","?",1,(AY35*vlookup(AX35,Ores[],4,FALSE)+if(isblank(AZ35),0,BA35*vlookup(AZ35,Ores[],4,FALSE))+if(isblank(BB35),0,BC35*vlookup(BB35,Ores[],4,FALSE))+if(isblank(BD35),0,BE35*vlookup(BD35,Ores[],4,FALSE))+if(isblank(BF35),0,BG35*vlookup(BF35,Ores[],4,FALSE)))/BH35)</f>
        <v>0</v>
      </c>
      <c r="BR35" s="21">
        <f>ifs(isblank(AX35),0,BH35="NR","NR",BH35="?","?",1,(AY35*vlookup(AX35,Ores[],8,FALSE)+if(isblank(AZ35),0,BA35*vlookup(AZ35,Ores[],8,FALSE))+if(isblank(BB35),0,BC35*vlookup(BB35,Ores[],8,FALSE))+if(isblank(BD35),0,BE35*vlookup(BD35,Ores[],8,FALSE))+if(isblank(BF35),0,BG35*vlookup(BF35,Ores[],8,FALSE)))/BH35)</f>
        <v>0</v>
      </c>
      <c r="BS35" s="21">
        <f>ifs(isblank(AX35),0,BH35="NR","NR",BH35="?","?",1,(AY35*vlookup(AX35,Ores[],7,FALSE)+if(isblank(AZ35),0,BA35*vlookup(AZ35,Ores[],7,FALSE))+if(isblank(BB35),0,BC35*vlookup(BB35,Ores[],7,FALSE))+if(isblank(BD35),0,BE35*vlookup(BD35,Ores[],7,FALSE))+if(isblank(BF35),0,BG35*vlookup(BF35,Ores[],7,FALSE)))/BH35)</f>
        <v>0</v>
      </c>
      <c r="BT35" s="21">
        <f>ifs(isblank(AX35),0,BH35="NR","NR",BH35="?","?",1,(AY35*vlookup(AX35,Ores[],3,FALSE)+if(isblank(AZ35),0,BA35*vlookup(AZ35,Ores[],3,FALSE))+if(isblank(BB35),0,BC35*vlookup(BB35,Ores[],3,FALSE))+if(isblank(BD35),0,BE35*vlookup(BD35,Ores[],3,FALSE))+if(isblank(BF35),0,BG35*vlookup(BF35,Ores[],3,FALSE)))/BH35)</f>
        <v>0</v>
      </c>
      <c r="BU35" s="21">
        <f>ifs(isblank(AX35),0,BH35="NR","NR",BH35="?","?",1,(AY35*vlookup(AX35,Ores[],5,FALSE)+if(isblank(AZ35),0,BA35*vlookup(AZ35,Ores[],5,FALSE))+if(isblank(BB35),0,BC35*vlookup(BB35,Ores[],5,FALSE))+if(isblank(BD35),0,BE35*vlookup(BD35,Ores[],5,FALSE))+if(isblank(BF35),0,BG35*vlookup(BF35,Ores[],5,FALSE)))/BH35)</f>
        <v>0</v>
      </c>
      <c r="BV35" s="22">
        <f t="shared" si="7"/>
        <v>6.129032258</v>
      </c>
      <c r="BW35" s="40">
        <v>70.0</v>
      </c>
      <c r="BX35" s="43">
        <v>15.5</v>
      </c>
      <c r="BY35" s="47"/>
      <c r="BZ35" s="56">
        <f t="shared" si="8"/>
        <v>7</v>
      </c>
      <c r="CA35" s="53">
        <f t="shared" si="9"/>
        <v>7</v>
      </c>
      <c r="CB35" s="41" t="s">
        <v>185</v>
      </c>
      <c r="CC35" s="43" t="s">
        <v>405</v>
      </c>
      <c r="CD35" s="28">
        <f t="shared" si="10"/>
        <v>7</v>
      </c>
      <c r="CE35" s="43">
        <f t="shared" si="11"/>
        <v>42</v>
      </c>
      <c r="CF35" s="41"/>
      <c r="CG35" s="43"/>
      <c r="CH35" s="43">
        <v>40.0</v>
      </c>
      <c r="CI35" s="43">
        <v>82.0</v>
      </c>
      <c r="CJ35" s="43">
        <v>95.0</v>
      </c>
      <c r="CK35" s="43">
        <v>6.0</v>
      </c>
      <c r="CL35" s="43">
        <v>6.0</v>
      </c>
      <c r="CM35" s="43">
        <v>6.0</v>
      </c>
      <c r="CN35" s="43">
        <v>6.0</v>
      </c>
      <c r="CO35" s="43">
        <v>6.0</v>
      </c>
      <c r="CP35" s="43">
        <v>0.0</v>
      </c>
      <c r="CQ35" s="43">
        <v>0.0</v>
      </c>
      <c r="CR35" s="41" t="s">
        <v>257</v>
      </c>
      <c r="CS35" s="44">
        <v>0.0</v>
      </c>
      <c r="CT35" s="43" t="s">
        <v>414</v>
      </c>
      <c r="CU35" s="30"/>
      <c r="CV35" s="29"/>
      <c r="CW35" s="30" t="str">
        <f t="shared" si="12"/>
        <v>na</v>
      </c>
      <c r="CX35" s="31" t="str">
        <f t="shared" si="19"/>
        <v>?</v>
      </c>
      <c r="CY35" s="41" t="s">
        <v>415</v>
      </c>
      <c r="CZ35" s="41"/>
      <c r="DA35" s="41" t="s">
        <v>408</v>
      </c>
      <c r="DB35" s="41" t="s">
        <v>409</v>
      </c>
      <c r="DC35" s="41" t="s">
        <v>416</v>
      </c>
      <c r="DD35" s="41"/>
      <c r="DE35" s="41"/>
      <c r="DF35" s="41"/>
      <c r="DG35" s="41"/>
      <c r="DH35" s="41"/>
      <c r="DI35" s="41"/>
      <c r="DJ35" s="41"/>
      <c r="DK35" s="41"/>
      <c r="DL35" s="41"/>
      <c r="DM35" s="45"/>
    </row>
    <row r="36" ht="21.75" customHeight="1">
      <c r="A36" s="33">
        <v>35.0</v>
      </c>
      <c r="B36" s="34" t="s">
        <v>417</v>
      </c>
      <c r="C36" s="34"/>
      <c r="D36" s="34" t="s">
        <v>397</v>
      </c>
      <c r="E36" s="35">
        <v>39572.0</v>
      </c>
      <c r="F36" s="36" t="s">
        <v>398</v>
      </c>
      <c r="G36" s="36" t="s">
        <v>123</v>
      </c>
      <c r="H36" s="34"/>
      <c r="I36" s="36" t="s">
        <v>148</v>
      </c>
      <c r="J36" s="34" t="s">
        <v>370</v>
      </c>
      <c r="K36" s="36">
        <v>3.0</v>
      </c>
      <c r="L36" s="36">
        <v>33.0</v>
      </c>
      <c r="M36" s="36" t="s">
        <v>150</v>
      </c>
      <c r="N36" s="36" t="s">
        <v>168</v>
      </c>
      <c r="O36" s="34">
        <f t="shared" ref="O36:O98" si="23">P36</f>
        <v>110</v>
      </c>
      <c r="P36" s="34">
        <f t="shared" si="21"/>
        <v>110</v>
      </c>
      <c r="Q36" s="36">
        <v>110.0</v>
      </c>
      <c r="R36" s="34"/>
      <c r="S36" s="34">
        <v>85.0</v>
      </c>
      <c r="T36" s="34" t="s">
        <v>116</v>
      </c>
      <c r="U36" s="34">
        <v>25.0</v>
      </c>
      <c r="V36" s="34"/>
      <c r="W36" s="34"/>
      <c r="X36" s="34"/>
      <c r="Y36" s="34"/>
      <c r="Z36" s="34"/>
      <c r="AA36" s="37">
        <f>Calcs!O36</f>
        <v>490.9</v>
      </c>
      <c r="AB36" s="34" t="s">
        <v>116</v>
      </c>
      <c r="AC36" s="34" t="s">
        <v>412</v>
      </c>
      <c r="AD36" s="36" t="s">
        <v>119</v>
      </c>
      <c r="AE36" s="36">
        <v>2.0</v>
      </c>
      <c r="AF36" s="36" t="s">
        <v>123</v>
      </c>
      <c r="AG36" s="36">
        <v>23.0</v>
      </c>
      <c r="AH36" s="36" t="s">
        <v>170</v>
      </c>
      <c r="AI36" s="34"/>
      <c r="AJ36" s="36">
        <v>0.0</v>
      </c>
      <c r="AK36" s="34"/>
      <c r="AL36" s="34" t="s">
        <v>184</v>
      </c>
      <c r="AM36" s="34"/>
      <c r="AN36" s="36">
        <v>20.0</v>
      </c>
      <c r="AO36" s="34">
        <v>10.0</v>
      </c>
      <c r="AP36" s="34"/>
      <c r="AQ36" s="36" t="s">
        <v>402</v>
      </c>
      <c r="AR36" s="34"/>
      <c r="AS36" s="34">
        <v>1000.0</v>
      </c>
      <c r="AT36" s="14" t="str">
        <f t="shared" si="3"/>
        <v/>
      </c>
      <c r="AU36" s="12"/>
      <c r="AV36" s="38"/>
      <c r="AW36" s="17">
        <f t="shared" si="4"/>
        <v>589.08</v>
      </c>
      <c r="AX36" s="39" t="s">
        <v>418</v>
      </c>
      <c r="AY36" s="36">
        <v>8.2</v>
      </c>
      <c r="AZ36" s="36" t="s">
        <v>419</v>
      </c>
      <c r="BA36" s="36">
        <v>5.2</v>
      </c>
      <c r="BB36" s="36" t="s">
        <v>403</v>
      </c>
      <c r="BC36" s="36">
        <v>1.8</v>
      </c>
      <c r="BD36" s="34"/>
      <c r="BE36" s="34"/>
      <c r="BF36" s="34"/>
      <c r="BG36" s="34"/>
      <c r="BH36" s="18">
        <f t="shared" si="22"/>
        <v>15.2</v>
      </c>
      <c r="BI36" s="19" t="str">
        <f>ifs(BH36=0,"na",BH36="NR","NR",BH36="?","?",BK36&gt;0,"?",iserror(Calcs!AB36),"?",1,Calcs!AB36)</f>
        <v>?</v>
      </c>
      <c r="BJ36" s="34"/>
      <c r="BK36" s="34"/>
      <c r="BL36" s="18">
        <f t="shared" si="6"/>
        <v>15.2</v>
      </c>
      <c r="BM36" s="34"/>
      <c r="BN36" s="34"/>
      <c r="BO36" s="34" t="s">
        <v>420</v>
      </c>
      <c r="BP36" s="20">
        <f>ifs(isblank(AX36),0,BH36="NR","NR",BH36="?","?",1,(AY36*vlookup(AX36,Ores[],2,FALSE)+if(isblank(AZ36),0,BA36*vlookup(AZ36,Ores[],2,FALSE))+if(isblank(BB36),0,BC36*vlookup(BB36,Ores[],2,FALSE))+if(isblank(BD36),0,BE36*vlookup(BD36,Ores[],2,FALSE))+if(isblank(BF36),0,BG36*vlookup(BF36,Ores[],2,FALSE)))/BH36)</f>
        <v>21.86315789</v>
      </c>
      <c r="BQ36" s="20">
        <f>ifs(isblank(AX36),0,BH36="NR","NR",BH36="?","?",1,(AY36*vlookup(AX36,Ores[],4,FALSE)+if(isblank(AZ36),0,BA36*vlookup(AZ36,Ores[],4,FALSE))+if(isblank(BB36),0,BC36*vlookup(BB36,Ores[],4,FALSE))+if(isblank(BD36),0,BE36*vlookup(BD36,Ores[],4,FALSE))+if(isblank(BF36),0,BG36*vlookup(BF36,Ores[],4,FALSE)))/BH36)</f>
        <v>1.413157895</v>
      </c>
      <c r="BR36" s="21">
        <f>ifs(isblank(AX36),0,BH36="NR","NR",BH36="?","?",1,(AY36*vlookup(AX36,Ores[],8,FALSE)+if(isblank(AZ36),0,BA36*vlookup(AZ36,Ores[],8,FALSE))+if(isblank(BB36),0,BC36*vlookup(BB36,Ores[],8,FALSE))+if(isblank(BD36),0,BE36*vlookup(BD36,Ores[],8,FALSE))+if(isblank(BF36),0,BG36*vlookup(BF36,Ores[],8,FALSE)))/BH36)</f>
        <v>0</v>
      </c>
      <c r="BS36" s="21">
        <f>ifs(isblank(AX36),0,BH36="NR","NR",BH36="?","?",1,(AY36*vlookup(AX36,Ores[],7,FALSE)+if(isblank(AZ36),0,BA36*vlookup(AZ36,Ores[],7,FALSE))+if(isblank(BB36),0,BC36*vlookup(BB36,Ores[],7,FALSE))+if(isblank(BD36),0,BE36*vlookup(BD36,Ores[],7,FALSE))+if(isblank(BF36),0,BG36*vlookup(BF36,Ores[],7,FALSE)))/BH36)</f>
        <v>0</v>
      </c>
      <c r="BT36" s="21">
        <f>ifs(isblank(AX36),0,BH36="NR","NR",BH36="?","?",1,(AY36*vlookup(AX36,Ores[],3,FALSE)+if(isblank(AZ36),0,BA36*vlookup(AZ36,Ores[],3,FALSE))+if(isblank(BB36),0,BC36*vlookup(BB36,Ores[],3,FALSE))+if(isblank(BD36),0,BE36*vlookup(BD36,Ores[],3,FALSE))+if(isblank(BF36),0,BG36*vlookup(BF36,Ores[],3,FALSE)))/BH36)</f>
        <v>0</v>
      </c>
      <c r="BU36" s="21">
        <f>ifs(isblank(AX36),0,BH36="NR","NR",BH36="?","?",1,(AY36*vlookup(AX36,Ores[],5,FALSE)+if(isblank(AZ36),0,BA36*vlookup(AZ36,Ores[],5,FALSE))+if(isblank(BB36),0,BC36*vlookup(BB36,Ores[],5,FALSE))+if(isblank(BD36),0,BE36*vlookup(BD36,Ores[],5,FALSE))+if(isblank(BF36),0,BG36*vlookup(BF36,Ores[],5,FALSE)))/BH36)</f>
        <v>0.3473684211</v>
      </c>
      <c r="BV36" s="22">
        <f t="shared" si="7"/>
        <v>7.516129032</v>
      </c>
      <c r="BW36" s="40">
        <v>120.0</v>
      </c>
      <c r="BX36" s="43">
        <v>31.0</v>
      </c>
      <c r="BY36" s="47"/>
      <c r="BZ36" s="56">
        <f t="shared" si="8"/>
        <v>11.84615385</v>
      </c>
      <c r="CA36" s="53">
        <f t="shared" si="9"/>
        <v>11.84615385</v>
      </c>
      <c r="CB36" s="41" t="s">
        <v>185</v>
      </c>
      <c r="CC36" s="43" t="s">
        <v>405</v>
      </c>
      <c r="CD36" s="28">
        <f t="shared" si="10"/>
        <v>11.84615385</v>
      </c>
      <c r="CE36" s="43">
        <f t="shared" si="11"/>
        <v>154</v>
      </c>
      <c r="CF36" s="41"/>
      <c r="CG36" s="43"/>
      <c r="CH36" s="43">
        <v>44.0</v>
      </c>
      <c r="CI36" s="43">
        <v>198.0</v>
      </c>
      <c r="CJ36" s="43">
        <v>233.0</v>
      </c>
      <c r="CK36" s="43">
        <v>25.0</v>
      </c>
      <c r="CL36" s="43">
        <v>7.0</v>
      </c>
      <c r="CM36" s="43">
        <v>7.0</v>
      </c>
      <c r="CN36" s="43">
        <v>13.0</v>
      </c>
      <c r="CO36" s="43">
        <v>13.0</v>
      </c>
      <c r="CP36" s="43">
        <v>0.0</v>
      </c>
      <c r="CQ36" s="43">
        <v>0.0</v>
      </c>
      <c r="CR36" s="41" t="s">
        <v>141</v>
      </c>
      <c r="CS36" s="53">
        <v>1.8</v>
      </c>
      <c r="CT36" s="43" t="s">
        <v>211</v>
      </c>
      <c r="CU36" s="30"/>
      <c r="CV36" s="58">
        <v>5.11</v>
      </c>
      <c r="CW36" s="30">
        <f t="shared" si="12"/>
        <v>0.1184210526</v>
      </c>
      <c r="CX36" s="31" t="str">
        <f t="shared" si="19"/>
        <v>?</v>
      </c>
      <c r="CY36" s="41"/>
      <c r="CZ36" s="41"/>
      <c r="DA36" s="41" t="s">
        <v>421</v>
      </c>
      <c r="DB36" s="41" t="s">
        <v>422</v>
      </c>
      <c r="DC36" s="41" t="s">
        <v>423</v>
      </c>
      <c r="DD36" s="41"/>
      <c r="DE36" s="41"/>
      <c r="DF36" s="41"/>
      <c r="DG36" s="41"/>
      <c r="DH36" s="41"/>
      <c r="DI36" s="41"/>
      <c r="DJ36" s="41"/>
      <c r="DK36" s="41"/>
      <c r="DL36" s="41"/>
      <c r="DM36" s="45"/>
    </row>
    <row r="37" ht="21.75" customHeight="1">
      <c r="A37" s="33" t="s">
        <v>424</v>
      </c>
      <c r="B37" s="34" t="s">
        <v>425</v>
      </c>
      <c r="C37" s="34" t="s">
        <v>137</v>
      </c>
      <c r="D37" s="34" t="s">
        <v>138</v>
      </c>
      <c r="E37" s="35">
        <v>39613.0</v>
      </c>
      <c r="F37" s="34" t="s">
        <v>109</v>
      </c>
      <c r="G37" s="36" t="s">
        <v>110</v>
      </c>
      <c r="H37" s="34"/>
      <c r="I37" s="36" t="s">
        <v>426</v>
      </c>
      <c r="J37" s="36" t="s">
        <v>276</v>
      </c>
      <c r="K37" s="34"/>
      <c r="L37" s="34"/>
      <c r="M37" s="36" t="s">
        <v>427</v>
      </c>
      <c r="N37" s="36" t="s">
        <v>168</v>
      </c>
      <c r="O37" s="34">
        <f t="shared" si="23"/>
        <v>65</v>
      </c>
      <c r="P37" s="34">
        <f t="shared" si="21"/>
        <v>65</v>
      </c>
      <c r="Q37" s="36">
        <v>65.0</v>
      </c>
      <c r="R37" s="34"/>
      <c r="S37" s="34">
        <v>47.0</v>
      </c>
      <c r="T37" s="34" t="s">
        <v>116</v>
      </c>
      <c r="U37" s="36">
        <v>26.0</v>
      </c>
      <c r="V37" s="36">
        <v>23.0</v>
      </c>
      <c r="W37" s="34"/>
      <c r="X37" s="34"/>
      <c r="Y37" s="34"/>
      <c r="Z37" s="34"/>
      <c r="AA37" s="37">
        <f>Calcs!O37</f>
        <v>469.7</v>
      </c>
      <c r="AB37" s="34" t="s">
        <v>116</v>
      </c>
      <c r="AC37" s="34" t="s">
        <v>428</v>
      </c>
      <c r="AD37" s="34" t="s">
        <v>262</v>
      </c>
      <c r="AE37" s="34">
        <v>2.5</v>
      </c>
      <c r="AF37" s="36"/>
      <c r="AG37" s="36">
        <v>23.5</v>
      </c>
      <c r="AH37" s="36" t="s">
        <v>170</v>
      </c>
      <c r="AI37" s="34"/>
      <c r="AJ37" s="34">
        <v>3.5</v>
      </c>
      <c r="AK37" s="34"/>
      <c r="AL37" s="34" t="s">
        <v>121</v>
      </c>
      <c r="AM37" s="34"/>
      <c r="AN37" s="36">
        <v>9.0</v>
      </c>
      <c r="AO37" s="36">
        <v>11.0</v>
      </c>
      <c r="AP37" s="36" t="s">
        <v>123</v>
      </c>
      <c r="AQ37" s="34" t="s">
        <v>254</v>
      </c>
      <c r="AR37" s="36">
        <v>660.0</v>
      </c>
      <c r="AS37" s="36">
        <v>780.0</v>
      </c>
      <c r="AT37" s="14">
        <f t="shared" si="3"/>
        <v>720</v>
      </c>
      <c r="AU37" s="12"/>
      <c r="AV37" s="38"/>
      <c r="AW37" s="17">
        <f t="shared" si="4"/>
        <v>563.64</v>
      </c>
      <c r="AX37" s="36" t="s">
        <v>381</v>
      </c>
      <c r="AY37" s="36">
        <v>20.0</v>
      </c>
      <c r="AZ37" s="34"/>
      <c r="BA37" s="34"/>
      <c r="BB37" s="34"/>
      <c r="BC37" s="34"/>
      <c r="BD37" s="34"/>
      <c r="BE37" s="34"/>
      <c r="BF37" s="34"/>
      <c r="BG37" s="34"/>
      <c r="BH37" s="18">
        <f t="shared" si="22"/>
        <v>20</v>
      </c>
      <c r="BI37" s="19">
        <f>ifs(BH37=0,"na",BH37="NR","NR",BH37="?","?",BK37&gt;0,"?",iserror(Calcs!AB37),"?",1,Calcs!AB37)</f>
        <v>0.4984213344</v>
      </c>
      <c r="BJ37" s="34" t="s">
        <v>282</v>
      </c>
      <c r="BK37" s="34"/>
      <c r="BL37" s="18">
        <f t="shared" si="6"/>
        <v>20</v>
      </c>
      <c r="BM37" s="34"/>
      <c r="BN37" s="34"/>
      <c r="BO37" s="34" t="s">
        <v>429</v>
      </c>
      <c r="BP37" s="20">
        <f>ifs(isblank(AX37),0,BH37="NR","NR",BH37="?","?",1,(AY37*vlookup(AX37,Ores[],2,FALSE)+if(isblank(AZ37),0,BA37*vlookup(AZ37,Ores[],2,FALSE))+if(isblank(BB37),0,BC37*vlookup(BB37,Ores[],2,FALSE))+if(isblank(BD37),0,BE37*vlookup(BD37,Ores[],2,FALSE))+if(isblank(BF37),0,BG37*vlookup(BF37,Ores[],2,FALSE)))/BH37)</f>
        <v>13.48973607</v>
      </c>
      <c r="BQ37" s="20">
        <f>ifs(isblank(AX37),0,BH37="NR","NR",BH37="?","?",1,(AY37*vlookup(AX37,Ores[],4,FALSE)+if(isblank(AZ37),0,BA37*vlookup(AZ37,Ores[],4,FALSE))+if(isblank(BB37),0,BC37*vlookup(BB37,Ores[],4,FALSE))+if(isblank(BD37),0,BE37*vlookup(BD37,Ores[],4,FALSE))+if(isblank(BF37),0,BG37*vlookup(BF37,Ores[],4,FALSE)))/BH37)</f>
        <v>2.287390029</v>
      </c>
      <c r="BR37" s="21">
        <f>ifs(isblank(AX37),0,BH37="NR","NR",BH37="?","?",1,(AY37*vlookup(AX37,Ores[],8,FALSE)+if(isblank(AZ37),0,BA37*vlookup(AZ37,Ores[],8,FALSE))+if(isblank(BB37),0,BC37*vlookup(BB37,Ores[],8,FALSE))+if(isblank(BD37),0,BE37*vlookup(BD37,Ores[],8,FALSE))+if(isblank(BF37),0,BG37*vlookup(BF37,Ores[],8,FALSE)))/BH37)</f>
        <v>0</v>
      </c>
      <c r="BS37" s="21">
        <f>ifs(isblank(AX37),0,BH37="NR","NR",BH37="?","?",1,(AY37*vlookup(AX37,Ores[],7,FALSE)+if(isblank(AZ37),0,BA37*vlookup(AZ37,Ores[],7,FALSE))+if(isblank(BB37),0,BC37*vlookup(BB37,Ores[],7,FALSE))+if(isblank(BD37),0,BE37*vlookup(BD37,Ores[],7,FALSE))+if(isblank(BF37),0,BG37*vlookup(BF37,Ores[],7,FALSE)))/BH37)</f>
        <v>0</v>
      </c>
      <c r="BT37" s="21">
        <f>ifs(isblank(AX37),0,BH37="NR","NR",BH37="?","?",1,(AY37*vlookup(AX37,Ores[],3,FALSE)+if(isblank(AZ37),0,BA37*vlookup(AZ37,Ores[],3,FALSE))+if(isblank(BB37),0,BC37*vlookup(BB37,Ores[],3,FALSE))+if(isblank(BD37),0,BE37*vlookup(BD37,Ores[],3,FALSE))+if(isblank(BF37),0,BG37*vlookup(BF37,Ores[],3,FALSE)))/BH37)</f>
        <v>1.759530792</v>
      </c>
      <c r="BU37" s="21">
        <f>ifs(isblank(AX37),0,BH37="NR","NR",BH37="?","?",1,(AY37*vlookup(AX37,Ores[],5,FALSE)+if(isblank(AZ37),0,BA37*vlookup(AZ37,Ores[],5,FALSE))+if(isblank(BB37),0,BC37*vlookup(BB37,Ores[],5,FALSE))+if(isblank(BD37),0,BE37*vlookup(BD37,Ores[],5,FALSE))+if(isblank(BF37),0,BG37*vlookup(BF37,Ores[],5,FALSE)))/BH37)</f>
        <v>0</v>
      </c>
      <c r="BV37" s="22">
        <f t="shared" si="7"/>
        <v>5.347593583</v>
      </c>
      <c r="BW37" s="40">
        <v>140.0</v>
      </c>
      <c r="BX37" s="43">
        <v>37.4</v>
      </c>
      <c r="BY37" s="47"/>
      <c r="BZ37" s="56">
        <f t="shared" si="8"/>
        <v>10.09090909</v>
      </c>
      <c r="CA37" s="53">
        <f t="shared" si="9"/>
        <v>5.873015873</v>
      </c>
      <c r="CB37" s="43" t="s">
        <v>430</v>
      </c>
      <c r="CC37" s="43" t="s">
        <v>116</v>
      </c>
      <c r="CD37" s="28">
        <f t="shared" si="10"/>
        <v>5.873015873</v>
      </c>
      <c r="CE37" s="43">
        <f t="shared" si="11"/>
        <v>111</v>
      </c>
      <c r="CF37" s="41"/>
      <c r="CG37" s="43"/>
      <c r="CH37" s="43">
        <v>72.0</v>
      </c>
      <c r="CI37" s="43">
        <v>183.0</v>
      </c>
      <c r="CJ37" s="43">
        <v>200.0</v>
      </c>
      <c r="CK37" s="43">
        <v>10.0</v>
      </c>
      <c r="CL37" s="43">
        <v>11.1</v>
      </c>
      <c r="CM37" s="43">
        <v>6.0</v>
      </c>
      <c r="CN37" s="41">
        <f>30-11.1</f>
        <v>18.9</v>
      </c>
      <c r="CO37" s="43">
        <v>11.0</v>
      </c>
      <c r="CP37" s="43">
        <v>0.0</v>
      </c>
      <c r="CQ37" s="43">
        <v>0.0</v>
      </c>
      <c r="CR37" s="41" t="s">
        <v>257</v>
      </c>
      <c r="CS37" s="53">
        <v>1.9</v>
      </c>
      <c r="CT37" s="43" t="s">
        <v>431</v>
      </c>
      <c r="CU37" s="27" t="s">
        <v>212</v>
      </c>
      <c r="CV37" s="29"/>
      <c r="CW37" s="30">
        <f t="shared" si="12"/>
        <v>0.095</v>
      </c>
      <c r="CX37" s="31">
        <f t="shared" si="19"/>
        <v>0.190601793</v>
      </c>
      <c r="CY37" s="41" t="s">
        <v>159</v>
      </c>
      <c r="CZ37" s="41"/>
      <c r="DA37" s="41" t="s">
        <v>264</v>
      </c>
      <c r="DB37" s="41" t="s">
        <v>432</v>
      </c>
      <c r="DC37" s="41" t="s">
        <v>433</v>
      </c>
      <c r="DD37" s="41"/>
      <c r="DE37" s="41"/>
      <c r="DF37" s="41"/>
      <c r="DG37" s="41"/>
      <c r="DH37" s="41"/>
      <c r="DI37" s="41"/>
      <c r="DJ37" s="41"/>
      <c r="DK37" s="41"/>
      <c r="DL37" s="41"/>
      <c r="DM37" s="45"/>
    </row>
    <row r="38" ht="21.75" customHeight="1">
      <c r="A38" s="33">
        <v>37.0</v>
      </c>
      <c r="B38" s="34" t="s">
        <v>434</v>
      </c>
      <c r="C38" s="34" t="s">
        <v>435</v>
      </c>
      <c r="D38" s="36" t="s">
        <v>436</v>
      </c>
      <c r="E38" s="35">
        <v>39718.0</v>
      </c>
      <c r="F38" s="34" t="s">
        <v>109</v>
      </c>
      <c r="G38" s="36" t="s">
        <v>123</v>
      </c>
      <c r="H38" s="34"/>
      <c r="I38" s="36" t="s">
        <v>286</v>
      </c>
      <c r="J38" s="36" t="s">
        <v>437</v>
      </c>
      <c r="K38" s="34"/>
      <c r="L38" s="34"/>
      <c r="M38" s="36" t="s">
        <v>150</v>
      </c>
      <c r="N38" s="36" t="s">
        <v>168</v>
      </c>
      <c r="O38" s="34">
        <f t="shared" si="23"/>
        <v>85</v>
      </c>
      <c r="P38" s="34">
        <f t="shared" si="21"/>
        <v>85</v>
      </c>
      <c r="Q38" s="36">
        <v>65.0</v>
      </c>
      <c r="R38" s="36">
        <v>20.0</v>
      </c>
      <c r="S38" s="34">
        <v>45.0</v>
      </c>
      <c r="T38" s="34" t="s">
        <v>116</v>
      </c>
      <c r="U38" s="34">
        <v>25.0</v>
      </c>
      <c r="V38" s="34"/>
      <c r="W38" s="34"/>
      <c r="X38" s="34"/>
      <c r="Y38" s="34"/>
      <c r="Z38" s="34"/>
      <c r="AA38" s="37">
        <f>Calcs!O38</f>
        <v>490.9</v>
      </c>
      <c r="AB38" s="34" t="s">
        <v>116</v>
      </c>
      <c r="AC38" s="34" t="s">
        <v>118</v>
      </c>
      <c r="AD38" s="36" t="s">
        <v>262</v>
      </c>
      <c r="AE38" s="34">
        <v>2.5</v>
      </c>
      <c r="AF38" s="36"/>
      <c r="AG38" s="36">
        <v>20.0</v>
      </c>
      <c r="AH38" s="36" t="s">
        <v>170</v>
      </c>
      <c r="AI38" s="34"/>
      <c r="AJ38" s="34">
        <v>5.0</v>
      </c>
      <c r="AK38" s="34"/>
      <c r="AL38" s="34" t="s">
        <v>184</v>
      </c>
      <c r="AM38" s="34"/>
      <c r="AN38" s="36" t="s">
        <v>116</v>
      </c>
      <c r="AO38" s="34">
        <v>20.0</v>
      </c>
      <c r="AP38" s="34"/>
      <c r="AQ38" s="34" t="s">
        <v>254</v>
      </c>
      <c r="AR38" s="34"/>
      <c r="AS38" s="34">
        <v>800.0</v>
      </c>
      <c r="AT38" s="14" t="str">
        <f t="shared" si="3"/>
        <v/>
      </c>
      <c r="AU38" s="12"/>
      <c r="AV38" s="74">
        <v>672.0</v>
      </c>
      <c r="AW38" s="17">
        <f t="shared" si="4"/>
        <v>589.08</v>
      </c>
      <c r="AX38" s="39" t="s">
        <v>438</v>
      </c>
      <c r="AY38" s="36">
        <v>34.5</v>
      </c>
      <c r="AZ38" s="36"/>
      <c r="BA38" s="36"/>
      <c r="BB38" s="36"/>
      <c r="BC38" s="36"/>
      <c r="BD38" s="34"/>
      <c r="BE38" s="34"/>
      <c r="BF38" s="34"/>
      <c r="BG38" s="34"/>
      <c r="BH38" s="73">
        <v>34.7</v>
      </c>
      <c r="BI38" s="19">
        <f>ifs(BH38=0,"na",BH38="NR","NR",BH38="?","?",BK38&gt;0,"?",iserror(Calcs!AB38),"?",1,Calcs!AB38)</f>
        <v>0.5198806365</v>
      </c>
      <c r="BJ38" s="34" t="s">
        <v>125</v>
      </c>
      <c r="BK38" s="34"/>
      <c r="BL38" s="18">
        <f t="shared" si="6"/>
        <v>34.7</v>
      </c>
      <c r="BM38" s="34"/>
      <c r="BN38" s="34"/>
      <c r="BO38" s="34" t="s">
        <v>173</v>
      </c>
      <c r="BP38" s="20">
        <f>ifs(isblank(AX38),0,BH38="NR","NR",BH38="?","?",1,(AY38*vlookup(AX38,Ores[],2,FALSE)+if(isblank(AZ38),0,BA38*vlookup(AZ38,Ores[],2,FALSE))+if(isblank(BB38),0,BC38*vlookup(BB38,Ores[],2,FALSE))+if(isblank(BD38),0,BE38*vlookup(BD38,Ores[],2,FALSE))+if(isblank(BF38),0,BG38*vlookup(BF38,Ores[],2,FALSE)))/BH38)</f>
        <v>2.455763689</v>
      </c>
      <c r="BQ38" s="20">
        <f>ifs(isblank(AX38),0,BH38="NR","NR",BH38="?","?",1,(AY38*vlookup(AX38,Ores[],4,FALSE)+if(isblank(AZ38),0,BA38*vlookup(AZ38,Ores[],4,FALSE))+if(isblank(BB38),0,BC38*vlookup(BB38,Ores[],4,FALSE))+if(isblank(BD38),0,BE38*vlookup(BD38,Ores[],4,FALSE))+if(isblank(BF38),0,BG38*vlookup(BF38,Ores[],4,FALSE)))/BH38)</f>
        <v>1.312391931</v>
      </c>
      <c r="BR38" s="21">
        <f>ifs(isblank(AX38),0,BH38="NR","NR",BH38="?","?",1,(AY38*vlookup(AX38,Ores[],8,FALSE)+if(isblank(AZ38),0,BA38*vlookup(AZ38,Ores[],8,FALSE))+if(isblank(BB38),0,BC38*vlookup(BB38,Ores[],8,FALSE))+if(isblank(BD38),0,BE38*vlookup(BD38,Ores[],8,FALSE))+if(isblank(BF38),0,BG38*vlookup(BF38,Ores[],8,FALSE)))/BH38)</f>
        <v>2.856440922</v>
      </c>
      <c r="BS38" s="21">
        <f>ifs(isblank(AX38),0,BH38="NR","NR",BH38="?","?",1,(AY38*vlookup(AX38,Ores[],7,FALSE)+if(isblank(AZ38),0,BA38*vlookup(AZ38,Ores[],7,FALSE))+if(isblank(BB38),0,BC38*vlookup(BB38,Ores[],7,FALSE))+if(isblank(BD38),0,BE38*vlookup(BD38,Ores[],7,FALSE))+if(isblank(BF38),0,BG38*vlookup(BF38,Ores[],7,FALSE)))/BH38)</f>
        <v>0.00884870317</v>
      </c>
      <c r="BT38" s="21">
        <f>ifs(isblank(AX38),0,BH38="NR","NR",BH38="?","?",1,(AY38*vlookup(AX38,Ores[],3,FALSE)+if(isblank(AZ38),0,BA38*vlookup(AZ38,Ores[],3,FALSE))+if(isblank(BB38),0,BC38*vlookup(BB38,Ores[],3,FALSE))+if(isblank(BD38),0,BE38*vlookup(BD38,Ores[],3,FALSE))+if(isblank(BF38),0,BG38*vlookup(BF38,Ores[],3,FALSE)))/BH38)</f>
        <v>0.004971181556</v>
      </c>
      <c r="BU38" s="21">
        <f>ifs(isblank(AX38),0,BH38="NR","NR",BH38="?","?",1,(AY38*vlookup(AX38,Ores[],5,FALSE)+if(isblank(AZ38),0,BA38*vlookup(AZ38,Ores[],5,FALSE))+if(isblank(BB38),0,BC38*vlookup(BB38,Ores[],5,FALSE))+if(isblank(BD38),0,BE38*vlookup(BD38,Ores[],5,FALSE))+if(isblank(BF38),0,BG38*vlookup(BF38,Ores[],5,FALSE)))/BH38)</f>
        <v>0.4404466859</v>
      </c>
      <c r="BV38" s="22">
        <f t="shared" si="7"/>
        <v>4.903650321</v>
      </c>
      <c r="BW38" s="40">
        <v>97.0</v>
      </c>
      <c r="BX38" s="41">
        <f>63.83</f>
        <v>63.83</v>
      </c>
      <c r="BY38" s="47"/>
      <c r="BZ38" s="56">
        <f t="shared" si="8"/>
        <v>10.42857143</v>
      </c>
      <c r="CA38" s="53">
        <f t="shared" si="9"/>
        <v>5.637065637</v>
      </c>
      <c r="CB38" s="43" t="s">
        <v>430</v>
      </c>
      <c r="CC38" s="43" t="s">
        <v>116</v>
      </c>
      <c r="CD38" s="28">
        <f t="shared" si="10"/>
        <v>5.637065637</v>
      </c>
      <c r="CE38" s="43">
        <f t="shared" si="11"/>
        <v>219</v>
      </c>
      <c r="CF38" s="43" t="s">
        <v>123</v>
      </c>
      <c r="CG38" s="43"/>
      <c r="CH38" s="43">
        <v>55.0</v>
      </c>
      <c r="CI38" s="43">
        <v>274.0</v>
      </c>
      <c r="CJ38" s="43">
        <v>313.0</v>
      </c>
      <c r="CK38" s="43">
        <v>21.0</v>
      </c>
      <c r="CL38" s="43">
        <v>14.8</v>
      </c>
      <c r="CM38" s="43">
        <v>7.0</v>
      </c>
      <c r="CN38" s="41">
        <f>58.28-19.43</f>
        <v>38.85</v>
      </c>
      <c r="CO38" s="43">
        <v>21.0</v>
      </c>
      <c r="CP38" s="43">
        <v>5.55</v>
      </c>
      <c r="CQ38" s="43">
        <v>2.0</v>
      </c>
      <c r="CR38" s="41" t="s">
        <v>129</v>
      </c>
      <c r="CS38" s="53">
        <v>9.5</v>
      </c>
      <c r="CT38" s="43" t="s">
        <v>234</v>
      </c>
      <c r="CU38" s="30"/>
      <c r="CV38" s="29"/>
      <c r="CW38" s="30">
        <f t="shared" si="12"/>
        <v>0.2737752161</v>
      </c>
      <c r="CX38" s="31">
        <f t="shared" si="19"/>
        <v>0.5266116815</v>
      </c>
      <c r="CY38" s="43" t="s">
        <v>439</v>
      </c>
      <c r="CZ38" s="41"/>
      <c r="DA38" s="41" t="s">
        <v>264</v>
      </c>
      <c r="DB38" s="41" t="s">
        <v>434</v>
      </c>
      <c r="DC38" s="41" t="s">
        <v>440</v>
      </c>
      <c r="DD38" s="41"/>
      <c r="DE38" s="41"/>
      <c r="DF38" s="41"/>
      <c r="DG38" s="41"/>
      <c r="DH38" s="41"/>
      <c r="DI38" s="41"/>
      <c r="DJ38" s="41"/>
      <c r="DK38" s="41"/>
      <c r="DL38" s="41"/>
      <c r="DM38" s="45"/>
    </row>
    <row r="39" ht="21.75" customHeight="1">
      <c r="A39" s="62" t="s">
        <v>441</v>
      </c>
      <c r="B39" s="34" t="s">
        <v>442</v>
      </c>
      <c r="C39" s="34" t="s">
        <v>137</v>
      </c>
      <c r="D39" s="34" t="s">
        <v>138</v>
      </c>
      <c r="E39" s="35">
        <v>39733.0</v>
      </c>
      <c r="F39" s="34" t="s">
        <v>347</v>
      </c>
      <c r="G39" s="36" t="s">
        <v>123</v>
      </c>
      <c r="H39" s="36" t="s">
        <v>348</v>
      </c>
      <c r="I39" s="34" t="s">
        <v>443</v>
      </c>
      <c r="J39" s="36" t="s">
        <v>276</v>
      </c>
      <c r="K39" s="34"/>
      <c r="L39" s="34"/>
      <c r="M39" s="36" t="s">
        <v>150</v>
      </c>
      <c r="N39" s="36" t="s">
        <v>168</v>
      </c>
      <c r="O39" s="34">
        <f t="shared" si="23"/>
        <v>65</v>
      </c>
      <c r="P39" s="34">
        <f t="shared" si="21"/>
        <v>65</v>
      </c>
      <c r="Q39" s="36">
        <v>65.0</v>
      </c>
      <c r="R39" s="34"/>
      <c r="S39" s="34">
        <v>37.0</v>
      </c>
      <c r="T39" s="34">
        <v>28.0</v>
      </c>
      <c r="U39" s="34">
        <v>22.0</v>
      </c>
      <c r="V39" s="34"/>
      <c r="W39" s="34"/>
      <c r="X39" s="34"/>
      <c r="Y39" s="34"/>
      <c r="Z39" s="34"/>
      <c r="AA39" s="37">
        <f>Calcs!O39</f>
        <v>380.1</v>
      </c>
      <c r="AB39" s="34">
        <v>5.0</v>
      </c>
      <c r="AC39" s="34" t="s">
        <v>444</v>
      </c>
      <c r="AD39" s="34" t="s">
        <v>373</v>
      </c>
      <c r="AE39" s="34">
        <v>8.0</v>
      </c>
      <c r="AF39" s="36"/>
      <c r="AG39" s="36">
        <v>15.0</v>
      </c>
      <c r="AH39" s="36" t="s">
        <v>170</v>
      </c>
      <c r="AI39" s="34"/>
      <c r="AJ39" s="75">
        <v>-4.0</v>
      </c>
      <c r="AK39" s="37"/>
      <c r="AL39" s="34" t="s">
        <v>121</v>
      </c>
      <c r="AM39" s="36" t="s">
        <v>445</v>
      </c>
      <c r="AN39" s="36" t="s">
        <v>116</v>
      </c>
      <c r="AO39" s="34">
        <v>20.0</v>
      </c>
      <c r="AP39" s="34"/>
      <c r="AQ39" s="34" t="s">
        <v>254</v>
      </c>
      <c r="AR39" s="36">
        <v>625.0</v>
      </c>
      <c r="AS39" s="36">
        <v>740.0</v>
      </c>
      <c r="AT39" s="14">
        <f t="shared" si="3"/>
        <v>682.5</v>
      </c>
      <c r="AU39" s="12"/>
      <c r="AV39" s="76"/>
      <c r="AW39" s="17">
        <f t="shared" si="4"/>
        <v>456.12</v>
      </c>
      <c r="AX39" s="39" t="s">
        <v>295</v>
      </c>
      <c r="AY39" s="39">
        <v>8.0</v>
      </c>
      <c r="AZ39" s="36" t="s">
        <v>225</v>
      </c>
      <c r="BA39" s="36">
        <v>15.0</v>
      </c>
      <c r="BB39" s="36"/>
      <c r="BC39" s="36"/>
      <c r="BD39" s="34"/>
      <c r="BE39" s="34"/>
      <c r="BF39" s="34"/>
      <c r="BG39" s="34"/>
      <c r="BH39" s="18">
        <f t="shared" ref="BH39:BH52" si="24">ifs(OR(AY39="NR",BA39="NR",BC39="NR",BE39="NR",BG39="NR"),"NR",OR(AY39="?",BA39="?",BC39="?",BE39="?",BG39="?"),"?",1,AY39+BA39+BC39+BE39+BG39)</f>
        <v>23</v>
      </c>
      <c r="BI39" s="19">
        <f>ifs(BH39=0,"na",BH39="NR","NR",BH39="?","?",BK39&gt;0,"?",iserror(Calcs!AB39),"?",1,Calcs!AB39)</f>
        <v>0.584243638</v>
      </c>
      <c r="BJ39" s="34" t="s">
        <v>125</v>
      </c>
      <c r="BK39" s="34"/>
      <c r="BL39" s="18">
        <f t="shared" si="6"/>
        <v>23</v>
      </c>
      <c r="BM39" s="34"/>
      <c r="BN39" s="34"/>
      <c r="BO39" s="34" t="s">
        <v>173</v>
      </c>
      <c r="BP39" s="20">
        <f>ifs(isblank(AX39),0,BH39="NR","NR",BH39="?","?",1,(AY39*vlookup(AX39,Ores[],2,FALSE)+if(isblank(AZ39),0,BA39*vlookup(AZ39,Ores[],2,FALSE))+if(isblank(BB39),0,BC39*vlookup(BB39,Ores[],2,FALSE))+if(isblank(BD39),0,BE39*vlookup(BD39,Ores[],2,FALSE))+if(isblank(BF39),0,BG39*vlookup(BF39,Ores[],2,FALSE)))/BH39)</f>
        <v>8.396956522</v>
      </c>
      <c r="BQ39" s="20">
        <f>ifs(isblank(AX39),0,BH39="NR","NR",BH39="?","?",1,(AY39*vlookup(AX39,Ores[],4,FALSE)+if(isblank(AZ39),0,BA39*vlookup(AZ39,Ores[],4,FALSE))+if(isblank(BB39),0,BC39*vlookup(BB39,Ores[],4,FALSE))+if(isblank(BD39),0,BE39*vlookup(BD39,Ores[],4,FALSE))+if(isblank(BF39),0,BG39*vlookup(BF39,Ores[],4,FALSE)))/BH39)</f>
        <v>1.85826087</v>
      </c>
      <c r="BR39" s="21">
        <f>ifs(isblank(AX39),0,BH39="NR","NR",BH39="?","?",1,(AY39*vlookup(AX39,Ores[],8,FALSE)+if(isblank(AZ39),0,BA39*vlookup(AZ39,Ores[],8,FALSE))+if(isblank(BB39),0,BC39*vlookup(BB39,Ores[],8,FALSE))+if(isblank(BD39),0,BE39*vlookup(BD39,Ores[],8,FALSE))+if(isblank(BF39),0,BG39*vlookup(BF39,Ores[],8,FALSE)))/BH39)</f>
        <v>0.8173913043</v>
      </c>
      <c r="BS39" s="21">
        <f>ifs(isblank(AX39),0,BH39="NR","NR",BH39="?","?",1,(AY39*vlookup(AX39,Ores[],7,FALSE)+if(isblank(AZ39),0,BA39*vlookup(AZ39,Ores[],7,FALSE))+if(isblank(BB39),0,BC39*vlookup(BB39,Ores[],7,FALSE))+if(isblank(BD39),0,BE39*vlookup(BD39,Ores[],7,FALSE))+if(isblank(BF39),0,BG39*vlookup(BF39,Ores[],7,FALSE)))/BH39)</f>
        <v>0</v>
      </c>
      <c r="BT39" s="21">
        <f>ifs(isblank(AX39),0,BH39="NR","NR",BH39="?","?",1,(AY39*vlookup(AX39,Ores[],3,FALSE)+if(isblank(AZ39),0,BA39*vlookup(AZ39,Ores[],3,FALSE))+if(isblank(BB39),0,BC39*vlookup(BB39,Ores[],3,FALSE))+if(isblank(BD39),0,BE39*vlookup(BD39,Ores[],3,FALSE))+if(isblank(BF39),0,BG39*vlookup(BF39,Ores[],3,FALSE)))/BH39)</f>
        <v>0.3495652174</v>
      </c>
      <c r="BU39" s="21">
        <f>ifs(isblank(AX39),0,BH39="NR","NR",BH39="?","?",1,(AY39*vlookup(AX39,Ores[],5,FALSE)+if(isblank(AZ39),0,BA39*vlookup(AZ39,Ores[],5,FALSE))+if(isblank(BB39),0,BC39*vlookup(BB39,Ores[],5,FALSE))+if(isblank(BD39),0,BE39*vlookup(BD39,Ores[],5,FALSE))+if(isblank(BF39),0,BG39*vlookup(BF39,Ores[],5,FALSE)))/BH39)</f>
        <v>1.47</v>
      </c>
      <c r="BV39" s="22" t="str">
        <f t="shared" si="7"/>
        <v>NR</v>
      </c>
      <c r="BW39" s="40">
        <v>78.0</v>
      </c>
      <c r="BX39" s="43">
        <v>46.25</v>
      </c>
      <c r="BY39" s="47"/>
      <c r="BZ39" s="56">
        <f t="shared" si="8"/>
        <v>13.72222222</v>
      </c>
      <c r="CA39" s="53">
        <f t="shared" si="9"/>
        <v>7.417417417</v>
      </c>
      <c r="CB39" s="43" t="s">
        <v>430</v>
      </c>
      <c r="CC39" s="43" t="s">
        <v>116</v>
      </c>
      <c r="CD39" s="28">
        <f t="shared" si="10"/>
        <v>7.417417417</v>
      </c>
      <c r="CE39" s="43">
        <f t="shared" si="11"/>
        <v>247</v>
      </c>
      <c r="CF39" s="41"/>
      <c r="CG39" s="43"/>
      <c r="CH39" s="43">
        <v>55.0</v>
      </c>
      <c r="CI39" s="43">
        <v>302.0</v>
      </c>
      <c r="CJ39" s="43" t="s">
        <v>116</v>
      </c>
      <c r="CK39" s="43">
        <v>17.0</v>
      </c>
      <c r="CL39" s="43">
        <v>5.55</v>
      </c>
      <c r="CM39" s="43">
        <v>3.0</v>
      </c>
      <c r="CN39" s="43">
        <v>33.3</v>
      </c>
      <c r="CO39" s="43">
        <v>18.0</v>
      </c>
      <c r="CP39" s="43">
        <v>0.0</v>
      </c>
      <c r="CQ39" s="43">
        <v>0.0</v>
      </c>
      <c r="CR39" s="41" t="s">
        <v>257</v>
      </c>
      <c r="CS39" s="53">
        <v>4.9</v>
      </c>
      <c r="CT39" s="43" t="s">
        <v>234</v>
      </c>
      <c r="CU39" s="30"/>
      <c r="CV39" s="58">
        <v>5.2</v>
      </c>
      <c r="CW39" s="30">
        <f t="shared" si="12"/>
        <v>0.2130434783</v>
      </c>
      <c r="CX39" s="31">
        <f t="shared" si="19"/>
        <v>0.3646483494</v>
      </c>
      <c r="CY39" s="41" t="s">
        <v>446</v>
      </c>
      <c r="CZ39" s="41"/>
      <c r="DA39" s="41" t="s">
        <v>447</v>
      </c>
      <c r="DB39" s="41" t="s">
        <v>448</v>
      </c>
      <c r="DC39" s="41" t="s">
        <v>449</v>
      </c>
      <c r="DD39" s="41"/>
      <c r="DE39" s="41"/>
      <c r="DF39" s="41"/>
      <c r="DG39" s="41"/>
      <c r="DH39" s="41"/>
      <c r="DI39" s="41"/>
      <c r="DJ39" s="41"/>
      <c r="DK39" s="41"/>
      <c r="DL39" s="41"/>
      <c r="DM39" s="45"/>
    </row>
    <row r="40" ht="21.75" customHeight="1">
      <c r="A40" s="33" t="s">
        <v>450</v>
      </c>
      <c r="B40" s="34" t="s">
        <v>451</v>
      </c>
      <c r="C40" s="34" t="s">
        <v>137</v>
      </c>
      <c r="D40" s="34" t="s">
        <v>138</v>
      </c>
      <c r="E40" s="35">
        <v>39760.0</v>
      </c>
      <c r="F40" s="34" t="s">
        <v>347</v>
      </c>
      <c r="G40" s="36" t="s">
        <v>123</v>
      </c>
      <c r="H40" s="36" t="s">
        <v>348</v>
      </c>
      <c r="I40" s="34" t="s">
        <v>443</v>
      </c>
      <c r="J40" s="36" t="s">
        <v>276</v>
      </c>
      <c r="K40" s="34"/>
      <c r="L40" s="34"/>
      <c r="M40" s="36" t="s">
        <v>427</v>
      </c>
      <c r="N40" s="36" t="s">
        <v>168</v>
      </c>
      <c r="O40" s="34">
        <f t="shared" si="23"/>
        <v>85</v>
      </c>
      <c r="P40" s="34">
        <f t="shared" si="21"/>
        <v>85</v>
      </c>
      <c r="Q40" s="36">
        <v>65.0</v>
      </c>
      <c r="R40" s="36">
        <v>20.0</v>
      </c>
      <c r="S40" s="34">
        <v>42.0</v>
      </c>
      <c r="T40" s="34">
        <v>20.0</v>
      </c>
      <c r="U40" s="36">
        <v>26.0</v>
      </c>
      <c r="V40" s="36">
        <v>24.0</v>
      </c>
      <c r="W40" s="34"/>
      <c r="X40" s="34"/>
      <c r="Y40" s="34"/>
      <c r="Z40" s="34"/>
      <c r="AA40" s="37">
        <f>Calcs!O40</f>
        <v>490.1</v>
      </c>
      <c r="AB40" s="34">
        <v>5.0</v>
      </c>
      <c r="AC40" s="34" t="s">
        <v>452</v>
      </c>
      <c r="AD40" s="34" t="s">
        <v>373</v>
      </c>
      <c r="AE40" s="34">
        <v>5.0</v>
      </c>
      <c r="AF40" s="36"/>
      <c r="AG40" s="36">
        <v>25.0</v>
      </c>
      <c r="AH40" s="36" t="s">
        <v>170</v>
      </c>
      <c r="AI40" s="34"/>
      <c r="AJ40" s="36">
        <v>-2.5</v>
      </c>
      <c r="AK40" s="34"/>
      <c r="AL40" s="34" t="s">
        <v>121</v>
      </c>
      <c r="AM40" s="36" t="s">
        <v>445</v>
      </c>
      <c r="AN40" s="36" t="s">
        <v>116</v>
      </c>
      <c r="AO40" s="34">
        <v>20.0</v>
      </c>
      <c r="AP40" s="34"/>
      <c r="AQ40" s="34" t="s">
        <v>254</v>
      </c>
      <c r="AR40" s="36">
        <v>400.0</v>
      </c>
      <c r="AS40" s="36">
        <v>1000.0</v>
      </c>
      <c r="AT40" s="14">
        <f t="shared" si="3"/>
        <v>700</v>
      </c>
      <c r="AU40" s="12"/>
      <c r="AV40" s="74" t="s">
        <v>453</v>
      </c>
      <c r="AW40" s="17">
        <f t="shared" si="4"/>
        <v>588.12</v>
      </c>
      <c r="AX40" s="39" t="s">
        <v>295</v>
      </c>
      <c r="AY40" s="36">
        <v>8.4</v>
      </c>
      <c r="AZ40" s="39" t="s">
        <v>281</v>
      </c>
      <c r="BA40" s="36">
        <v>15.4</v>
      </c>
      <c r="BB40" s="36"/>
      <c r="BC40" s="36"/>
      <c r="BD40" s="34"/>
      <c r="BE40" s="34"/>
      <c r="BF40" s="34"/>
      <c r="BG40" s="34"/>
      <c r="BH40" s="18">
        <f t="shared" si="24"/>
        <v>23.8</v>
      </c>
      <c r="BI40" s="19">
        <f>ifs(BH40=0,"na",BH40="NR","NR",BH40="?","?",BK40&gt;0,"?",iserror(Calcs!AB40),"?",1,Calcs!AB40)</f>
        <v>0.6043986924</v>
      </c>
      <c r="BJ40" s="34" t="s">
        <v>125</v>
      </c>
      <c r="BK40" s="34"/>
      <c r="BL40" s="18">
        <f t="shared" si="6"/>
        <v>23.8</v>
      </c>
      <c r="BM40" s="34"/>
      <c r="BN40" s="34"/>
      <c r="BO40" s="34" t="s">
        <v>341</v>
      </c>
      <c r="BP40" s="20">
        <f>ifs(isblank(AX40),0,BH40="NR","NR",BH40="?","?",1,(AY40*vlookup(AX40,Ores[],2,FALSE)+if(isblank(AZ40),0,BA40*vlookup(AZ40,Ores[],2,FALSE))+if(isblank(BB40),0,BC40*vlookup(BB40,Ores[],2,FALSE))+if(isblank(BD40),0,BE40*vlookup(BD40,Ores[],2,FALSE))+if(isblank(BF40),0,BG40*vlookup(BF40,Ores[],2,FALSE)))/BH40)</f>
        <v>5.297647059</v>
      </c>
      <c r="BQ40" s="20">
        <f>ifs(isblank(AX40),0,BH40="NR","NR",BH40="?","?",1,(AY40*vlookup(AX40,Ores[],4,FALSE)+if(isblank(AZ40),0,BA40*vlookup(AZ40,Ores[],4,FALSE))+if(isblank(BB40),0,BC40*vlookup(BB40,Ores[],4,FALSE))+if(isblank(BD40),0,BE40*vlookup(BD40,Ores[],4,FALSE))+if(isblank(BF40),0,BG40*vlookup(BF40,Ores[],4,FALSE)))/BH40)</f>
        <v>1.96</v>
      </c>
      <c r="BR40" s="21">
        <f>ifs(isblank(AX40),0,BH40="NR","NR",BH40="?","?",1,(AY40*vlookup(AX40,Ores[],8,FALSE)+if(isblank(AZ40),0,BA40*vlookup(AZ40,Ores[],8,FALSE))+if(isblank(BB40),0,BC40*vlookup(BB40,Ores[],8,FALSE))+if(isblank(BD40),0,BE40*vlookup(BD40,Ores[],8,FALSE))+if(isblank(BF40),0,BG40*vlookup(BF40,Ores[],8,FALSE)))/BH40)</f>
        <v>0.8294117647</v>
      </c>
      <c r="BS40" s="21">
        <f>ifs(isblank(AX40),0,BH40="NR","NR",BH40="?","?",1,(AY40*vlookup(AX40,Ores[],7,FALSE)+if(isblank(AZ40),0,BA40*vlookup(AZ40,Ores[],7,FALSE))+if(isblank(BB40),0,BC40*vlookup(BB40,Ores[],7,FALSE))+if(isblank(BD40),0,BE40*vlookup(BD40,Ores[],7,FALSE))+if(isblank(BF40),0,BG40*vlookup(BF40,Ores[],7,FALSE)))/BH40)</f>
        <v>0</v>
      </c>
      <c r="BT40" s="21">
        <f>ifs(isblank(AX40),0,BH40="NR","NR",BH40="?","?",1,(AY40*vlookup(AX40,Ores[],3,FALSE)+if(isblank(AZ40),0,BA40*vlookup(AZ40,Ores[],3,FALSE))+if(isblank(BB40),0,BC40*vlookup(BB40,Ores[],3,FALSE))+if(isblank(BD40),0,BE40*vlookup(BD40,Ores[],3,FALSE))+if(isblank(BF40),0,BG40*vlookup(BF40,Ores[],3,FALSE)))/BH40)</f>
        <v>0.1488235294</v>
      </c>
      <c r="BU40" s="21">
        <f>ifs(isblank(AX40),0,BH40="NR","NR",BH40="?","?",1,(AY40*vlookup(AX40,Ores[],5,FALSE)+if(isblank(AZ40),0,BA40*vlookup(AZ40,Ores[],5,FALSE))+if(isblank(BB40),0,BC40*vlookup(BB40,Ores[],5,FALSE))+if(isblank(BD40),0,BE40*vlookup(BD40,Ores[],5,FALSE))+if(isblank(BF40),0,BG40*vlookup(BF40,Ores[],5,FALSE)))/BH40)</f>
        <v>1.365882353</v>
      </c>
      <c r="BV40" s="22">
        <f t="shared" si="7"/>
        <v>6.25</v>
      </c>
      <c r="BW40" s="40">
        <v>158.0</v>
      </c>
      <c r="BX40" s="41">
        <v>48.0</v>
      </c>
      <c r="BY40" s="47"/>
      <c r="BZ40" s="56">
        <f t="shared" si="8"/>
        <v>11.94117647</v>
      </c>
      <c r="CA40" s="53">
        <f t="shared" si="9"/>
        <v>5.970588235</v>
      </c>
      <c r="CB40" s="43" t="s">
        <v>430</v>
      </c>
      <c r="CC40" s="43" t="s">
        <v>116</v>
      </c>
      <c r="CD40" s="28">
        <f t="shared" si="10"/>
        <v>5.970588235</v>
      </c>
      <c r="CE40" s="43">
        <f t="shared" si="11"/>
        <v>203</v>
      </c>
      <c r="CF40" s="41"/>
      <c r="CG40" s="43"/>
      <c r="CH40" s="43">
        <v>56.0</v>
      </c>
      <c r="CI40" s="43">
        <v>259.0</v>
      </c>
      <c r="CJ40" s="43">
        <v>300.0</v>
      </c>
      <c r="CK40" s="43">
        <v>17.0</v>
      </c>
      <c r="CL40" s="43">
        <v>6.0</v>
      </c>
      <c r="CM40" s="43">
        <v>3.0</v>
      </c>
      <c r="CN40" s="43">
        <v>34.0</v>
      </c>
      <c r="CO40" s="43">
        <v>17.0</v>
      </c>
      <c r="CP40" s="43">
        <v>0.0</v>
      </c>
      <c r="CQ40" s="43">
        <v>0.0</v>
      </c>
      <c r="CR40" s="41" t="s">
        <v>129</v>
      </c>
      <c r="CS40" s="53">
        <v>3.25</v>
      </c>
      <c r="CT40" s="43" t="s">
        <v>454</v>
      </c>
      <c r="CU40" s="27"/>
      <c r="CV40" s="29"/>
      <c r="CW40" s="30">
        <f t="shared" si="12"/>
        <v>0.1365546218</v>
      </c>
      <c r="CX40" s="31">
        <f t="shared" si="19"/>
        <v>0.2259346745</v>
      </c>
      <c r="CY40" s="41" t="s">
        <v>446</v>
      </c>
      <c r="CZ40" s="41">
        <v>16.6</v>
      </c>
      <c r="DA40" s="41" t="s">
        <v>447</v>
      </c>
      <c r="DB40" s="41" t="s">
        <v>455</v>
      </c>
      <c r="DC40" s="41" t="s">
        <v>384</v>
      </c>
      <c r="DD40" s="41"/>
      <c r="DE40" s="41"/>
      <c r="DF40" s="41"/>
      <c r="DG40" s="41"/>
      <c r="DH40" s="41"/>
      <c r="DI40" s="41"/>
      <c r="DJ40" s="41"/>
      <c r="DK40" s="41"/>
      <c r="DL40" s="41"/>
      <c r="DM40" s="45"/>
    </row>
    <row r="41" ht="21.75" customHeight="1">
      <c r="A41" s="33" t="s">
        <v>456</v>
      </c>
      <c r="B41" s="34" t="s">
        <v>457</v>
      </c>
      <c r="C41" s="34" t="s">
        <v>137</v>
      </c>
      <c r="D41" s="34" t="s">
        <v>138</v>
      </c>
      <c r="E41" s="35">
        <v>39963.0</v>
      </c>
      <c r="F41" s="34" t="s">
        <v>458</v>
      </c>
      <c r="G41" s="36" t="s">
        <v>110</v>
      </c>
      <c r="H41" s="36" t="s">
        <v>111</v>
      </c>
      <c r="I41" s="34" t="s">
        <v>181</v>
      </c>
      <c r="J41" s="34" t="s">
        <v>459</v>
      </c>
      <c r="K41" s="34"/>
      <c r="L41" s="34"/>
      <c r="M41" s="36" t="s">
        <v>150</v>
      </c>
      <c r="N41" s="36" t="s">
        <v>168</v>
      </c>
      <c r="O41" s="34">
        <f t="shared" si="23"/>
        <v>62</v>
      </c>
      <c r="P41" s="34">
        <f t="shared" si="21"/>
        <v>62</v>
      </c>
      <c r="Q41" s="36">
        <v>62.0</v>
      </c>
      <c r="R41" s="34"/>
      <c r="S41" s="34">
        <v>45.0</v>
      </c>
      <c r="T41" s="34">
        <v>30.0</v>
      </c>
      <c r="U41" s="34">
        <v>20.0</v>
      </c>
      <c r="V41" s="34"/>
      <c r="W41" s="34"/>
      <c r="X41" s="34"/>
      <c r="Y41" s="34"/>
      <c r="Z41" s="34"/>
      <c r="AA41" s="37">
        <f>Calcs!O41</f>
        <v>314.2</v>
      </c>
      <c r="AB41" s="34">
        <v>5.0</v>
      </c>
      <c r="AC41" s="34" t="s">
        <v>118</v>
      </c>
      <c r="AD41" s="34" t="s">
        <v>262</v>
      </c>
      <c r="AE41" s="34">
        <v>2.5</v>
      </c>
      <c r="AF41" s="36"/>
      <c r="AG41" s="36">
        <v>23.0</v>
      </c>
      <c r="AH41" s="36" t="s">
        <v>170</v>
      </c>
      <c r="AI41" s="34"/>
      <c r="AJ41" s="34">
        <v>3.0</v>
      </c>
      <c r="AK41" s="34"/>
      <c r="AL41" s="34" t="s">
        <v>121</v>
      </c>
      <c r="AM41" s="34"/>
      <c r="AN41" s="36" t="s">
        <v>116</v>
      </c>
      <c r="AO41" s="34">
        <v>17.0</v>
      </c>
      <c r="AP41" s="34"/>
      <c r="AQ41" s="34" t="s">
        <v>254</v>
      </c>
      <c r="AR41" s="34"/>
      <c r="AS41" s="34">
        <v>640.0</v>
      </c>
      <c r="AT41" s="14" t="str">
        <f t="shared" si="3"/>
        <v/>
      </c>
      <c r="AU41" s="12"/>
      <c r="AV41" s="38"/>
      <c r="AW41" s="17">
        <f t="shared" si="4"/>
        <v>377.04</v>
      </c>
      <c r="AX41" s="36" t="s">
        <v>460</v>
      </c>
      <c r="AY41" s="36">
        <v>18.0</v>
      </c>
      <c r="AZ41" s="34"/>
      <c r="BA41" s="34"/>
      <c r="BB41" s="34"/>
      <c r="BC41" s="34"/>
      <c r="BD41" s="34"/>
      <c r="BE41" s="34"/>
      <c r="BF41" s="34"/>
      <c r="BG41" s="34"/>
      <c r="BH41" s="18">
        <f t="shared" si="24"/>
        <v>18</v>
      </c>
      <c r="BI41" s="19">
        <f>ifs(BH41=0,"na",BH41="NR","NR",BH41="?","?",BK41&gt;0,"?",iserror(Calcs!AB41),"?",1,Calcs!AB41)</f>
        <v>0.5720029607</v>
      </c>
      <c r="BJ41" s="34" t="s">
        <v>282</v>
      </c>
      <c r="BK41" s="34"/>
      <c r="BL41" s="18">
        <f t="shared" si="6"/>
        <v>18</v>
      </c>
      <c r="BM41" s="34"/>
      <c r="BN41" s="34"/>
      <c r="BO41" s="34" t="s">
        <v>382</v>
      </c>
      <c r="BP41" s="20">
        <f>ifs(isblank(AX41),0,BH41="NR","NR",BH41="?","?",1,(AY41*vlookup(AX41,Ores[],2,FALSE)+if(isblank(AZ41),0,BA41*vlookup(AZ41,Ores[],2,FALSE))+if(isblank(BB41),0,BC41*vlookup(BB41,Ores[],2,FALSE))+if(isblank(BD41),0,BE41*vlookup(BD41,Ores[],2,FALSE))+if(isblank(BF41),0,BG41*vlookup(BF41,Ores[],2,FALSE)))/BH41)</f>
        <v>7.975</v>
      </c>
      <c r="BQ41" s="20">
        <f>ifs(isblank(AX41),0,BH41="NR","NR",BH41="?","?",1,(AY41*vlookup(AX41,Ores[],4,FALSE)+if(isblank(AZ41),0,BA41*vlookup(AZ41,Ores[],4,FALSE))+if(isblank(BB41),0,BC41*vlookup(BB41,Ores[],4,FALSE))+if(isblank(BD41),0,BE41*vlookup(BD41,Ores[],4,FALSE))+if(isblank(BF41),0,BG41*vlookup(BF41,Ores[],4,FALSE)))/BH41)</f>
        <v>2.975</v>
      </c>
      <c r="BR41" s="21">
        <f>ifs(isblank(AX41),0,BH41="NR","NR",BH41="?","?",1,(AY41*vlookup(AX41,Ores[],8,FALSE)+if(isblank(AZ41),0,BA41*vlookup(AZ41,Ores[],8,FALSE))+if(isblank(BB41),0,BC41*vlookup(BB41,Ores[],8,FALSE))+if(isblank(BD41),0,BE41*vlookup(BD41,Ores[],8,FALSE))+if(isblank(BF41),0,BG41*vlookup(BF41,Ores[],8,FALSE)))/BH41)</f>
        <v>0</v>
      </c>
      <c r="BS41" s="21">
        <f>ifs(isblank(AX41),0,BH41="NR","NR",BH41="?","?",1,(AY41*vlookup(AX41,Ores[],7,FALSE)+if(isblank(AZ41),0,BA41*vlookup(AZ41,Ores[],7,FALSE))+if(isblank(BB41),0,BC41*vlookup(BB41,Ores[],7,FALSE))+if(isblank(BD41),0,BE41*vlookup(BD41,Ores[],7,FALSE))+if(isblank(BF41),0,BG41*vlookup(BF41,Ores[],7,FALSE)))/BH41)</f>
        <v>0</v>
      </c>
      <c r="BT41" s="21">
        <f>ifs(isblank(AX41),0,BH41="NR","NR",BH41="?","?",1,(AY41*vlookup(AX41,Ores[],3,FALSE)+if(isblank(AZ41),0,BA41*vlookup(AZ41,Ores[],3,FALSE))+if(isblank(BB41),0,BC41*vlookup(BB41,Ores[],3,FALSE))+if(isblank(BD41),0,BE41*vlookup(BD41,Ores[],3,FALSE))+if(isblank(BF41),0,BG41*vlookup(BF41,Ores[],3,FALSE)))/BH41)</f>
        <v>0</v>
      </c>
      <c r="BU41" s="21">
        <f>ifs(isblank(AX41),0,BH41="NR","NR",BH41="?","?",1,(AY41*vlookup(AX41,Ores[],5,FALSE)+if(isblank(AZ41),0,BA41*vlookup(AZ41,Ores[],5,FALSE))+if(isblank(BB41),0,BC41*vlookup(BB41,Ores[],5,FALSE))+if(isblank(BD41),0,BE41*vlookup(BD41,Ores[],5,FALSE))+if(isblank(BF41),0,BG41*vlookup(BF41,Ores[],5,FALSE)))/BH41)</f>
        <v>0</v>
      </c>
      <c r="BV41" s="22">
        <f t="shared" si="7"/>
        <v>7.105263158</v>
      </c>
      <c r="BW41" s="40">
        <v>172.0</v>
      </c>
      <c r="BX41" s="43">
        <v>38.0</v>
      </c>
      <c r="BY41" s="47"/>
      <c r="BZ41" s="56">
        <f t="shared" si="8"/>
        <v>15.1</v>
      </c>
      <c r="CA41" s="53">
        <f t="shared" si="9"/>
        <v>6.755263158</v>
      </c>
      <c r="CB41" s="41" t="s">
        <v>461</v>
      </c>
      <c r="CC41" s="41" t="s">
        <v>462</v>
      </c>
      <c r="CD41" s="28">
        <f t="shared" si="10"/>
        <v>6.755263158</v>
      </c>
      <c r="CE41" s="43">
        <f t="shared" si="11"/>
        <v>151</v>
      </c>
      <c r="CF41" s="41"/>
      <c r="CG41" s="43"/>
      <c r="CH41" s="43">
        <v>71.0</v>
      </c>
      <c r="CI41" s="43">
        <v>222.0</v>
      </c>
      <c r="CJ41" s="43">
        <v>270.0</v>
      </c>
      <c r="CK41" s="43">
        <v>10.0</v>
      </c>
      <c r="CL41" s="44">
        <f>CM41*$BX41/17</f>
        <v>8.941176471</v>
      </c>
      <c r="CM41" s="43">
        <v>4.0</v>
      </c>
      <c r="CN41" s="44">
        <f>CO41*$BX41/17</f>
        <v>22.35294118</v>
      </c>
      <c r="CO41" s="43">
        <v>10.0</v>
      </c>
      <c r="CP41" s="44">
        <f>CQ41*$BX41/17</f>
        <v>2.235294118</v>
      </c>
      <c r="CQ41" s="43">
        <v>1.0</v>
      </c>
      <c r="CR41" s="41" t="s">
        <v>129</v>
      </c>
      <c r="CS41" s="53">
        <v>4.9</v>
      </c>
      <c r="CT41" s="41" t="s">
        <v>463</v>
      </c>
      <c r="CU41" s="30"/>
      <c r="CV41" s="58">
        <v>6.79</v>
      </c>
      <c r="CW41" s="30">
        <f t="shared" si="12"/>
        <v>0.2722222222</v>
      </c>
      <c r="CX41" s="31">
        <f t="shared" si="19"/>
        <v>0.4759105126</v>
      </c>
      <c r="CY41" s="77" t="s">
        <v>439</v>
      </c>
      <c r="CZ41" s="41">
        <v>8.6</v>
      </c>
      <c r="DA41" s="41" t="s">
        <v>111</v>
      </c>
      <c r="DB41" s="41" t="s">
        <v>464</v>
      </c>
      <c r="DC41" s="41" t="s">
        <v>465</v>
      </c>
      <c r="DD41" s="41"/>
      <c r="DE41" s="41"/>
      <c r="DF41" s="41"/>
      <c r="DG41" s="41"/>
      <c r="DH41" s="41"/>
      <c r="DI41" s="41"/>
      <c r="DJ41" s="41"/>
      <c r="DK41" s="41"/>
      <c r="DL41" s="41"/>
      <c r="DM41" s="45"/>
    </row>
    <row r="42" ht="21.75" customHeight="1">
      <c r="A42" s="33" t="s">
        <v>466</v>
      </c>
      <c r="B42" s="34" t="s">
        <v>467</v>
      </c>
      <c r="C42" s="34" t="s">
        <v>137</v>
      </c>
      <c r="D42" s="34" t="s">
        <v>138</v>
      </c>
      <c r="E42" s="35">
        <v>40097.0</v>
      </c>
      <c r="F42" s="34" t="s">
        <v>458</v>
      </c>
      <c r="G42" s="36" t="s">
        <v>110</v>
      </c>
      <c r="H42" s="36" t="s">
        <v>111</v>
      </c>
      <c r="I42" s="34" t="s">
        <v>181</v>
      </c>
      <c r="J42" s="34" t="s">
        <v>468</v>
      </c>
      <c r="K42" s="34"/>
      <c r="L42" s="34"/>
      <c r="M42" s="51" t="s">
        <v>150</v>
      </c>
      <c r="N42" s="51" t="s">
        <v>168</v>
      </c>
      <c r="O42" s="34">
        <f t="shared" si="23"/>
        <v>62</v>
      </c>
      <c r="P42" s="34">
        <f t="shared" si="21"/>
        <v>62</v>
      </c>
      <c r="Q42" s="36">
        <v>62.0</v>
      </c>
      <c r="R42" s="34"/>
      <c r="S42" s="34">
        <v>48.0</v>
      </c>
      <c r="T42" s="34" t="s">
        <v>469</v>
      </c>
      <c r="U42" s="34">
        <v>20.0</v>
      </c>
      <c r="V42" s="34"/>
      <c r="W42" s="34"/>
      <c r="X42" s="34"/>
      <c r="Y42" s="34"/>
      <c r="Z42" s="34"/>
      <c r="AA42" s="37">
        <f>Calcs!O42</f>
        <v>314.2</v>
      </c>
      <c r="AB42" s="46" t="s">
        <v>470</v>
      </c>
      <c r="AC42" s="34" t="s">
        <v>118</v>
      </c>
      <c r="AD42" s="36" t="s">
        <v>262</v>
      </c>
      <c r="AE42" s="36">
        <v>2.5</v>
      </c>
      <c r="AF42" s="65"/>
      <c r="AG42" s="65">
        <v>22.0</v>
      </c>
      <c r="AH42" s="36" t="s">
        <v>170</v>
      </c>
      <c r="AI42" s="34"/>
      <c r="AJ42" s="34">
        <v>3.0</v>
      </c>
      <c r="AK42" s="34"/>
      <c r="AL42" s="34" t="s">
        <v>121</v>
      </c>
      <c r="AM42" s="34"/>
      <c r="AN42" s="36">
        <v>1.5</v>
      </c>
      <c r="AO42" s="34">
        <v>14.0</v>
      </c>
      <c r="AP42" s="34"/>
      <c r="AQ42" s="34" t="s">
        <v>471</v>
      </c>
      <c r="AR42" s="36"/>
      <c r="AS42" s="36">
        <v>900.0</v>
      </c>
      <c r="AT42" s="14" t="str">
        <f t="shared" si="3"/>
        <v/>
      </c>
      <c r="AU42" s="16" t="s">
        <v>123</v>
      </c>
      <c r="AV42" s="74">
        <v>756.0</v>
      </c>
      <c r="AW42" s="17">
        <f t="shared" si="4"/>
        <v>377.04</v>
      </c>
      <c r="AX42" s="39" t="s">
        <v>281</v>
      </c>
      <c r="AY42" s="36">
        <v>10.1</v>
      </c>
      <c r="AZ42" s="36" t="s">
        <v>381</v>
      </c>
      <c r="BA42" s="36">
        <v>6.0</v>
      </c>
      <c r="BB42" s="36" t="s">
        <v>460</v>
      </c>
      <c r="BC42" s="36">
        <v>4.6</v>
      </c>
      <c r="BD42" s="34"/>
      <c r="BE42" s="34"/>
      <c r="BF42" s="34"/>
      <c r="BG42" s="34"/>
      <c r="BH42" s="18">
        <f t="shared" si="24"/>
        <v>20.7</v>
      </c>
      <c r="BI42" s="19">
        <f>ifs(BH42=0,"na",BH42="NR","NR",BH42="?","?",BK42&gt;0,"?",iserror(Calcs!AB42),"?",1,Calcs!AB42)</f>
        <v>0.60663879</v>
      </c>
      <c r="BJ42" s="34" t="s">
        <v>282</v>
      </c>
      <c r="BK42" s="34"/>
      <c r="BL42" s="18">
        <f t="shared" si="6"/>
        <v>20.7</v>
      </c>
      <c r="BM42" s="34"/>
      <c r="BN42" s="34"/>
      <c r="BO42" s="34" t="s">
        <v>382</v>
      </c>
      <c r="BP42" s="20">
        <f>ifs(isblank(AX42),0,BH42="NR","NR",BH42="?","?",1,(AY42*vlookup(AX42,Ores[],2,FALSE)+if(isblank(AZ42),0,BA42*vlookup(AZ42,Ores[],2,FALSE))+if(isblank(BB42),0,BC42*vlookup(BB42,Ores[],2,FALSE))+if(isblank(BD42),0,BE42*vlookup(BD42,Ores[],2,FALSE))+if(isblank(BF42),0,BG42*vlookup(BF42,Ores[],2,FALSE)))/BH42)</f>
        <v>5.682290648</v>
      </c>
      <c r="BQ42" s="20">
        <f>ifs(isblank(AX42),0,BH42="NR","NR",BH42="?","?",1,(AY42*vlookup(AX42,Ores[],4,FALSE)+if(isblank(AZ42),0,BA42*vlookup(AZ42,Ores[],4,FALSE))+if(isblank(BB42),0,BC42*vlookup(BB42,Ores[],4,FALSE))+if(isblank(BD42),0,BE42*vlookup(BD42,Ores[],4,FALSE))+if(isblank(BF42),0,BG42*vlookup(BF42,Ores[],4,FALSE)))/BH42)</f>
        <v>1.490016434</v>
      </c>
      <c r="BR42" s="21">
        <f>ifs(isblank(AX42),0,BH42="NR","NR",BH42="?","?",1,(AY42*vlookup(AX42,Ores[],8,FALSE)+if(isblank(AZ42),0,BA42*vlookup(AZ42,Ores[],8,FALSE))+if(isblank(BB42),0,BC42*vlookup(BB42,Ores[],8,FALSE))+if(isblank(BD42),0,BE42*vlookup(BD42,Ores[],8,FALSE))+if(isblank(BF42),0,BG42*vlookup(BF42,Ores[],8,FALSE)))/BH42)</f>
        <v>0</v>
      </c>
      <c r="BS42" s="21">
        <f>ifs(isblank(AX42),0,BH42="NR","NR",BH42="?","?",1,(AY42*vlookup(AX42,Ores[],7,FALSE)+if(isblank(AZ42),0,BA42*vlookup(AZ42,Ores[],7,FALSE))+if(isblank(BB42),0,BC42*vlookup(BB42,Ores[],7,FALSE))+if(isblank(BD42),0,BE42*vlookup(BD42,Ores[],7,FALSE))+if(isblank(BF42),0,BG42*vlookup(BF42,Ores[],7,FALSE)))/BH42)</f>
        <v>0</v>
      </c>
      <c r="BT42" s="21">
        <f>ifs(isblank(AX42),0,BH42="NR","NR",BH42="?","?",1,(AY42*vlookup(AX42,Ores[],3,FALSE)+if(isblank(AZ42),0,BA42*vlookup(AZ42,Ores[],3,FALSE))+if(isblank(BB42),0,BC42*vlookup(BB42,Ores[],3,FALSE))+if(isblank(BD42),0,BE42*vlookup(BD42,Ores[],3,FALSE))+if(isblank(BF42),0,BG42*vlookup(BF42,Ores[],3,FALSE)))/BH42)</f>
        <v>0.5344050604</v>
      </c>
      <c r="BU42" s="21">
        <f>ifs(isblank(AX42),0,BH42="NR","NR",BH42="?","?",1,(AY42*vlookup(AX42,Ores[],5,FALSE)+if(isblank(AZ42),0,BA42*vlookup(AZ42,Ores[],5,FALSE))+if(isblank(BB42),0,BC42*vlookup(BB42,Ores[],5,FALSE))+if(isblank(BD42),0,BE42*vlookup(BD42,Ores[],5,FALSE))+if(isblank(BF42),0,BG42*vlookup(BF42,Ores[],5,FALSE)))/BH42)</f>
        <v>0</v>
      </c>
      <c r="BV42" s="22">
        <f t="shared" si="7"/>
        <v>7.325581395</v>
      </c>
      <c r="BW42" s="40">
        <v>110.0</v>
      </c>
      <c r="BX42" s="41">
        <v>43.0</v>
      </c>
      <c r="BY42" s="47"/>
      <c r="BZ42" s="56">
        <f t="shared" si="8"/>
        <v>12.66666667</v>
      </c>
      <c r="CA42" s="53">
        <f t="shared" si="9"/>
        <v>7.196969697</v>
      </c>
      <c r="CB42" s="41" t="s">
        <v>461</v>
      </c>
      <c r="CC42" s="41" t="s">
        <v>462</v>
      </c>
      <c r="CD42" s="28">
        <f t="shared" si="10"/>
        <v>7.196969697</v>
      </c>
      <c r="CE42" s="43">
        <f t="shared" si="11"/>
        <v>190</v>
      </c>
      <c r="CF42" s="41"/>
      <c r="CG42" s="43"/>
      <c r="CH42" s="43">
        <v>94.0</v>
      </c>
      <c r="CI42" s="43">
        <v>284.0</v>
      </c>
      <c r="CJ42" s="43">
        <v>315.0</v>
      </c>
      <c r="CK42" s="43">
        <v>17.0</v>
      </c>
      <c r="CL42" s="41">
        <f>CM42*1.76</f>
        <v>12.32</v>
      </c>
      <c r="CM42" s="43">
        <v>7.0</v>
      </c>
      <c r="CN42" s="41">
        <f>CO42*1.76</f>
        <v>26.4</v>
      </c>
      <c r="CO42" s="43">
        <v>15.0</v>
      </c>
      <c r="CP42" s="41">
        <f>CQ42*1.76</f>
        <v>0</v>
      </c>
      <c r="CQ42" s="43">
        <v>0.0</v>
      </c>
      <c r="CR42" s="41" t="s">
        <v>129</v>
      </c>
      <c r="CS42" s="53">
        <v>5.6</v>
      </c>
      <c r="CT42" s="41" t="s">
        <v>463</v>
      </c>
      <c r="CU42" s="30"/>
      <c r="CV42" s="29"/>
      <c r="CW42" s="30">
        <f t="shared" si="12"/>
        <v>0.270531401</v>
      </c>
      <c r="CX42" s="31">
        <f t="shared" si="19"/>
        <v>0.4459513724</v>
      </c>
      <c r="CY42" s="77" t="s">
        <v>439</v>
      </c>
      <c r="CZ42" s="41"/>
      <c r="DA42" s="41" t="s">
        <v>111</v>
      </c>
      <c r="DB42" s="41" t="s">
        <v>472</v>
      </c>
      <c r="DC42" s="41" t="s">
        <v>473</v>
      </c>
      <c r="DD42" s="41"/>
      <c r="DE42" s="41"/>
      <c r="DF42" s="41"/>
      <c r="DG42" s="41"/>
      <c r="DH42" s="41"/>
      <c r="DI42" s="41"/>
      <c r="DJ42" s="41"/>
      <c r="DK42" s="41"/>
      <c r="DL42" s="41"/>
      <c r="DM42" s="45"/>
    </row>
    <row r="43" ht="21.75" customHeight="1">
      <c r="A43" s="33" t="s">
        <v>474</v>
      </c>
      <c r="B43" s="34" t="s">
        <v>475</v>
      </c>
      <c r="C43" s="34" t="s">
        <v>137</v>
      </c>
      <c r="D43" s="34" t="s">
        <v>138</v>
      </c>
      <c r="E43" s="35">
        <v>40124.0</v>
      </c>
      <c r="F43" s="34" t="s">
        <v>458</v>
      </c>
      <c r="G43" s="36" t="s">
        <v>110</v>
      </c>
      <c r="H43" s="36" t="s">
        <v>111</v>
      </c>
      <c r="I43" s="34" t="s">
        <v>181</v>
      </c>
      <c r="J43" s="34" t="s">
        <v>370</v>
      </c>
      <c r="K43" s="34"/>
      <c r="L43" s="34"/>
      <c r="M43" s="36" t="s">
        <v>150</v>
      </c>
      <c r="N43" s="36" t="s">
        <v>168</v>
      </c>
      <c r="O43" s="34">
        <f t="shared" si="23"/>
        <v>55</v>
      </c>
      <c r="P43" s="34">
        <f t="shared" si="21"/>
        <v>55</v>
      </c>
      <c r="Q43" s="36">
        <v>55.0</v>
      </c>
      <c r="R43" s="34"/>
      <c r="S43" s="34">
        <v>40.0</v>
      </c>
      <c r="T43" s="34">
        <v>32.0</v>
      </c>
      <c r="U43" s="34">
        <v>22.0</v>
      </c>
      <c r="V43" s="34"/>
      <c r="W43" s="34"/>
      <c r="X43" s="34"/>
      <c r="Y43" s="34"/>
      <c r="Z43" s="34"/>
      <c r="AA43" s="37">
        <f>Calcs!O43</f>
        <v>380.1</v>
      </c>
      <c r="AB43" s="34">
        <v>5.0</v>
      </c>
      <c r="AC43" s="34" t="s">
        <v>476</v>
      </c>
      <c r="AD43" s="36" t="s">
        <v>477</v>
      </c>
      <c r="AE43" s="36">
        <v>2.0</v>
      </c>
      <c r="AF43" s="36"/>
      <c r="AG43" s="36">
        <v>20.0</v>
      </c>
      <c r="AH43" s="36" t="s">
        <v>170</v>
      </c>
      <c r="AI43" s="34"/>
      <c r="AJ43" s="34">
        <v>5.0</v>
      </c>
      <c r="AK43" s="34"/>
      <c r="AL43" s="34" t="s">
        <v>121</v>
      </c>
      <c r="AM43" s="34"/>
      <c r="AN43" s="36">
        <v>1.5</v>
      </c>
      <c r="AO43" s="34">
        <v>15.0</v>
      </c>
      <c r="AP43" s="34"/>
      <c r="AQ43" s="34" t="s">
        <v>478</v>
      </c>
      <c r="AR43" s="36"/>
      <c r="AS43" s="36">
        <v>700.0</v>
      </c>
      <c r="AT43" s="14" t="str">
        <f t="shared" si="3"/>
        <v/>
      </c>
      <c r="AU43" s="16" t="s">
        <v>123</v>
      </c>
      <c r="AV43" s="74">
        <v>520.0</v>
      </c>
      <c r="AW43" s="17">
        <f t="shared" si="4"/>
        <v>456.12</v>
      </c>
      <c r="AX43" s="36" t="s">
        <v>460</v>
      </c>
      <c r="AY43" s="36">
        <v>18.0</v>
      </c>
      <c r="AZ43" s="34"/>
      <c r="BA43" s="34"/>
      <c r="BB43" s="34"/>
      <c r="BC43" s="34"/>
      <c r="BD43" s="34"/>
      <c r="BE43" s="34"/>
      <c r="BF43" s="34"/>
      <c r="BG43" s="34"/>
      <c r="BH43" s="18">
        <f t="shared" si="24"/>
        <v>18</v>
      </c>
      <c r="BI43" s="19">
        <f>ifs(BH43=0,"na",BH43="NR","NR",BH43="?","?",BK43&gt;0,"?",iserror(Calcs!AB43),"?",1,Calcs!AB43)</f>
        <v>0.5720029607</v>
      </c>
      <c r="BJ43" s="34" t="s">
        <v>282</v>
      </c>
      <c r="BK43" s="34"/>
      <c r="BL43" s="18">
        <f t="shared" si="6"/>
        <v>18</v>
      </c>
      <c r="BM43" s="34"/>
      <c r="BN43" s="34"/>
      <c r="BO43" s="34" t="s">
        <v>382</v>
      </c>
      <c r="BP43" s="20">
        <f>ifs(isblank(AX43),0,BH43="NR","NR",BH43="?","?",1,(AY43*vlookup(AX43,Ores[],2,FALSE)+if(isblank(AZ43),0,BA43*vlookup(AZ43,Ores[],2,FALSE))+if(isblank(BB43),0,BC43*vlookup(BB43,Ores[],2,FALSE))+if(isblank(BD43),0,BE43*vlookup(BD43,Ores[],2,FALSE))+if(isblank(BF43),0,BG43*vlookup(BF43,Ores[],2,FALSE)))/BH43)</f>
        <v>7.975</v>
      </c>
      <c r="BQ43" s="20">
        <f>ifs(isblank(AX43),0,BH43="NR","NR",BH43="?","?",1,(AY43*vlookup(AX43,Ores[],4,FALSE)+if(isblank(AZ43),0,BA43*vlookup(AZ43,Ores[],4,FALSE))+if(isblank(BB43),0,BC43*vlookup(BB43,Ores[],4,FALSE))+if(isblank(BD43),0,BE43*vlookup(BD43,Ores[],4,FALSE))+if(isblank(BF43),0,BG43*vlookup(BF43,Ores[],4,FALSE)))/BH43)</f>
        <v>2.975</v>
      </c>
      <c r="BR43" s="21">
        <f>ifs(isblank(AX43),0,BH43="NR","NR",BH43="?","?",1,(AY43*vlookup(AX43,Ores[],8,FALSE)+if(isblank(AZ43),0,BA43*vlookup(AZ43,Ores[],8,FALSE))+if(isblank(BB43),0,BC43*vlookup(BB43,Ores[],8,FALSE))+if(isblank(BD43),0,BE43*vlookup(BD43,Ores[],8,FALSE))+if(isblank(BF43),0,BG43*vlookup(BF43,Ores[],8,FALSE)))/BH43)</f>
        <v>0</v>
      </c>
      <c r="BS43" s="21">
        <f>ifs(isblank(AX43),0,BH43="NR","NR",BH43="?","?",1,(AY43*vlookup(AX43,Ores[],7,FALSE)+if(isblank(AZ43),0,BA43*vlookup(AZ43,Ores[],7,FALSE))+if(isblank(BB43),0,BC43*vlookup(BB43,Ores[],7,FALSE))+if(isblank(BD43),0,BE43*vlookup(BD43,Ores[],7,FALSE))+if(isblank(BF43),0,BG43*vlookup(BF43,Ores[],7,FALSE)))/BH43)</f>
        <v>0</v>
      </c>
      <c r="BT43" s="21">
        <f>ifs(isblank(AX43),0,BH43="NR","NR",BH43="?","?",1,(AY43*vlookup(AX43,Ores[],3,FALSE)+if(isblank(AZ43),0,BA43*vlookup(AZ43,Ores[],3,FALSE))+if(isblank(BB43),0,BC43*vlookup(BB43,Ores[],3,FALSE))+if(isblank(BD43),0,BE43*vlookup(BD43,Ores[],3,FALSE))+if(isblank(BF43),0,BG43*vlookup(BF43,Ores[],3,FALSE)))/BH43)</f>
        <v>0</v>
      </c>
      <c r="BU43" s="21">
        <f>ifs(isblank(AX43),0,BH43="NR","NR",BH43="?","?",1,(AY43*vlookup(AX43,Ores[],5,FALSE)+if(isblank(AZ43),0,BA43*vlookup(AZ43,Ores[],5,FALSE))+if(isblank(BB43),0,BC43*vlookup(BB43,Ores[],5,FALSE))+if(isblank(BD43),0,BE43*vlookup(BD43,Ores[],5,FALSE))+if(isblank(BF43),0,BG43*vlookup(BF43,Ores[],5,FALSE)))/BH43)</f>
        <v>0</v>
      </c>
      <c r="BV43" s="22">
        <f t="shared" si="7"/>
        <v>10.03571429</v>
      </c>
      <c r="BW43" s="40">
        <v>94.0</v>
      </c>
      <c r="BX43" s="43">
        <v>28.0</v>
      </c>
      <c r="BY43" s="47"/>
      <c r="BZ43" s="56">
        <f t="shared" si="8"/>
        <v>17.72727273</v>
      </c>
      <c r="CA43" s="53">
        <f t="shared" si="9"/>
        <v>8.863636364</v>
      </c>
      <c r="CB43" s="41" t="s">
        <v>461</v>
      </c>
      <c r="CC43" s="41" t="s">
        <v>462</v>
      </c>
      <c r="CD43" s="28">
        <f t="shared" si="10"/>
        <v>8.863636364</v>
      </c>
      <c r="CE43" s="43">
        <f t="shared" si="11"/>
        <v>195</v>
      </c>
      <c r="CF43" s="41"/>
      <c r="CG43" s="43"/>
      <c r="CH43" s="43">
        <v>51.0</v>
      </c>
      <c r="CI43" s="41">
        <f>195+51</f>
        <v>246</v>
      </c>
      <c r="CJ43" s="41">
        <f>246+35</f>
        <v>281</v>
      </c>
      <c r="CK43" s="43">
        <v>12.0</v>
      </c>
      <c r="CL43" s="43">
        <v>4.0</v>
      </c>
      <c r="CM43" s="43">
        <v>2.0</v>
      </c>
      <c r="CN43" s="43">
        <v>22.0</v>
      </c>
      <c r="CO43" s="43">
        <v>11.0</v>
      </c>
      <c r="CP43" s="43">
        <v>2.0</v>
      </c>
      <c r="CQ43" s="43">
        <v>1.0</v>
      </c>
      <c r="CR43" s="41" t="s">
        <v>479</v>
      </c>
      <c r="CS43" s="53">
        <v>2.9</v>
      </c>
      <c r="CT43" s="41" t="s">
        <v>480</v>
      </c>
      <c r="CU43" s="30"/>
      <c r="CV43" s="29"/>
      <c r="CW43" s="30">
        <f t="shared" si="12"/>
        <v>0.1611111111</v>
      </c>
      <c r="CX43" s="31">
        <f t="shared" si="19"/>
        <v>0.2816613238</v>
      </c>
      <c r="CY43" s="77" t="s">
        <v>439</v>
      </c>
      <c r="CZ43" s="41"/>
      <c r="DA43" s="41" t="s">
        <v>111</v>
      </c>
      <c r="DB43" s="41" t="s">
        <v>481</v>
      </c>
      <c r="DC43" s="41" t="s">
        <v>482</v>
      </c>
      <c r="DD43" s="41"/>
      <c r="DE43" s="41"/>
      <c r="DF43" s="41"/>
      <c r="DG43" s="41"/>
      <c r="DH43" s="41"/>
      <c r="DI43" s="41"/>
      <c r="DJ43" s="41"/>
      <c r="DK43" s="41"/>
      <c r="DL43" s="41"/>
      <c r="DM43" s="45"/>
    </row>
    <row r="44" ht="21.75" customHeight="1">
      <c r="A44" s="33" t="s">
        <v>483</v>
      </c>
      <c r="B44" s="34" t="s">
        <v>484</v>
      </c>
      <c r="C44" s="34" t="s">
        <v>137</v>
      </c>
      <c r="D44" s="34" t="s">
        <v>138</v>
      </c>
      <c r="E44" s="35">
        <v>40341.0</v>
      </c>
      <c r="F44" s="34" t="s">
        <v>458</v>
      </c>
      <c r="G44" s="36" t="s">
        <v>110</v>
      </c>
      <c r="H44" s="36" t="s">
        <v>111</v>
      </c>
      <c r="I44" s="34" t="s">
        <v>181</v>
      </c>
      <c r="J44" s="34" t="s">
        <v>370</v>
      </c>
      <c r="K44" s="34"/>
      <c r="L44" s="34"/>
      <c r="M44" s="36" t="s">
        <v>150</v>
      </c>
      <c r="N44" s="36" t="s">
        <v>485</v>
      </c>
      <c r="O44" s="34">
        <f t="shared" si="23"/>
        <v>68</v>
      </c>
      <c r="P44" s="34">
        <f t="shared" si="21"/>
        <v>68</v>
      </c>
      <c r="Q44" s="36">
        <v>68.0</v>
      </c>
      <c r="R44" s="34"/>
      <c r="S44" s="34">
        <v>48.0</v>
      </c>
      <c r="T44" s="34" t="s">
        <v>486</v>
      </c>
      <c r="U44" s="36">
        <v>28.0</v>
      </c>
      <c r="V44" s="36">
        <v>23.0</v>
      </c>
      <c r="W44" s="36"/>
      <c r="X44" s="36">
        <v>28.0</v>
      </c>
      <c r="Y44" s="36"/>
      <c r="Z44" s="36" t="s">
        <v>123</v>
      </c>
      <c r="AA44" s="37">
        <f>Calcs!O44</f>
        <v>615.8</v>
      </c>
      <c r="AB44" s="34">
        <v>5.0</v>
      </c>
      <c r="AC44" s="34" t="s">
        <v>487</v>
      </c>
      <c r="AD44" s="36" t="s">
        <v>477</v>
      </c>
      <c r="AE44" s="36">
        <v>2.0</v>
      </c>
      <c r="AF44" s="36" t="s">
        <v>123</v>
      </c>
      <c r="AG44" s="36" t="s">
        <v>488</v>
      </c>
      <c r="AH44" s="36" t="s">
        <v>170</v>
      </c>
      <c r="AI44" s="34"/>
      <c r="AJ44" s="34">
        <v>5.0</v>
      </c>
      <c r="AK44" s="34"/>
      <c r="AL44" s="34" t="s">
        <v>121</v>
      </c>
      <c r="AM44" s="34"/>
      <c r="AN44" s="36" t="s">
        <v>116</v>
      </c>
      <c r="AO44" s="34">
        <v>19.0</v>
      </c>
      <c r="AP44" s="34"/>
      <c r="AQ44" s="34" t="s">
        <v>478</v>
      </c>
      <c r="AR44" s="36"/>
      <c r="AS44" s="36">
        <v>700.0</v>
      </c>
      <c r="AT44" s="14" t="str">
        <f t="shared" si="3"/>
        <v/>
      </c>
      <c r="AU44" s="16" t="s">
        <v>123</v>
      </c>
      <c r="AV44" s="74">
        <v>520.0</v>
      </c>
      <c r="AW44" s="17">
        <f t="shared" si="4"/>
        <v>738.96</v>
      </c>
      <c r="AX44" s="36" t="s">
        <v>381</v>
      </c>
      <c r="AY44" s="36">
        <v>11.4</v>
      </c>
      <c r="AZ44" s="39" t="s">
        <v>281</v>
      </c>
      <c r="BA44" s="36">
        <v>8.6</v>
      </c>
      <c r="BB44" s="34"/>
      <c r="BC44" s="34"/>
      <c r="BD44" s="34"/>
      <c r="BE44" s="34"/>
      <c r="BF44" s="34"/>
      <c r="BG44" s="34"/>
      <c r="BH44" s="18">
        <f t="shared" si="24"/>
        <v>20</v>
      </c>
      <c r="BI44" s="19">
        <f>ifs(BH44=0,"na",BH44="NR","NR",BH44="?","?",BK44&gt;0,"?",iserror(Calcs!AB44),"?",1,Calcs!AB44)</f>
        <v>0.5793816429</v>
      </c>
      <c r="BJ44" s="34" t="s">
        <v>282</v>
      </c>
      <c r="BK44" s="34"/>
      <c r="BL44" s="18">
        <f t="shared" si="6"/>
        <v>20</v>
      </c>
      <c r="BM44" s="34"/>
      <c r="BN44" s="34"/>
      <c r="BO44" s="34" t="s">
        <v>382</v>
      </c>
      <c r="BP44" s="20">
        <f>ifs(isblank(AX44),0,BH44="NR","NR",BH44="?","?",1,(AY44*vlookup(AX44,Ores[],2,FALSE)+if(isblank(AZ44),0,BA44*vlookup(AZ44,Ores[],2,FALSE))+if(isblank(BB44),0,BC44*vlookup(BB44,Ores[],2,FALSE))+if(isblank(BD44),0,BE44*vlookup(BD44,Ores[],2,FALSE))+if(isblank(BF44),0,BG44*vlookup(BF44,Ores[],2,FALSE)))/BH44)</f>
        <v>7.68914956</v>
      </c>
      <c r="BQ44" s="20">
        <f>ifs(isblank(AX44),0,BH44="NR","NR",BH44="?","?",1,(AY44*vlookup(AX44,Ores[],4,FALSE)+if(isblank(AZ44),0,BA44*vlookup(AZ44,Ores[],4,FALSE))+if(isblank(BB44),0,BC44*vlookup(BB44,Ores[],4,FALSE))+if(isblank(BD44),0,BE44*vlookup(BD44,Ores[],4,FALSE))+if(isblank(BF44),0,BG44*vlookup(BF44,Ores[],4,FALSE)))/BH44)</f>
        <v>1.450012317</v>
      </c>
      <c r="BR44" s="21">
        <f>ifs(isblank(AX44),0,BH44="NR","NR",BH44="?","?",1,(AY44*vlookup(AX44,Ores[],8,FALSE)+if(isblank(AZ44),0,BA44*vlookup(AZ44,Ores[],8,FALSE))+if(isblank(BB44),0,BC44*vlookup(BB44,Ores[],8,FALSE))+if(isblank(BD44),0,BE44*vlookup(BD44,Ores[],8,FALSE))+if(isblank(BF44),0,BG44*vlookup(BF44,Ores[],8,FALSE)))/BH44)</f>
        <v>0</v>
      </c>
      <c r="BS44" s="21">
        <f>ifs(isblank(AX44),0,BH44="NR","NR",BH44="?","?",1,(AY44*vlookup(AX44,Ores[],7,FALSE)+if(isblank(AZ44),0,BA44*vlookup(AZ44,Ores[],7,FALSE))+if(isblank(BB44),0,BC44*vlookup(BB44,Ores[],7,FALSE))+if(isblank(BD44),0,BE44*vlookup(BD44,Ores[],7,FALSE))+if(isblank(BF44),0,BG44*vlookup(BF44,Ores[],7,FALSE)))/BH44)</f>
        <v>0</v>
      </c>
      <c r="BT44" s="21">
        <f>ifs(isblank(AX44),0,BH44="NR","NR",BH44="?","?",1,(AY44*vlookup(AX44,Ores[],3,FALSE)+if(isblank(AZ44),0,BA44*vlookup(AZ44,Ores[],3,FALSE))+if(isblank(BB44),0,BC44*vlookup(BB44,Ores[],3,FALSE))+if(isblank(BD44),0,BE44*vlookup(BD44,Ores[],3,FALSE))+if(isblank(BF44),0,BG44*vlookup(BF44,Ores[],3,FALSE)))/BH44)</f>
        <v>1.024432551</v>
      </c>
      <c r="BU44" s="21">
        <f>ifs(isblank(AX44),0,BH44="NR","NR",BH44="?","?",1,(AY44*vlookup(AX44,Ores[],5,FALSE)+if(isblank(AZ44),0,BA44*vlookup(AZ44,Ores[],5,FALSE))+if(isblank(BB44),0,BC44*vlookup(BB44,Ores[],5,FALSE))+if(isblank(BD44),0,BE44*vlookup(BD44,Ores[],5,FALSE))+if(isblank(BF44),0,BG44*vlookup(BF44,Ores[],5,FALSE)))/BH44)</f>
        <v>0</v>
      </c>
      <c r="BV44" s="22" t="str">
        <f t="shared" si="7"/>
        <v>NR</v>
      </c>
      <c r="BW44" s="40" t="s">
        <v>116</v>
      </c>
      <c r="BX44" s="43" t="s">
        <v>116</v>
      </c>
      <c r="BY44" s="47"/>
      <c r="BZ44" s="56" t="str">
        <f t="shared" si="8"/>
        <v>NR</v>
      </c>
      <c r="CA44" s="53" t="str">
        <f t="shared" si="9"/>
        <v>NR</v>
      </c>
      <c r="CB44" s="41" t="s">
        <v>461</v>
      </c>
      <c r="CC44" s="41" t="s">
        <v>489</v>
      </c>
      <c r="CD44" s="28" t="str">
        <f t="shared" si="10"/>
        <v>NR</v>
      </c>
      <c r="CE44" s="43" t="str">
        <f t="shared" si="11"/>
        <v>NR</v>
      </c>
      <c r="CF44" s="41"/>
      <c r="CG44" s="43"/>
      <c r="CH44" s="43" t="s">
        <v>116</v>
      </c>
      <c r="CI44" s="43" t="s">
        <v>116</v>
      </c>
      <c r="CJ44" s="43" t="s">
        <v>116</v>
      </c>
      <c r="CK44" s="43" t="s">
        <v>116</v>
      </c>
      <c r="CL44" s="43" t="s">
        <v>116</v>
      </c>
      <c r="CM44" s="43" t="s">
        <v>116</v>
      </c>
      <c r="CN44" s="43" t="s">
        <v>116</v>
      </c>
      <c r="CO44" s="43" t="s">
        <v>116</v>
      </c>
      <c r="CP44" s="43" t="s">
        <v>116</v>
      </c>
      <c r="CQ44" s="43" t="s">
        <v>116</v>
      </c>
      <c r="CR44" s="41" t="s">
        <v>129</v>
      </c>
      <c r="CS44" s="53">
        <v>1.6</v>
      </c>
      <c r="CT44" s="41" t="s">
        <v>454</v>
      </c>
      <c r="CU44" s="30"/>
      <c r="CV44" s="29"/>
      <c r="CW44" s="30">
        <f t="shared" si="12"/>
        <v>0.08</v>
      </c>
      <c r="CX44" s="31">
        <f t="shared" si="19"/>
        <v>0.1380782443</v>
      </c>
      <c r="CY44" s="77" t="s">
        <v>490</v>
      </c>
      <c r="CZ44" s="41"/>
      <c r="DA44" s="41" t="s">
        <v>111</v>
      </c>
      <c r="DB44" s="41" t="s">
        <v>491</v>
      </c>
      <c r="DC44" s="41" t="s">
        <v>492</v>
      </c>
      <c r="DD44" s="41"/>
      <c r="DE44" s="41"/>
      <c r="DF44" s="41"/>
      <c r="DG44" s="41"/>
      <c r="DH44" s="41"/>
      <c r="DI44" s="41"/>
      <c r="DJ44" s="41"/>
      <c r="DK44" s="41"/>
      <c r="DL44" s="41"/>
      <c r="DM44" s="45"/>
    </row>
    <row r="45" ht="21.75" customHeight="1">
      <c r="A45" s="33" t="s">
        <v>493</v>
      </c>
      <c r="B45" s="34" t="s">
        <v>494</v>
      </c>
      <c r="C45" s="34" t="s">
        <v>495</v>
      </c>
      <c r="D45" s="34" t="s">
        <v>108</v>
      </c>
      <c r="E45" s="35">
        <v>40411.0</v>
      </c>
      <c r="F45" s="34" t="s">
        <v>458</v>
      </c>
      <c r="G45" s="36" t="s">
        <v>123</v>
      </c>
      <c r="H45" s="36" t="s">
        <v>111</v>
      </c>
      <c r="I45" s="34" t="s">
        <v>181</v>
      </c>
      <c r="J45" s="34" t="s">
        <v>370</v>
      </c>
      <c r="K45" s="34"/>
      <c r="L45" s="34"/>
      <c r="M45" s="36" t="s">
        <v>427</v>
      </c>
      <c r="N45" s="36" t="s">
        <v>168</v>
      </c>
      <c r="O45" s="34">
        <f t="shared" si="23"/>
        <v>63</v>
      </c>
      <c r="P45" s="34">
        <f t="shared" si="21"/>
        <v>63</v>
      </c>
      <c r="Q45" s="36">
        <v>63.0</v>
      </c>
      <c r="R45" s="34"/>
      <c r="S45" s="34">
        <v>45.0</v>
      </c>
      <c r="T45" s="34" t="s">
        <v>496</v>
      </c>
      <c r="U45" s="36">
        <v>24.0</v>
      </c>
      <c r="V45" s="36">
        <v>22.0</v>
      </c>
      <c r="W45" s="34"/>
      <c r="X45" s="34"/>
      <c r="Y45" s="34"/>
      <c r="Z45" s="34"/>
      <c r="AA45" s="37">
        <f>Calcs!O45</f>
        <v>414.7</v>
      </c>
      <c r="AB45" s="34" t="s">
        <v>497</v>
      </c>
      <c r="AC45" s="34" t="s">
        <v>498</v>
      </c>
      <c r="AD45" s="36" t="s">
        <v>477</v>
      </c>
      <c r="AE45" s="36">
        <v>2.0</v>
      </c>
      <c r="AF45" s="36" t="s">
        <v>123</v>
      </c>
      <c r="AG45" s="36">
        <v>19.0</v>
      </c>
      <c r="AH45" s="36" t="s">
        <v>170</v>
      </c>
      <c r="AI45" s="34"/>
      <c r="AJ45" s="34">
        <v>4.5</v>
      </c>
      <c r="AK45" s="34"/>
      <c r="AL45" s="34" t="s">
        <v>121</v>
      </c>
      <c r="AM45" s="34"/>
      <c r="AN45" s="36" t="s">
        <v>116</v>
      </c>
      <c r="AO45" s="34">
        <v>18.0</v>
      </c>
      <c r="AP45" s="34"/>
      <c r="AQ45" s="34" t="s">
        <v>478</v>
      </c>
      <c r="AR45" s="36"/>
      <c r="AS45" s="36">
        <v>700.0</v>
      </c>
      <c r="AT45" s="14" t="str">
        <f t="shared" si="3"/>
        <v/>
      </c>
      <c r="AU45" s="16" t="s">
        <v>123</v>
      </c>
      <c r="AV45" s="74">
        <v>520.0</v>
      </c>
      <c r="AW45" s="17">
        <f t="shared" si="4"/>
        <v>497.64</v>
      </c>
      <c r="AX45" s="36" t="s">
        <v>460</v>
      </c>
      <c r="AY45" s="36">
        <v>20.0</v>
      </c>
      <c r="AZ45" s="34"/>
      <c r="BA45" s="34"/>
      <c r="BB45" s="34"/>
      <c r="BC45" s="34"/>
      <c r="BD45" s="34"/>
      <c r="BE45" s="34"/>
      <c r="BF45" s="34"/>
      <c r="BG45" s="34"/>
      <c r="BH45" s="18">
        <f t="shared" si="24"/>
        <v>20</v>
      </c>
      <c r="BI45" s="19">
        <f>ifs(BH45=0,"na",BH45="NR","NR",BH45="?","?",BK45&gt;0,"?",iserror(Calcs!AB45),"?",1,Calcs!AB45)</f>
        <v>0.5720029607</v>
      </c>
      <c r="BJ45" s="34" t="s">
        <v>282</v>
      </c>
      <c r="BK45" s="34"/>
      <c r="BL45" s="18">
        <f t="shared" si="6"/>
        <v>20</v>
      </c>
      <c r="BM45" s="34"/>
      <c r="BN45" s="34"/>
      <c r="BO45" s="34" t="s">
        <v>382</v>
      </c>
      <c r="BP45" s="20">
        <f>ifs(isblank(AX45),0,BH45="NR","NR",BH45="?","?",1,(AY45*vlookup(AX45,Ores[],2,FALSE)+if(isblank(AZ45),0,BA45*vlookup(AZ45,Ores[],2,FALSE))+if(isblank(BB45),0,BC45*vlookup(BB45,Ores[],2,FALSE))+if(isblank(BD45),0,BE45*vlookup(BD45,Ores[],2,FALSE))+if(isblank(BF45),0,BG45*vlookup(BF45,Ores[],2,FALSE)))/BH45)</f>
        <v>7.975</v>
      </c>
      <c r="BQ45" s="20">
        <f>ifs(isblank(AX45),0,BH45="NR","NR",BH45="?","?",1,(AY45*vlookup(AX45,Ores[],4,FALSE)+if(isblank(AZ45),0,BA45*vlookup(AZ45,Ores[],4,FALSE))+if(isblank(BB45),0,BC45*vlookup(BB45,Ores[],4,FALSE))+if(isblank(BD45),0,BE45*vlookup(BD45,Ores[],4,FALSE))+if(isblank(BF45),0,BG45*vlookup(BF45,Ores[],4,FALSE)))/BH45)</f>
        <v>2.975</v>
      </c>
      <c r="BR45" s="21">
        <f>ifs(isblank(AX45),0,BH45="NR","NR",BH45="?","?",1,(AY45*vlookup(AX45,Ores[],8,FALSE)+if(isblank(AZ45),0,BA45*vlookup(AZ45,Ores[],8,FALSE))+if(isblank(BB45),0,BC45*vlookup(BB45,Ores[],8,FALSE))+if(isblank(BD45),0,BE45*vlookup(BD45,Ores[],8,FALSE))+if(isblank(BF45),0,BG45*vlookup(BF45,Ores[],8,FALSE)))/BH45)</f>
        <v>0</v>
      </c>
      <c r="BS45" s="21">
        <f>ifs(isblank(AX45),0,BH45="NR","NR",BH45="?","?",1,(AY45*vlookup(AX45,Ores[],7,FALSE)+if(isblank(AZ45),0,BA45*vlookup(AZ45,Ores[],7,FALSE))+if(isblank(BB45),0,BC45*vlookup(BB45,Ores[],7,FALSE))+if(isblank(BD45),0,BE45*vlookup(BD45,Ores[],7,FALSE))+if(isblank(BF45),0,BG45*vlookup(BF45,Ores[],7,FALSE)))/BH45)</f>
        <v>0</v>
      </c>
      <c r="BT45" s="21">
        <f>ifs(isblank(AX45),0,BH45="NR","NR",BH45="?","?",1,(AY45*vlookup(AX45,Ores[],3,FALSE)+if(isblank(AZ45),0,BA45*vlookup(AZ45,Ores[],3,FALSE))+if(isblank(BB45),0,BC45*vlookup(BB45,Ores[],3,FALSE))+if(isblank(BD45),0,BE45*vlookup(BD45,Ores[],3,FALSE))+if(isblank(BF45),0,BG45*vlookup(BF45,Ores[],3,FALSE)))/BH45)</f>
        <v>0</v>
      </c>
      <c r="BU45" s="21">
        <f>ifs(isblank(AX45),0,BH45="NR","NR",BH45="?","?",1,(AY45*vlookup(AX45,Ores[],5,FALSE)+if(isblank(AZ45),0,BA45*vlookup(AZ45,Ores[],5,FALSE))+if(isblank(BB45),0,BC45*vlookup(BB45,Ores[],5,FALSE))+if(isblank(BD45),0,BE45*vlookup(BD45,Ores[],5,FALSE))+if(isblank(BF45),0,BG45*vlookup(BF45,Ores[],5,FALSE)))/BH45)</f>
        <v>0</v>
      </c>
      <c r="BV45" s="22">
        <f t="shared" si="7"/>
        <v>7.577464789</v>
      </c>
      <c r="BW45" s="40">
        <v>90.0</v>
      </c>
      <c r="BX45" s="41">
        <v>35.5</v>
      </c>
      <c r="BY45" s="47"/>
      <c r="BZ45" s="56">
        <f t="shared" si="8"/>
        <v>14.21428571</v>
      </c>
      <c r="CA45" s="53">
        <f t="shared" si="9"/>
        <v>8.12244898</v>
      </c>
      <c r="CB45" s="41" t="s">
        <v>461</v>
      </c>
      <c r="CC45" s="41" t="s">
        <v>489</v>
      </c>
      <c r="CD45" s="28">
        <f t="shared" si="10"/>
        <v>8.12244898</v>
      </c>
      <c r="CE45" s="43">
        <f t="shared" si="11"/>
        <v>199</v>
      </c>
      <c r="CF45" s="41"/>
      <c r="CG45" s="43"/>
      <c r="CH45" s="43">
        <v>40.0</v>
      </c>
      <c r="CI45" s="43">
        <v>239.0</v>
      </c>
      <c r="CJ45" s="43">
        <v>269.0</v>
      </c>
      <c r="CK45" s="43">
        <v>15.0</v>
      </c>
      <c r="CL45" s="43">
        <v>5.25</v>
      </c>
      <c r="CM45" s="43">
        <v>3.0</v>
      </c>
      <c r="CN45" s="43">
        <v>24.5</v>
      </c>
      <c r="CO45" s="43">
        <v>14.0</v>
      </c>
      <c r="CP45" s="43">
        <v>1.75</v>
      </c>
      <c r="CQ45" s="43">
        <v>1.0</v>
      </c>
      <c r="CR45" s="41" t="s">
        <v>479</v>
      </c>
      <c r="CS45" s="53">
        <v>2.8</v>
      </c>
      <c r="CT45" s="41" t="s">
        <v>499</v>
      </c>
      <c r="CU45" s="30"/>
      <c r="CV45" s="29"/>
      <c r="CW45" s="30">
        <f t="shared" si="12"/>
        <v>0.14</v>
      </c>
      <c r="CX45" s="31">
        <f t="shared" si="19"/>
        <v>0.2447539779</v>
      </c>
      <c r="CY45" s="77"/>
      <c r="CZ45" s="41"/>
      <c r="DA45" s="41" t="s">
        <v>111</v>
      </c>
      <c r="DB45" s="41" t="s">
        <v>500</v>
      </c>
      <c r="DC45" s="41" t="s">
        <v>501</v>
      </c>
      <c r="DD45" s="41"/>
      <c r="DE45" s="41"/>
      <c r="DF45" s="41"/>
      <c r="DG45" s="41"/>
      <c r="DH45" s="41"/>
      <c r="DI45" s="41"/>
      <c r="DJ45" s="41"/>
      <c r="DK45" s="41"/>
      <c r="DL45" s="41"/>
      <c r="DM45" s="45"/>
    </row>
    <row r="46" ht="21.75" customHeight="1">
      <c r="A46" s="33" t="s">
        <v>502</v>
      </c>
      <c r="B46" s="34" t="s">
        <v>503</v>
      </c>
      <c r="C46" s="34" t="s">
        <v>137</v>
      </c>
      <c r="D46" s="34" t="s">
        <v>138</v>
      </c>
      <c r="E46" s="35">
        <v>40488.0</v>
      </c>
      <c r="F46" s="34" t="s">
        <v>194</v>
      </c>
      <c r="G46" s="36" t="s">
        <v>110</v>
      </c>
      <c r="H46" s="34"/>
      <c r="I46" s="36" t="s">
        <v>195</v>
      </c>
      <c r="J46" s="36" t="s">
        <v>206</v>
      </c>
      <c r="K46" s="34"/>
      <c r="L46" s="34"/>
      <c r="M46" s="36" t="s">
        <v>221</v>
      </c>
      <c r="N46" s="51" t="s">
        <v>168</v>
      </c>
      <c r="O46" s="34">
        <f t="shared" si="23"/>
        <v>76</v>
      </c>
      <c r="P46" s="34">
        <f t="shared" si="21"/>
        <v>76</v>
      </c>
      <c r="Q46" s="36">
        <v>76.0</v>
      </c>
      <c r="R46" s="34"/>
      <c r="S46" s="34">
        <v>55.0</v>
      </c>
      <c r="T46" s="34">
        <v>45.0</v>
      </c>
      <c r="U46" s="34">
        <v>28.0</v>
      </c>
      <c r="V46" s="34"/>
      <c r="W46" s="34"/>
      <c r="X46" s="34"/>
      <c r="Y46" s="34"/>
      <c r="Z46" s="34"/>
      <c r="AA46" s="37">
        <f>Calcs!O46</f>
        <v>649.5</v>
      </c>
      <c r="AB46" s="34" t="s">
        <v>169</v>
      </c>
      <c r="AC46" s="34" t="s">
        <v>118</v>
      </c>
      <c r="AD46" s="34" t="s">
        <v>262</v>
      </c>
      <c r="AE46" s="34">
        <v>2.5</v>
      </c>
      <c r="AF46" s="36"/>
      <c r="AG46" s="36">
        <v>23.0</v>
      </c>
      <c r="AH46" s="36" t="s">
        <v>170</v>
      </c>
      <c r="AI46" s="34"/>
      <c r="AJ46" s="34">
        <v>4.0</v>
      </c>
      <c r="AK46" s="34"/>
      <c r="AL46" s="34" t="s">
        <v>184</v>
      </c>
      <c r="AM46" s="34"/>
      <c r="AN46" s="34">
        <f>8*2.5</f>
        <v>20</v>
      </c>
      <c r="AO46" s="34">
        <v>21.0</v>
      </c>
      <c r="AP46" s="34"/>
      <c r="AQ46" s="34" t="s">
        <v>254</v>
      </c>
      <c r="AR46" s="36">
        <v>800.0</v>
      </c>
      <c r="AS46" s="36">
        <v>900.0</v>
      </c>
      <c r="AT46" s="14">
        <f t="shared" si="3"/>
        <v>850</v>
      </c>
      <c r="AU46" s="12"/>
      <c r="AV46" s="38"/>
      <c r="AW46" s="17">
        <f t="shared" si="4"/>
        <v>779.4</v>
      </c>
      <c r="AX46" s="39" t="s">
        <v>281</v>
      </c>
      <c r="AY46" s="36">
        <v>24.0</v>
      </c>
      <c r="AZ46" s="34"/>
      <c r="BA46" s="34"/>
      <c r="BB46" s="34"/>
      <c r="BC46" s="34"/>
      <c r="BD46" s="34"/>
      <c r="BE46" s="34"/>
      <c r="BF46" s="34"/>
      <c r="BG46" s="34"/>
      <c r="BH46" s="18">
        <f t="shared" si="24"/>
        <v>24</v>
      </c>
      <c r="BI46" s="19">
        <f>ifs(BH46=0,"na",BH46="NR","NR",BH46="?","?",BK46&gt;0,"?",iserror(Calcs!AB46),"?",1,Calcs!AB46)</f>
        <v>0.6867011216</v>
      </c>
      <c r="BJ46" s="34" t="s">
        <v>282</v>
      </c>
      <c r="BK46" s="34"/>
      <c r="BL46" s="18">
        <f t="shared" si="6"/>
        <v>24</v>
      </c>
      <c r="BM46" s="34"/>
      <c r="BN46" s="34"/>
      <c r="BO46" s="34">
        <v>1.0</v>
      </c>
      <c r="BP46" s="20">
        <f>ifs(isblank(AX46),0,BH46="NR","NR",BH46="?","?",1,(AY46*vlookup(AX46,Ores[],2,FALSE)+if(isblank(AZ46),0,BA46*vlookup(AZ46,Ores[],2,FALSE))+if(isblank(BB46),0,BC46*vlookup(BB46,Ores[],2,FALSE))+if(isblank(BD46),0,BE46*vlookup(BD46,Ores[],2,FALSE))+if(isblank(BF46),0,BG46*vlookup(BF46,Ores[],2,FALSE)))/BH46)</f>
        <v>0</v>
      </c>
      <c r="BQ46" s="20">
        <f>ifs(isblank(AX46),0,BH46="NR","NR",BH46="?","?",1,(AY46*vlookup(AX46,Ores[],4,FALSE)+if(isblank(AZ46),0,BA46*vlookup(AZ46,Ores[],4,FALSE))+if(isblank(BB46),0,BC46*vlookup(BB46,Ores[],4,FALSE))+if(isblank(BD46),0,BE46*vlookup(BD46,Ores[],4,FALSE))+if(isblank(BF46),0,BG46*vlookup(BF46,Ores[],4,FALSE)))/BH46)</f>
        <v>0.34</v>
      </c>
      <c r="BR46" s="21">
        <f>ifs(isblank(AX46),0,BH46="NR","NR",BH46="?","?",1,(AY46*vlookup(AX46,Ores[],8,FALSE)+if(isblank(AZ46),0,BA46*vlookup(AZ46,Ores[],8,FALSE))+if(isblank(BB46),0,BC46*vlookup(BB46,Ores[],8,FALSE))+if(isblank(BD46),0,BE46*vlookup(BD46,Ores[],8,FALSE))+if(isblank(BF46),0,BG46*vlookup(BF46,Ores[],8,FALSE)))/BH46)</f>
        <v>0</v>
      </c>
      <c r="BS46" s="21">
        <f>ifs(isblank(AX46),0,BH46="NR","NR",BH46="?","?",1,(AY46*vlookup(AX46,Ores[],7,FALSE)+if(isblank(AZ46),0,BA46*vlookup(AZ46,Ores[],7,FALSE))+if(isblank(BB46),0,BC46*vlookup(BB46,Ores[],7,FALSE))+if(isblank(BD46),0,BE46*vlookup(BD46,Ores[],7,FALSE))+if(isblank(BF46),0,BG46*vlookup(BF46,Ores[],7,FALSE)))/BH46)</f>
        <v>0</v>
      </c>
      <c r="BT46" s="21">
        <f>ifs(isblank(AX46),0,BH46="NR","NR",BH46="?","?",1,(AY46*vlookup(AX46,Ores[],3,FALSE)+if(isblank(AZ46),0,BA46*vlookup(AZ46,Ores[],3,FALSE))+if(isblank(BB46),0,BC46*vlookup(BB46,Ores[],3,FALSE))+if(isblank(BD46),0,BE46*vlookup(BD46,Ores[],3,FALSE))+if(isblank(BF46),0,BG46*vlookup(BF46,Ores[],3,FALSE)))/BH46)</f>
        <v>0.05</v>
      </c>
      <c r="BU46" s="21">
        <f>ifs(isblank(AX46),0,BH46="NR","NR",BH46="?","?",1,(AY46*vlookup(AX46,Ores[],5,FALSE)+if(isblank(AZ46),0,BA46*vlookup(AZ46,Ores[],5,FALSE))+if(isblank(BB46),0,BC46*vlookup(BB46,Ores[],5,FALSE))+if(isblank(BD46),0,BE46*vlookup(BD46,Ores[],5,FALSE))+if(isblank(BF46),0,BG46*vlookup(BF46,Ores[],5,FALSE)))/BH46)</f>
        <v>0</v>
      </c>
      <c r="BV46" s="22">
        <f t="shared" si="7"/>
        <v>5.99469496</v>
      </c>
      <c r="BW46" s="40">
        <v>74.0</v>
      </c>
      <c r="BX46" s="43">
        <v>37.7</v>
      </c>
      <c r="BY46" s="47"/>
      <c r="BZ46" s="56">
        <f t="shared" si="8"/>
        <v>8.111111111</v>
      </c>
      <c r="CA46" s="53">
        <f t="shared" si="9"/>
        <v>5.593869732</v>
      </c>
      <c r="CB46" s="43" t="s">
        <v>461</v>
      </c>
      <c r="CC46" s="41" t="s">
        <v>489</v>
      </c>
      <c r="CD46" s="28">
        <f t="shared" si="10"/>
        <v>5.593869732</v>
      </c>
      <c r="CE46" s="43">
        <f t="shared" si="11"/>
        <v>146</v>
      </c>
      <c r="CF46" s="41"/>
      <c r="CG46" s="43"/>
      <c r="CH46" s="43">
        <v>31.0</v>
      </c>
      <c r="CI46" s="43">
        <v>177.0</v>
      </c>
      <c r="CJ46" s="43">
        <v>226.0</v>
      </c>
      <c r="CK46" s="43">
        <v>18.0</v>
      </c>
      <c r="CL46" s="43">
        <v>2.9</v>
      </c>
      <c r="CM46" s="43">
        <v>2.0</v>
      </c>
      <c r="CN46" s="43">
        <v>26.1</v>
      </c>
      <c r="CO46" s="43">
        <v>18.0</v>
      </c>
      <c r="CP46" s="43">
        <v>2.9</v>
      </c>
      <c r="CQ46" s="43">
        <v>2.0</v>
      </c>
      <c r="CR46" s="43" t="s">
        <v>157</v>
      </c>
      <c r="CS46" s="53">
        <v>8.5</v>
      </c>
      <c r="CT46" s="43" t="s">
        <v>216</v>
      </c>
      <c r="CU46" s="27" t="s">
        <v>383</v>
      </c>
      <c r="CV46" s="58">
        <v>4.45</v>
      </c>
      <c r="CW46" s="30">
        <f t="shared" si="12"/>
        <v>0.3541666667</v>
      </c>
      <c r="CX46" s="31">
        <f t="shared" si="19"/>
        <v>0.5157508202</v>
      </c>
      <c r="CY46" s="41"/>
      <c r="CZ46" s="41"/>
      <c r="DA46" s="41" t="s">
        <v>504</v>
      </c>
      <c r="DB46" s="41" t="s">
        <v>505</v>
      </c>
      <c r="DC46" s="41" t="s">
        <v>506</v>
      </c>
      <c r="DD46" s="41"/>
      <c r="DE46" s="41"/>
      <c r="DF46" s="41"/>
      <c r="DG46" s="41"/>
      <c r="DH46" s="41"/>
      <c r="DI46" s="41"/>
      <c r="DJ46" s="41"/>
      <c r="DK46" s="41"/>
      <c r="DL46" s="41"/>
      <c r="DM46" s="45"/>
    </row>
    <row r="47" ht="21.75" customHeight="1">
      <c r="A47" s="33">
        <v>46.0</v>
      </c>
      <c r="B47" s="67" t="s">
        <v>507</v>
      </c>
      <c r="C47" s="34" t="s">
        <v>204</v>
      </c>
      <c r="D47" s="36" t="s">
        <v>205</v>
      </c>
      <c r="E47" s="35">
        <v>40620.0</v>
      </c>
      <c r="F47" s="34" t="s">
        <v>508</v>
      </c>
      <c r="G47" s="36" t="s">
        <v>110</v>
      </c>
      <c r="H47" s="34"/>
      <c r="I47" s="34" t="s">
        <v>509</v>
      </c>
      <c r="J47" s="36" t="s">
        <v>276</v>
      </c>
      <c r="K47" s="34"/>
      <c r="L47" s="34"/>
      <c r="M47" s="36" t="s">
        <v>150</v>
      </c>
      <c r="N47" s="36" t="s">
        <v>510</v>
      </c>
      <c r="O47" s="34">
        <f t="shared" si="23"/>
        <v>310</v>
      </c>
      <c r="P47" s="34">
        <f t="shared" si="21"/>
        <v>310</v>
      </c>
      <c r="Q47" s="36">
        <v>110.0</v>
      </c>
      <c r="R47" s="36">
        <v>200.0</v>
      </c>
      <c r="S47" s="34">
        <v>85.0</v>
      </c>
      <c r="T47" s="34">
        <v>110.0</v>
      </c>
      <c r="U47" s="34">
        <v>65.0</v>
      </c>
      <c r="V47" s="34"/>
      <c r="W47" s="34"/>
      <c r="X47" s="34"/>
      <c r="Y47" s="34"/>
      <c r="Z47" s="34"/>
      <c r="AA47" s="37">
        <f>Calcs!O47</f>
        <v>3318.3</v>
      </c>
      <c r="AB47" s="34">
        <v>20.0</v>
      </c>
      <c r="AC47" s="34" t="s">
        <v>511</v>
      </c>
      <c r="AD47" s="36" t="s">
        <v>512</v>
      </c>
      <c r="AE47" s="36">
        <v>2.0</v>
      </c>
      <c r="AF47" s="36" t="s">
        <v>123</v>
      </c>
      <c r="AG47" s="36">
        <v>5.0</v>
      </c>
      <c r="AH47" s="36" t="s">
        <v>170</v>
      </c>
      <c r="AI47" s="36" t="s">
        <v>123</v>
      </c>
      <c r="AJ47" s="34">
        <v>10.0</v>
      </c>
      <c r="AK47" s="34"/>
      <c r="AL47" s="36" t="s">
        <v>513</v>
      </c>
      <c r="AM47" s="36"/>
      <c r="AN47" s="36" t="s">
        <v>116</v>
      </c>
      <c r="AO47" s="34" t="s">
        <v>514</v>
      </c>
      <c r="AP47" s="34"/>
      <c r="AQ47" s="34" t="s">
        <v>515</v>
      </c>
      <c r="AR47" s="36"/>
      <c r="AS47" s="36" t="s">
        <v>140</v>
      </c>
      <c r="AT47" s="14" t="str">
        <f t="shared" si="3"/>
        <v/>
      </c>
      <c r="AU47" s="12"/>
      <c r="AV47" s="38"/>
      <c r="AW47" s="17">
        <f t="shared" si="4"/>
        <v>3981.96</v>
      </c>
      <c r="AX47" s="36" t="s">
        <v>155</v>
      </c>
      <c r="AY47" s="36">
        <v>91.0</v>
      </c>
      <c r="AZ47" s="36"/>
      <c r="BA47" s="36"/>
      <c r="BB47" s="36"/>
      <c r="BC47" s="36"/>
      <c r="BD47" s="34"/>
      <c r="BE47" s="34"/>
      <c r="BF47" s="34"/>
      <c r="BG47" s="34"/>
      <c r="BH47" s="18">
        <f t="shared" si="24"/>
        <v>91</v>
      </c>
      <c r="BI47" s="19">
        <f>ifs(BH47=0,"na",BH47="NR","NR",BH47="?","?",BK47&gt;0,"?",iserror(Calcs!AB47),"?",1,Calcs!AB47)</f>
        <v>0.58</v>
      </c>
      <c r="BJ47" s="34" t="s">
        <v>125</v>
      </c>
      <c r="BK47" s="34"/>
      <c r="BL47" s="18">
        <f t="shared" si="6"/>
        <v>91</v>
      </c>
      <c r="BM47" s="34"/>
      <c r="BN47" s="34"/>
      <c r="BO47" s="34" t="s">
        <v>173</v>
      </c>
      <c r="BP47" s="20">
        <f>ifs(isblank(AX47),0,BH47="NR","NR",BH47="?","?",1,(AY47*vlookup(AX47,Ores[],2,FALSE)+if(isblank(AZ47),0,BA47*vlookup(AZ47,Ores[],2,FALSE))+if(isblank(BB47),0,BC47*vlookup(BB47,Ores[],2,FALSE))+if(isblank(BD47),0,BE47*vlookup(BD47,Ores[],2,FALSE))+if(isblank(BF47),0,BG47*vlookup(BF47,Ores[],2,FALSE)))/BH47)</f>
        <v>8.73</v>
      </c>
      <c r="BQ47" s="20">
        <f>ifs(isblank(AX47),0,BH47="NR","NR",BH47="?","?",1,(AY47*vlookup(AX47,Ores[],4,FALSE)+if(isblank(AZ47),0,BA47*vlookup(AZ47,Ores[],4,FALSE))+if(isblank(BB47),0,BC47*vlookup(BB47,Ores[],4,FALSE))+if(isblank(BD47),0,BE47*vlookup(BD47,Ores[],4,FALSE))+if(isblank(BF47),0,BG47*vlookup(BF47,Ores[],4,FALSE)))/BH47)</f>
        <v>2.04</v>
      </c>
      <c r="BR47" s="21">
        <f>ifs(isblank(AX47),0,BH47="NR","NR",BH47="?","?",1,(AY47*vlookup(AX47,Ores[],8,FALSE)+if(isblank(AZ47),0,BA47*vlookup(AZ47,Ores[],8,FALSE))+if(isblank(BB47),0,BC47*vlookup(BB47,Ores[],8,FALSE))+if(isblank(BD47),0,BE47*vlookup(BD47,Ores[],8,FALSE))+if(isblank(BF47),0,BG47*vlookup(BF47,Ores[],8,FALSE)))/BH47)</f>
        <v>4.02</v>
      </c>
      <c r="BS47" s="21">
        <f>ifs(isblank(AX47),0,BH47="NR","NR",BH47="?","?",1,(AY47*vlookup(AX47,Ores[],7,FALSE)+if(isblank(AZ47),0,BA47*vlookup(AZ47,Ores[],7,FALSE))+if(isblank(BB47),0,BC47*vlookup(BB47,Ores[],7,FALSE))+if(isblank(BD47),0,BE47*vlookup(BD47,Ores[],7,FALSE))+if(isblank(BF47),0,BG47*vlookup(BF47,Ores[],7,FALSE)))/BH47)</f>
        <v>0</v>
      </c>
      <c r="BT47" s="21">
        <f>ifs(isblank(AX47),0,BH47="NR","NR",BH47="?","?",1,(AY47*vlookup(AX47,Ores[],3,FALSE)+if(isblank(AZ47),0,BA47*vlookup(AZ47,Ores[],3,FALSE))+if(isblank(BB47),0,BC47*vlookup(BB47,Ores[],3,FALSE))+if(isblank(BD47),0,BE47*vlookup(BD47,Ores[],3,FALSE))+if(isblank(BF47),0,BG47*vlookup(BF47,Ores[],3,FALSE)))/BH47)</f>
        <v>0</v>
      </c>
      <c r="BU47" s="21">
        <f>ifs(isblank(AX47),0,BH47="NR","NR",BH47="?","?",1,(AY47*vlookup(AX47,Ores[],5,FALSE)+if(isblank(AZ47),0,BA47*vlookup(AZ47,Ores[],5,FALSE))+if(isblank(BB47),0,BC47*vlookup(BB47,Ores[],5,FALSE))+if(isblank(BD47),0,BE47*vlookup(BD47,Ores[],5,FALSE))+if(isblank(BF47),0,BG47*vlookup(BF47,Ores[],5,FALSE)))/BH47)</f>
        <v>0.4</v>
      </c>
      <c r="BV47" s="22">
        <f t="shared" si="7"/>
        <v>5.497435897</v>
      </c>
      <c r="BW47" s="40">
        <v>153.0</v>
      </c>
      <c r="BX47" s="41">
        <v>195.0</v>
      </c>
      <c r="BY47" s="47"/>
      <c r="BZ47" s="56">
        <f t="shared" si="8"/>
        <v>13.56818182</v>
      </c>
      <c r="CA47" s="53">
        <f t="shared" si="9"/>
        <v>5.58893617</v>
      </c>
      <c r="CB47" s="41" t="s">
        <v>185</v>
      </c>
      <c r="CC47" s="41" t="s">
        <v>186</v>
      </c>
      <c r="CD47" s="28">
        <f t="shared" si="10"/>
        <v>5.58893617</v>
      </c>
      <c r="CE47" s="43">
        <f t="shared" si="11"/>
        <v>597</v>
      </c>
      <c r="CF47" s="41"/>
      <c r="CG47" s="43"/>
      <c r="CH47" s="43">
        <v>145.0</v>
      </c>
      <c r="CI47" s="41">
        <f>12*60+22</f>
        <v>742</v>
      </c>
      <c r="CJ47" s="41">
        <f>CI47+5*60+30</f>
        <v>1072</v>
      </c>
      <c r="CK47" s="43">
        <v>41.0</v>
      </c>
      <c r="CL47" s="53">
        <f>190/2.2</f>
        <v>86.36363636</v>
      </c>
      <c r="CM47" s="43">
        <v>4.0</v>
      </c>
      <c r="CN47" s="53">
        <f>235/2.2</f>
        <v>106.8181818</v>
      </c>
      <c r="CO47" s="43">
        <v>44.0</v>
      </c>
      <c r="CP47" s="43">
        <v>0.0</v>
      </c>
      <c r="CQ47" s="43">
        <v>0.0</v>
      </c>
      <c r="CR47" s="41" t="s">
        <v>257</v>
      </c>
      <c r="CS47" s="44">
        <v>0.0</v>
      </c>
      <c r="CT47" s="43" t="s">
        <v>118</v>
      </c>
      <c r="CU47" s="30"/>
      <c r="CV47" s="29"/>
      <c r="CW47" s="30" t="str">
        <f t="shared" si="12"/>
        <v>na</v>
      </c>
      <c r="CX47" s="31" t="str">
        <f t="shared" si="19"/>
        <v>na</v>
      </c>
      <c r="CY47" s="41" t="s">
        <v>516</v>
      </c>
      <c r="CZ47" s="41"/>
      <c r="DA47" s="41" t="s">
        <v>517</v>
      </c>
      <c r="DB47" s="41" t="s">
        <v>518</v>
      </c>
      <c r="DC47" s="41" t="s">
        <v>519</v>
      </c>
      <c r="DD47" s="41"/>
      <c r="DE47" s="41"/>
      <c r="DF47" s="41"/>
      <c r="DG47" s="41"/>
      <c r="DH47" s="41"/>
      <c r="DI47" s="41"/>
      <c r="DJ47" s="41"/>
      <c r="DK47" s="41"/>
      <c r="DL47" s="41"/>
      <c r="DM47" s="45"/>
    </row>
    <row r="48" ht="21.75" customHeight="1">
      <c r="A48" s="33">
        <v>47.0</v>
      </c>
      <c r="B48" s="34" t="s">
        <v>520</v>
      </c>
      <c r="C48" s="34" t="s">
        <v>521</v>
      </c>
      <c r="D48" s="34" t="s">
        <v>522</v>
      </c>
      <c r="E48" s="35">
        <v>40654.0</v>
      </c>
      <c r="F48" s="36" t="s">
        <v>109</v>
      </c>
      <c r="G48" s="36" t="s">
        <v>110</v>
      </c>
      <c r="H48" s="36" t="s">
        <v>249</v>
      </c>
      <c r="I48" s="36" t="s">
        <v>286</v>
      </c>
      <c r="J48" s="36" t="s">
        <v>276</v>
      </c>
      <c r="K48" s="34"/>
      <c r="L48" s="34"/>
      <c r="M48" s="36" t="s">
        <v>150</v>
      </c>
      <c r="N48" s="36" t="s">
        <v>168</v>
      </c>
      <c r="O48" s="34">
        <f t="shared" si="23"/>
        <v>64</v>
      </c>
      <c r="P48" s="34">
        <f t="shared" si="21"/>
        <v>64</v>
      </c>
      <c r="Q48" s="36">
        <v>64.0</v>
      </c>
      <c r="R48" s="34"/>
      <c r="S48" s="34">
        <v>48.0</v>
      </c>
      <c r="T48" s="34">
        <v>39.0</v>
      </c>
      <c r="U48" s="36">
        <v>25.0</v>
      </c>
      <c r="V48" s="36">
        <v>24.0</v>
      </c>
      <c r="W48" s="36"/>
      <c r="X48" s="36">
        <v>25.0</v>
      </c>
      <c r="Y48" s="36"/>
      <c r="Z48" s="36" t="s">
        <v>123</v>
      </c>
      <c r="AA48" s="37">
        <f>Calcs!O48</f>
        <v>490.9</v>
      </c>
      <c r="AB48" s="34">
        <v>8.5</v>
      </c>
      <c r="AC48" s="34" t="s">
        <v>523</v>
      </c>
      <c r="AD48" s="34" t="s">
        <v>524</v>
      </c>
      <c r="AE48" s="34" t="s">
        <v>525</v>
      </c>
      <c r="AF48" s="36"/>
      <c r="AG48" s="36">
        <v>20.0</v>
      </c>
      <c r="AH48" s="36" t="s">
        <v>170</v>
      </c>
      <c r="AI48" s="34"/>
      <c r="AJ48" s="34">
        <v>4.5</v>
      </c>
      <c r="AK48" s="34"/>
      <c r="AL48" s="34" t="s">
        <v>121</v>
      </c>
      <c r="AM48" s="34"/>
      <c r="AN48" s="36">
        <v>16.0</v>
      </c>
      <c r="AO48" s="34">
        <v>16.0</v>
      </c>
      <c r="AP48" s="34"/>
      <c r="AQ48" s="34" t="s">
        <v>254</v>
      </c>
      <c r="AR48" s="34"/>
      <c r="AS48" s="34">
        <v>850.0</v>
      </c>
      <c r="AT48" s="14" t="str">
        <f t="shared" si="3"/>
        <v/>
      </c>
      <c r="AU48" s="12"/>
      <c r="AV48" s="74">
        <v>714.0</v>
      </c>
      <c r="AW48" s="17">
        <f t="shared" si="4"/>
        <v>589.08</v>
      </c>
      <c r="AX48" s="36" t="s">
        <v>155</v>
      </c>
      <c r="AY48" s="36">
        <v>18.0</v>
      </c>
      <c r="AZ48" s="39" t="s">
        <v>460</v>
      </c>
      <c r="BA48" s="36">
        <v>9.5</v>
      </c>
      <c r="BB48" s="39" t="s">
        <v>281</v>
      </c>
      <c r="BC48" s="36">
        <v>1.5</v>
      </c>
      <c r="BD48" s="34"/>
      <c r="BE48" s="34"/>
      <c r="BF48" s="34"/>
      <c r="BG48" s="34"/>
      <c r="BH48" s="18">
        <f t="shared" si="24"/>
        <v>29</v>
      </c>
      <c r="BI48" s="19">
        <f>ifs(BH48=0,"na",BH48="NR","NR",BH48="?","?",BK48&gt;0,"?",iserror(Calcs!AB48),"?",1,Calcs!AB48)</f>
        <v>0.5828993038</v>
      </c>
      <c r="BJ48" s="34" t="s">
        <v>223</v>
      </c>
      <c r="BK48" s="34"/>
      <c r="BL48" s="18">
        <f t="shared" si="6"/>
        <v>29</v>
      </c>
      <c r="BM48" s="34"/>
      <c r="BN48" s="34"/>
      <c r="BO48" s="34" t="s">
        <v>173</v>
      </c>
      <c r="BP48" s="20">
        <f>ifs(isblank(AX48),0,BH48="NR","NR",BH48="?","?",1,(AY48*vlookup(AX48,Ores[],2,FALSE)+if(isblank(AZ48),0,BA48*vlookup(AZ48,Ores[],2,FALSE))+if(isblank(BB48),0,BC48*vlookup(BB48,Ores[],2,FALSE))+if(isblank(BD48),0,BE48*vlookup(BD48,Ores[],2,FALSE))+if(isblank(BF48),0,BG48*vlookup(BF48,Ores[],2,FALSE)))/BH48)</f>
        <v>8.03112069</v>
      </c>
      <c r="BQ48" s="20">
        <f>ifs(isblank(AX48),0,BH48="NR","NR",BH48="?","?",1,(AY48*vlookup(AX48,Ores[],4,FALSE)+if(isblank(AZ48),0,BA48*vlookup(AZ48,Ores[],4,FALSE))+if(isblank(BB48),0,BC48*vlookup(BB48,Ores[],4,FALSE))+if(isblank(BD48),0,BE48*vlookup(BD48,Ores[],4,FALSE))+if(isblank(BF48),0,BG48*vlookup(BF48,Ores[],4,FALSE)))/BH48)</f>
        <v>2.258362069</v>
      </c>
      <c r="BR48" s="21">
        <f>ifs(isblank(AX48),0,BH48="NR","NR",BH48="?","?",1,(AY48*vlookup(AX48,Ores[],8,FALSE)+if(isblank(AZ48),0,BA48*vlookup(AZ48,Ores[],8,FALSE))+if(isblank(BB48),0,BC48*vlookup(BB48,Ores[],8,FALSE))+if(isblank(BD48),0,BE48*vlookup(BD48,Ores[],8,FALSE))+if(isblank(BF48),0,BG48*vlookup(BF48,Ores[],8,FALSE)))/BH48)</f>
        <v>2.495172414</v>
      </c>
      <c r="BS48" s="21">
        <f>ifs(isblank(AX48),0,BH48="NR","NR",BH48="?","?",1,(AY48*vlookup(AX48,Ores[],7,FALSE)+if(isblank(AZ48),0,BA48*vlookup(AZ48,Ores[],7,FALSE))+if(isblank(BB48),0,BC48*vlookup(BB48,Ores[],7,FALSE))+if(isblank(BD48),0,BE48*vlookup(BD48,Ores[],7,FALSE))+if(isblank(BF48),0,BG48*vlookup(BF48,Ores[],7,FALSE)))/BH48)</f>
        <v>0</v>
      </c>
      <c r="BT48" s="21">
        <f>ifs(isblank(AX48),0,BH48="NR","NR",BH48="?","?",1,(AY48*vlookup(AX48,Ores[],3,FALSE)+if(isblank(AZ48),0,BA48*vlookup(AZ48,Ores[],3,FALSE))+if(isblank(BB48),0,BC48*vlookup(BB48,Ores[],3,FALSE))+if(isblank(BD48),0,BE48*vlookup(BD48,Ores[],3,FALSE))+if(isblank(BF48),0,BG48*vlookup(BF48,Ores[],3,FALSE)))/BH48)</f>
        <v>0.002586206897</v>
      </c>
      <c r="BU48" s="21">
        <f>ifs(isblank(AX48),0,BH48="NR","NR",BH48="?","?",1,(AY48*vlookup(AX48,Ores[],5,FALSE)+if(isblank(AZ48),0,BA48*vlookup(AZ48,Ores[],5,FALSE))+if(isblank(BB48),0,BC48*vlookup(BB48,Ores[],5,FALSE))+if(isblank(BD48),0,BE48*vlookup(BD48,Ores[],5,FALSE))+if(isblank(BF48),0,BG48*vlookup(BF48,Ores[],5,FALSE)))/BH48)</f>
        <v>0.2482758621</v>
      </c>
      <c r="BV48" s="22" t="str">
        <f t="shared" si="7"/>
        <v>NR</v>
      </c>
      <c r="BW48" s="40">
        <v>55.0</v>
      </c>
      <c r="BX48" s="41">
        <v>45.0</v>
      </c>
      <c r="BY48" s="47"/>
      <c r="BZ48" s="56">
        <f t="shared" si="8"/>
        <v>12.42105263</v>
      </c>
      <c r="CA48" s="53">
        <f t="shared" si="9"/>
        <v>9.365079365</v>
      </c>
      <c r="CB48" s="43" t="s">
        <v>255</v>
      </c>
      <c r="CC48" s="41" t="s">
        <v>256</v>
      </c>
      <c r="CD48" s="28">
        <f t="shared" si="10"/>
        <v>9.365079365</v>
      </c>
      <c r="CE48" s="43">
        <f t="shared" si="11"/>
        <v>236</v>
      </c>
      <c r="CF48" s="41"/>
      <c r="CG48" s="43"/>
      <c r="CH48" s="43">
        <v>58.0</v>
      </c>
      <c r="CI48" s="43">
        <v>294.0</v>
      </c>
      <c r="CJ48" s="43" t="s">
        <v>116</v>
      </c>
      <c r="CK48" s="43">
        <v>19.0</v>
      </c>
      <c r="CL48" s="43">
        <v>7.2</v>
      </c>
      <c r="CM48" s="43">
        <v>5.0</v>
      </c>
      <c r="CN48" s="43">
        <v>25.2</v>
      </c>
      <c r="CO48" s="43">
        <v>19.0</v>
      </c>
      <c r="CP48" s="43" t="s">
        <v>116</v>
      </c>
      <c r="CQ48" s="43" t="s">
        <v>116</v>
      </c>
      <c r="CR48" s="41" t="s">
        <v>257</v>
      </c>
      <c r="CS48" s="53">
        <v>2.2</v>
      </c>
      <c r="CT48" s="43" t="s">
        <v>199</v>
      </c>
      <c r="CU48" s="30"/>
      <c r="CV48" s="29"/>
      <c r="CW48" s="30">
        <f t="shared" si="12"/>
        <v>0.07586206897</v>
      </c>
      <c r="CX48" s="31">
        <f t="shared" si="19"/>
        <v>0.1301460964</v>
      </c>
      <c r="CY48" s="41"/>
      <c r="CZ48" s="41"/>
      <c r="DA48" s="41" t="s">
        <v>526</v>
      </c>
      <c r="DB48" s="41" t="s">
        <v>258</v>
      </c>
      <c r="DC48" s="41" t="s">
        <v>527</v>
      </c>
      <c r="DD48" s="41"/>
      <c r="DE48" s="41"/>
      <c r="DF48" s="41"/>
      <c r="DG48" s="41"/>
      <c r="DH48" s="41"/>
      <c r="DI48" s="41"/>
      <c r="DJ48" s="41"/>
      <c r="DK48" s="41"/>
      <c r="DL48" s="41"/>
      <c r="DM48" s="45"/>
    </row>
    <row r="49" ht="21.75" customHeight="1">
      <c r="A49" s="33" t="s">
        <v>528</v>
      </c>
      <c r="B49" s="34" t="s">
        <v>503</v>
      </c>
      <c r="C49" s="34" t="s">
        <v>137</v>
      </c>
      <c r="D49" s="34" t="s">
        <v>138</v>
      </c>
      <c r="E49" s="35">
        <v>40705.0</v>
      </c>
      <c r="F49" s="34" t="s">
        <v>194</v>
      </c>
      <c r="G49" s="36" t="s">
        <v>110</v>
      </c>
      <c r="H49" s="34"/>
      <c r="I49" s="36" t="s">
        <v>195</v>
      </c>
      <c r="J49" s="36" t="s">
        <v>206</v>
      </c>
      <c r="K49" s="34"/>
      <c r="L49" s="34"/>
      <c r="M49" s="36" t="s">
        <v>221</v>
      </c>
      <c r="N49" s="51" t="s">
        <v>168</v>
      </c>
      <c r="O49" s="34">
        <f t="shared" si="23"/>
        <v>65</v>
      </c>
      <c r="P49" s="34">
        <f t="shared" si="21"/>
        <v>65</v>
      </c>
      <c r="Q49" s="51">
        <v>65.0</v>
      </c>
      <c r="R49" s="78"/>
      <c r="S49" s="78">
        <v>45.0</v>
      </c>
      <c r="T49" s="78">
        <v>45.0</v>
      </c>
      <c r="U49" s="51">
        <v>25.0</v>
      </c>
      <c r="V49" s="51"/>
      <c r="W49" s="78"/>
      <c r="X49" s="78"/>
      <c r="Y49" s="78"/>
      <c r="Z49" s="78"/>
      <c r="AA49" s="37">
        <f>Calcs!O49</f>
        <v>517.8</v>
      </c>
      <c r="AB49" s="78" t="s">
        <v>169</v>
      </c>
      <c r="AC49" s="78" t="s">
        <v>118</v>
      </c>
      <c r="AD49" s="34" t="s">
        <v>262</v>
      </c>
      <c r="AE49" s="34">
        <v>2.5</v>
      </c>
      <c r="AF49" s="36"/>
      <c r="AG49" s="36">
        <v>20.0</v>
      </c>
      <c r="AH49" s="36" t="s">
        <v>170</v>
      </c>
      <c r="AI49" s="78"/>
      <c r="AJ49" s="78">
        <v>5.0</v>
      </c>
      <c r="AK49" s="78"/>
      <c r="AL49" s="34" t="s">
        <v>184</v>
      </c>
      <c r="AM49" s="34"/>
      <c r="AN49" s="51">
        <v>20.0</v>
      </c>
      <c r="AO49" s="78">
        <v>20.0</v>
      </c>
      <c r="AP49" s="78"/>
      <c r="AQ49" s="34" t="s">
        <v>254</v>
      </c>
      <c r="AR49" s="34"/>
      <c r="AS49" s="34">
        <v>900.0</v>
      </c>
      <c r="AT49" s="14" t="str">
        <f t="shared" si="3"/>
        <v/>
      </c>
      <c r="AU49" s="12"/>
      <c r="AV49" s="74">
        <v>756.0</v>
      </c>
      <c r="AW49" s="17">
        <f t="shared" si="4"/>
        <v>621.36</v>
      </c>
      <c r="AX49" s="39" t="s">
        <v>295</v>
      </c>
      <c r="AY49" s="36">
        <v>24.0</v>
      </c>
      <c r="AZ49" s="36"/>
      <c r="BA49" s="36"/>
      <c r="BB49" s="36"/>
      <c r="BC49" s="36"/>
      <c r="BD49" s="34"/>
      <c r="BE49" s="34"/>
      <c r="BF49" s="34"/>
      <c r="BG49" s="34"/>
      <c r="BH49" s="18">
        <f t="shared" si="24"/>
        <v>24</v>
      </c>
      <c r="BI49" s="19">
        <f>ifs(BH49=0,"na",BH49="NR","NR",BH49="?","?",BK49&gt;0,"?",iserror(Calcs!AB49),"?",1,Calcs!AB49)</f>
        <v>0.4535109057</v>
      </c>
      <c r="BJ49" s="34" t="s">
        <v>125</v>
      </c>
      <c r="BK49" s="34"/>
      <c r="BL49" s="18">
        <f t="shared" si="6"/>
        <v>24</v>
      </c>
      <c r="BM49" s="34"/>
      <c r="BN49" s="34"/>
      <c r="BO49" s="34" t="s">
        <v>173</v>
      </c>
      <c r="BP49" s="20">
        <f>ifs(isblank(AX49),0,BH49="NR","NR",BH49="?","?",1,(AY49*vlookup(AX49,Ores[],2,FALSE)+if(isblank(AZ49),0,BA49*vlookup(AZ49,Ores[],2,FALSE))+if(isblank(BB49),0,BC49*vlookup(BB49,Ores[],2,FALSE))+if(isblank(BD49),0,BE49*vlookup(BD49,Ores[],2,FALSE))+if(isblank(BF49),0,BG49*vlookup(BF49,Ores[],2,FALSE)))/BH49)</f>
        <v>15.01</v>
      </c>
      <c r="BQ49" s="20">
        <f>ifs(isblank(AX49),0,BH49="NR","NR",BH49="?","?",1,(AY49*vlookup(AX49,Ores[],4,FALSE)+if(isblank(AZ49),0,BA49*vlookup(AZ49,Ores[],4,FALSE))+if(isblank(BB49),0,BC49*vlookup(BB49,Ores[],4,FALSE))+if(isblank(BD49),0,BE49*vlookup(BD49,Ores[],4,FALSE))+if(isblank(BF49),0,BG49*vlookup(BF49,Ores[],4,FALSE)))/BH49)</f>
        <v>4.93</v>
      </c>
      <c r="BR49" s="21">
        <f>ifs(isblank(AX49),0,BH49="NR","NR",BH49="?","?",1,(AY49*vlookup(AX49,Ores[],8,FALSE)+if(isblank(AZ49),0,BA49*vlookup(AZ49,Ores[],8,FALSE))+if(isblank(BB49),0,BC49*vlookup(BB49,Ores[],8,FALSE))+if(isblank(BD49),0,BE49*vlookup(BD49,Ores[],8,FALSE))+if(isblank(BF49),0,BG49*vlookup(BF49,Ores[],8,FALSE)))/BH49)</f>
        <v>2.35</v>
      </c>
      <c r="BS49" s="21">
        <f>ifs(isblank(AX49),0,BH49="NR","NR",BH49="?","?",1,(AY49*vlookup(AX49,Ores[],7,FALSE)+if(isblank(AZ49),0,BA49*vlookup(AZ49,Ores[],7,FALSE))+if(isblank(BB49),0,BC49*vlookup(BB49,Ores[],7,FALSE))+if(isblank(BD49),0,BE49*vlookup(BD49,Ores[],7,FALSE))+if(isblank(BF49),0,BG49*vlookup(BF49,Ores[],7,FALSE)))/BH49)</f>
        <v>0</v>
      </c>
      <c r="BT49" s="21">
        <f>ifs(isblank(AX49),0,BH49="NR","NR",BH49="?","?",1,(AY49*vlookup(AX49,Ores[],3,FALSE)+if(isblank(AZ49),0,BA49*vlookup(AZ49,Ores[],3,FALSE))+if(isblank(BB49),0,BC49*vlookup(BB49,Ores[],3,FALSE))+if(isblank(BD49),0,BE49*vlookup(BD49,Ores[],3,FALSE))+if(isblank(BF49),0,BG49*vlookup(BF49,Ores[],3,FALSE)))/BH49)</f>
        <v>0.33</v>
      </c>
      <c r="BU49" s="21">
        <f>ifs(isblank(AX49),0,BH49="NR","NR",BH49="?","?",1,(AY49*vlookup(AX49,Ores[],5,FALSE)+if(isblank(AZ49),0,BA49*vlookup(AZ49,Ores[],5,FALSE))+if(isblank(BB49),0,BC49*vlookup(BB49,Ores[],5,FALSE))+if(isblank(BD49),0,BE49*vlookup(BD49,Ores[],5,FALSE))+if(isblank(BF49),0,BG49*vlookup(BF49,Ores[],5,FALSE)))/BH49)</f>
        <v>3.87</v>
      </c>
      <c r="BV49" s="22">
        <f t="shared" si="7"/>
        <v>5.854166667</v>
      </c>
      <c r="BW49" s="40">
        <v>80.0</v>
      </c>
      <c r="BX49" s="41">
        <v>48.0</v>
      </c>
      <c r="BY49" s="47"/>
      <c r="BZ49" s="56">
        <f t="shared" si="8"/>
        <v>9.611111111</v>
      </c>
      <c r="CA49" s="53">
        <f t="shared" si="9"/>
        <v>5.195195195</v>
      </c>
      <c r="CB49" s="41" t="s">
        <v>461</v>
      </c>
      <c r="CC49" s="41" t="s">
        <v>489</v>
      </c>
      <c r="CD49" s="28">
        <f t="shared" si="10"/>
        <v>5.195195195</v>
      </c>
      <c r="CE49" s="43">
        <f t="shared" si="11"/>
        <v>173</v>
      </c>
      <c r="CF49" s="41"/>
      <c r="CG49" s="43"/>
      <c r="CH49" s="43">
        <v>62.0</v>
      </c>
      <c r="CI49" s="43">
        <v>235.0</v>
      </c>
      <c r="CJ49" s="43">
        <v>281.0</v>
      </c>
      <c r="CK49" s="43">
        <v>18.0</v>
      </c>
      <c r="CL49" s="43">
        <v>7.4</v>
      </c>
      <c r="CM49" s="43">
        <v>3.0</v>
      </c>
      <c r="CN49" s="43">
        <v>33.3</v>
      </c>
      <c r="CO49" s="43">
        <v>18.0</v>
      </c>
      <c r="CP49" s="43">
        <v>1.85</v>
      </c>
      <c r="CQ49" s="43">
        <v>1.0</v>
      </c>
      <c r="CR49" s="43" t="s">
        <v>157</v>
      </c>
      <c r="CS49" s="53">
        <v>2.65</v>
      </c>
      <c r="CT49" s="43" t="s">
        <v>529</v>
      </c>
      <c r="CU49" s="30"/>
      <c r="CV49" s="58">
        <v>5.28</v>
      </c>
      <c r="CW49" s="30">
        <f t="shared" si="12"/>
        <v>0.1104166667</v>
      </c>
      <c r="CX49" s="31">
        <f t="shared" si="19"/>
        <v>0.243470808</v>
      </c>
      <c r="CY49" s="41"/>
      <c r="CZ49" s="41"/>
      <c r="DA49" s="41" t="s">
        <v>504</v>
      </c>
      <c r="DB49" s="41" t="s">
        <v>505</v>
      </c>
      <c r="DC49" s="41" t="s">
        <v>530</v>
      </c>
      <c r="DD49" s="41"/>
      <c r="DE49" s="41"/>
      <c r="DF49" s="41"/>
      <c r="DG49" s="41"/>
      <c r="DH49" s="41"/>
      <c r="DI49" s="41"/>
      <c r="DJ49" s="41"/>
      <c r="DK49" s="41"/>
      <c r="DL49" s="41"/>
      <c r="DM49" s="45"/>
    </row>
    <row r="50" ht="21.75" customHeight="1">
      <c r="A50" s="33" t="s">
        <v>531</v>
      </c>
      <c r="B50" s="34" t="s">
        <v>532</v>
      </c>
      <c r="C50" s="34" t="s">
        <v>137</v>
      </c>
      <c r="D50" s="34" t="s">
        <v>533</v>
      </c>
      <c r="E50" s="35">
        <v>40752.0</v>
      </c>
      <c r="F50" s="34" t="s">
        <v>194</v>
      </c>
      <c r="G50" s="36" t="s">
        <v>123</v>
      </c>
      <c r="H50" s="34"/>
      <c r="I50" s="36" t="s">
        <v>195</v>
      </c>
      <c r="J50" s="36" t="s">
        <v>206</v>
      </c>
      <c r="K50" s="34"/>
      <c r="L50" s="34"/>
      <c r="M50" s="36" t="s">
        <v>221</v>
      </c>
      <c r="N50" s="51" t="s">
        <v>168</v>
      </c>
      <c r="O50" s="34">
        <f t="shared" si="23"/>
        <v>65</v>
      </c>
      <c r="P50" s="34">
        <f t="shared" si="21"/>
        <v>65</v>
      </c>
      <c r="Q50" s="51">
        <v>65.0</v>
      </c>
      <c r="R50" s="78"/>
      <c r="S50" s="78">
        <v>45.0</v>
      </c>
      <c r="T50" s="78">
        <v>45.0</v>
      </c>
      <c r="U50" s="51">
        <v>25.0</v>
      </c>
      <c r="V50" s="51"/>
      <c r="W50" s="78"/>
      <c r="X50" s="78"/>
      <c r="Y50" s="78"/>
      <c r="Z50" s="78"/>
      <c r="AA50" s="37">
        <f>Calcs!O50</f>
        <v>517.8</v>
      </c>
      <c r="AB50" s="78" t="s">
        <v>169</v>
      </c>
      <c r="AC50" s="78" t="s">
        <v>118</v>
      </c>
      <c r="AD50" s="34" t="s">
        <v>262</v>
      </c>
      <c r="AE50" s="34">
        <v>2.5</v>
      </c>
      <c r="AF50" s="36"/>
      <c r="AG50" s="36">
        <v>20.0</v>
      </c>
      <c r="AH50" s="36" t="s">
        <v>170</v>
      </c>
      <c r="AI50" s="78"/>
      <c r="AJ50" s="78">
        <v>5.0</v>
      </c>
      <c r="AK50" s="78"/>
      <c r="AL50" s="34" t="s">
        <v>184</v>
      </c>
      <c r="AM50" s="34"/>
      <c r="AN50" s="51">
        <v>20.0</v>
      </c>
      <c r="AO50" s="78">
        <v>20.0</v>
      </c>
      <c r="AP50" s="78"/>
      <c r="AQ50" s="34" t="s">
        <v>254</v>
      </c>
      <c r="AR50" s="34"/>
      <c r="AS50" s="34">
        <v>900.0</v>
      </c>
      <c r="AT50" s="14" t="str">
        <f t="shared" si="3"/>
        <v/>
      </c>
      <c r="AU50" s="12"/>
      <c r="AV50" s="74">
        <v>756.0</v>
      </c>
      <c r="AW50" s="17">
        <f t="shared" si="4"/>
        <v>621.36</v>
      </c>
      <c r="AX50" s="36" t="s">
        <v>534</v>
      </c>
      <c r="AY50" s="36">
        <v>26.0</v>
      </c>
      <c r="AZ50" s="34"/>
      <c r="BA50" s="34"/>
      <c r="BB50" s="34"/>
      <c r="BC50" s="34"/>
      <c r="BD50" s="34"/>
      <c r="BE50" s="34"/>
      <c r="BF50" s="34"/>
      <c r="BG50" s="34"/>
      <c r="BH50" s="18">
        <f t="shared" si="24"/>
        <v>26</v>
      </c>
      <c r="BI50" s="19">
        <f>ifs(BH50=0,"na",BH50="NR","NR",BH50="?","?",BK50&gt;0,"?",iserror(Calcs!AB50),"?",1,Calcs!AB50)</f>
        <v>0.5708528899</v>
      </c>
      <c r="BJ50" s="34" t="s">
        <v>282</v>
      </c>
      <c r="BK50" s="34"/>
      <c r="BL50" s="18">
        <f t="shared" si="6"/>
        <v>26</v>
      </c>
      <c r="BM50" s="34"/>
      <c r="BN50" s="34"/>
      <c r="BO50" s="34" t="s">
        <v>382</v>
      </c>
      <c r="BP50" s="20">
        <f>ifs(isblank(AX50),0,BH50="NR","NR",BH50="?","?",1,(AY50*vlookup(AX50,Ores[],2,FALSE)+if(isblank(AZ50),0,BA50*vlookup(AZ50,Ores[],2,FALSE))+if(isblank(BB50),0,BC50*vlookup(BB50,Ores[],2,FALSE))+if(isblank(BD50),0,BE50*vlookup(BD50,Ores[],2,FALSE))+if(isblank(BF50),0,BG50*vlookup(BF50,Ores[],2,FALSE)))/BH50)</f>
        <v>4.032258065</v>
      </c>
      <c r="BQ50" s="20">
        <f>ifs(isblank(AX50),0,BH50="NR","NR",BH50="?","?",1,(AY50*vlookup(AX50,Ores[],4,FALSE)+if(isblank(AZ50),0,BA50*vlookup(AZ50,Ores[],4,FALSE))+if(isblank(BB50),0,BC50*vlookup(BB50,Ores[],4,FALSE))+if(isblank(BD50),0,BE50*vlookup(BD50,Ores[],4,FALSE))+if(isblank(BF50),0,BG50*vlookup(BF50,Ores[],4,FALSE)))/BH50)</f>
        <v>2.096774194</v>
      </c>
      <c r="BR50" s="21">
        <f>ifs(isblank(AX50),0,BH50="NR","NR",BH50="?","?",1,(AY50*vlookup(AX50,Ores[],8,FALSE)+if(isblank(AZ50),0,BA50*vlookup(AZ50,Ores[],8,FALSE))+if(isblank(BB50),0,BC50*vlookup(BB50,Ores[],8,FALSE))+if(isblank(BD50),0,BE50*vlookup(BD50,Ores[],8,FALSE))+if(isblank(BF50),0,BG50*vlookup(BF50,Ores[],8,FALSE)))/BH50)</f>
        <v>0</v>
      </c>
      <c r="BS50" s="21">
        <f>ifs(isblank(AX50),0,BH50="NR","NR",BH50="?","?",1,(AY50*vlookup(AX50,Ores[],7,FALSE)+if(isblank(AZ50),0,BA50*vlookup(AZ50,Ores[],7,FALSE))+if(isblank(BB50),0,BC50*vlookup(BB50,Ores[],7,FALSE))+if(isblank(BD50),0,BE50*vlookup(BD50,Ores[],7,FALSE))+if(isblank(BF50),0,BG50*vlookup(BF50,Ores[],7,FALSE)))/BH50)</f>
        <v>0</v>
      </c>
      <c r="BT50" s="21">
        <f>ifs(isblank(AX50),0,BH50="NR","NR",BH50="?","?",1,(AY50*vlookup(AX50,Ores[],3,FALSE)+if(isblank(AZ50),0,BA50*vlookup(AZ50,Ores[],3,FALSE))+if(isblank(BB50),0,BC50*vlookup(BB50,Ores[],3,FALSE))+if(isblank(BD50),0,BE50*vlookup(BD50,Ores[],3,FALSE))+if(isblank(BF50),0,BG50*vlookup(BF50,Ores[],3,FALSE)))/BH50)</f>
        <v>1.612903226</v>
      </c>
      <c r="BU50" s="21">
        <f>ifs(isblank(AX50),0,BH50="NR","NR",BH50="?","?",1,(AY50*vlookup(AX50,Ores[],5,FALSE)+if(isblank(AZ50),0,BA50*vlookup(AZ50,Ores[],5,FALSE))+if(isblank(BB50),0,BC50*vlookup(BB50,Ores[],5,FALSE))+if(isblank(BD50),0,BE50*vlookup(BD50,Ores[],5,FALSE))+if(isblank(BF50),0,BG50*vlookup(BF50,Ores[],5,FALSE)))/BH50)</f>
        <v>0</v>
      </c>
      <c r="BV50" s="22">
        <f t="shared" si="7"/>
        <v>6.446808511</v>
      </c>
      <c r="BW50" s="40" t="s">
        <v>116</v>
      </c>
      <c r="BX50" s="41">
        <v>47.0</v>
      </c>
      <c r="BY50" s="47"/>
      <c r="BZ50" s="56">
        <f t="shared" si="8"/>
        <v>12.40909091</v>
      </c>
      <c r="CA50" s="53">
        <f t="shared" si="9"/>
        <v>6.893939394</v>
      </c>
      <c r="CB50" s="41" t="s">
        <v>461</v>
      </c>
      <c r="CC50" s="41" t="s">
        <v>489</v>
      </c>
      <c r="CD50" s="28">
        <f t="shared" si="10"/>
        <v>6.893939394</v>
      </c>
      <c r="CE50" s="43">
        <f t="shared" si="11"/>
        <v>273</v>
      </c>
      <c r="CF50" s="41"/>
      <c r="CG50" s="43"/>
      <c r="CH50" s="43">
        <v>30.0</v>
      </c>
      <c r="CI50" s="43">
        <v>303.0</v>
      </c>
      <c r="CJ50" s="43">
        <v>303.0</v>
      </c>
      <c r="CK50" s="43">
        <v>26.0</v>
      </c>
      <c r="CL50" s="43">
        <v>7.2</v>
      </c>
      <c r="CM50" s="43">
        <v>4.0</v>
      </c>
      <c r="CN50" s="43">
        <v>39.6</v>
      </c>
      <c r="CO50" s="43">
        <v>22.0</v>
      </c>
      <c r="CP50" s="43">
        <v>0.0</v>
      </c>
      <c r="CQ50" s="43">
        <v>0.0</v>
      </c>
      <c r="CR50" s="43" t="s">
        <v>157</v>
      </c>
      <c r="CS50" s="56">
        <v>5.0</v>
      </c>
      <c r="CT50" s="43" t="s">
        <v>234</v>
      </c>
      <c r="CU50" s="30"/>
      <c r="CV50" s="29"/>
      <c r="CW50" s="30">
        <f t="shared" si="12"/>
        <v>0.1923076923</v>
      </c>
      <c r="CX50" s="31">
        <f t="shared" si="19"/>
        <v>0.3368778467</v>
      </c>
      <c r="CY50" s="41"/>
      <c r="CZ50" s="41"/>
      <c r="DA50" s="41" t="s">
        <v>504</v>
      </c>
      <c r="DB50" s="41" t="s">
        <v>535</v>
      </c>
      <c r="DC50" s="41" t="s">
        <v>536</v>
      </c>
      <c r="DD50" s="41"/>
      <c r="DE50" s="41"/>
      <c r="DF50" s="41"/>
      <c r="DG50" s="41"/>
      <c r="DH50" s="41"/>
      <c r="DI50" s="41"/>
      <c r="DJ50" s="41"/>
      <c r="DK50" s="41"/>
      <c r="DL50" s="41"/>
      <c r="DM50" s="45"/>
    </row>
    <row r="51" ht="21.75" customHeight="1">
      <c r="A51" s="33" t="s">
        <v>537</v>
      </c>
      <c r="B51" s="34" t="s">
        <v>538</v>
      </c>
      <c r="C51" s="34" t="s">
        <v>539</v>
      </c>
      <c r="D51" s="34" t="s">
        <v>138</v>
      </c>
      <c r="E51" s="35">
        <v>40825.0</v>
      </c>
      <c r="F51" s="34" t="s">
        <v>540</v>
      </c>
      <c r="G51" s="36" t="s">
        <v>110</v>
      </c>
      <c r="H51" s="34"/>
      <c r="I51" s="34" t="s">
        <v>541</v>
      </c>
      <c r="J51" s="36" t="s">
        <v>276</v>
      </c>
      <c r="K51" s="36">
        <v>1.0</v>
      </c>
      <c r="L51" s="36"/>
      <c r="M51" s="36" t="s">
        <v>150</v>
      </c>
      <c r="N51" s="36" t="s">
        <v>168</v>
      </c>
      <c r="O51" s="34">
        <f t="shared" si="23"/>
        <v>55</v>
      </c>
      <c r="P51" s="34">
        <f t="shared" si="21"/>
        <v>55</v>
      </c>
      <c r="Q51" s="36">
        <v>55.0</v>
      </c>
      <c r="R51" s="34"/>
      <c r="S51" s="34">
        <v>43.0</v>
      </c>
      <c r="T51" s="34">
        <v>40.0</v>
      </c>
      <c r="U51" s="34">
        <v>25.0</v>
      </c>
      <c r="V51" s="34"/>
      <c r="W51" s="34"/>
      <c r="X51" s="34"/>
      <c r="Y51" s="34"/>
      <c r="Z51" s="34"/>
      <c r="AA51" s="37">
        <f>Calcs!O51</f>
        <v>490.9</v>
      </c>
      <c r="AB51" s="34">
        <v>7.5</v>
      </c>
      <c r="AC51" s="34" t="s">
        <v>542</v>
      </c>
      <c r="AD51" s="34" t="s">
        <v>262</v>
      </c>
      <c r="AE51" s="34">
        <v>2.5</v>
      </c>
      <c r="AF51" s="36"/>
      <c r="AG51" s="36">
        <v>20.0</v>
      </c>
      <c r="AH51" s="36" t="s">
        <v>170</v>
      </c>
      <c r="AI51" s="34"/>
      <c r="AJ51" s="34">
        <v>5.0</v>
      </c>
      <c r="AK51" s="34"/>
      <c r="AL51" s="34" t="s">
        <v>184</v>
      </c>
      <c r="AM51" s="36" t="s">
        <v>543</v>
      </c>
      <c r="AN51" s="36">
        <v>8.0</v>
      </c>
      <c r="AO51" s="34">
        <v>13.0</v>
      </c>
      <c r="AP51" s="34"/>
      <c r="AQ51" s="34" t="s">
        <v>254</v>
      </c>
      <c r="AR51" s="34"/>
      <c r="AS51" s="34">
        <v>800.0</v>
      </c>
      <c r="AT51" s="14" t="str">
        <f t="shared" si="3"/>
        <v/>
      </c>
      <c r="AU51" s="12"/>
      <c r="AV51" s="74">
        <v>672.0</v>
      </c>
      <c r="AW51" s="17">
        <f t="shared" si="4"/>
        <v>589.08</v>
      </c>
      <c r="AX51" s="39" t="s">
        <v>295</v>
      </c>
      <c r="AY51" s="36">
        <v>24.5</v>
      </c>
      <c r="AZ51" s="36" t="s">
        <v>544</v>
      </c>
      <c r="BA51" s="36">
        <v>23.5</v>
      </c>
      <c r="BB51" s="36"/>
      <c r="BC51" s="36"/>
      <c r="BD51" s="34"/>
      <c r="BE51" s="34"/>
      <c r="BF51" s="34"/>
      <c r="BG51" s="34"/>
      <c r="BH51" s="18">
        <f t="shared" si="24"/>
        <v>48</v>
      </c>
      <c r="BI51" s="19">
        <f>ifs(BH51=0,"na",BH51="NR","NR",BH51="?","?",BK51&gt;0,"?",iserror(Calcs!AB51),"?",1,Calcs!AB51)</f>
        <v>0.4999001809</v>
      </c>
      <c r="BJ51" s="34" t="s">
        <v>125</v>
      </c>
      <c r="BK51" s="34"/>
      <c r="BL51" s="18">
        <f t="shared" si="6"/>
        <v>48</v>
      </c>
      <c r="BM51" s="34"/>
      <c r="BN51" s="34"/>
      <c r="BO51" s="34" t="s">
        <v>173</v>
      </c>
      <c r="BP51" s="20">
        <f>ifs(isblank(AX51),0,BH51="NR","NR",BH51="?","?",1,(AY51*vlookup(AX51,Ores[],2,FALSE)+if(isblank(AZ51),0,BA51*vlookup(AZ51,Ores[],2,FALSE))+if(isblank(BB51),0,BC51*vlookup(BB51,Ores[],2,FALSE))+if(isblank(BD51),0,BE51*vlookup(BD51,Ores[],2,FALSE))+if(isblank(BF51),0,BG51*vlookup(BF51,Ores[],2,FALSE)))/BH51)</f>
        <v>10.03030578</v>
      </c>
      <c r="BQ51" s="20">
        <f>ifs(isblank(AX51),0,BH51="NR","NR",BH51="?","?",1,(AY51*vlookup(AX51,Ores[],4,FALSE)+if(isblank(AZ51),0,BA51*vlookup(AZ51,Ores[],4,FALSE))+if(isblank(BB51),0,BC51*vlookup(BB51,Ores[],4,FALSE))+if(isblank(BD51),0,BE51*vlookup(BD51,Ores[],4,FALSE))+if(isblank(BF51),0,BG51*vlookup(BF51,Ores[],4,FALSE)))/BH51)</f>
        <v>3.748209005</v>
      </c>
      <c r="BR51" s="21">
        <f>ifs(isblank(AX51),0,BH51="NR","NR",BH51="?","?",1,(AY51*vlookup(AX51,Ores[],8,FALSE)+if(isblank(AZ51),0,BA51*vlookup(AZ51,Ores[],8,FALSE))+if(isblank(BB51),0,BC51*vlookup(BB51,Ores[],8,FALSE))+if(isblank(BD51),0,BE51*vlookup(BD51,Ores[],8,FALSE))+if(isblank(BF51),0,BG51*vlookup(BF51,Ores[],8,FALSE)))/BH51)</f>
        <v>1.199479167</v>
      </c>
      <c r="BS51" s="21">
        <f>ifs(isblank(AX51),0,BH51="NR","NR",BH51="?","?",1,(AY51*vlookup(AX51,Ores[],7,FALSE)+if(isblank(AZ51),0,BA51*vlookup(AZ51,Ores[],7,FALSE))+if(isblank(BB51),0,BC51*vlookup(BB51,Ores[],7,FALSE))+if(isblank(BD51),0,BE51*vlookup(BD51,Ores[],7,FALSE))+if(isblank(BF51),0,BG51*vlookup(BF51,Ores[],7,FALSE)))/BH51)</f>
        <v>0</v>
      </c>
      <c r="BT51" s="21">
        <f>ifs(isblank(AX51),0,BH51="NR","NR",BH51="?","?",1,(AY51*vlookup(AX51,Ores[],3,FALSE)+if(isblank(AZ51),0,BA51*vlookup(AZ51,Ores[],3,FALSE))+if(isblank(BB51),0,BC51*vlookup(BB51,Ores[],3,FALSE))+if(isblank(BD51),0,BE51*vlookup(BD51,Ores[],3,FALSE))+if(isblank(BF51),0,BG51*vlookup(BF51,Ores[],3,FALSE)))/BH51)</f>
        <v>1.116018145</v>
      </c>
      <c r="BU51" s="21">
        <f>ifs(isblank(AX51),0,BH51="NR","NR",BH51="?","?",1,(AY51*vlookup(AX51,Ores[],5,FALSE)+if(isblank(AZ51),0,BA51*vlookup(AZ51,Ores[],5,FALSE))+if(isblank(BB51),0,BC51*vlookup(BB51,Ores[],5,FALSE))+if(isblank(BD51),0,BE51*vlookup(BD51,Ores[],5,FALSE))+if(isblank(BF51),0,BG51*vlookup(BF51,Ores[],5,FALSE)))/BH51)</f>
        <v>1.9753125</v>
      </c>
      <c r="BV51" s="22">
        <f t="shared" si="7"/>
        <v>5.307692308</v>
      </c>
      <c r="BW51" s="40">
        <v>116.0</v>
      </c>
      <c r="BX51" s="41">
        <v>65.0</v>
      </c>
      <c r="BY51" s="47"/>
      <c r="BZ51" s="56">
        <f t="shared" si="8"/>
        <v>9.25</v>
      </c>
      <c r="CA51" s="53">
        <f t="shared" si="9"/>
        <v>5.206030151</v>
      </c>
      <c r="CB51" s="41" t="s">
        <v>461</v>
      </c>
      <c r="CC51" s="41" t="s">
        <v>489</v>
      </c>
      <c r="CD51" s="28">
        <f t="shared" si="10"/>
        <v>5.206030151</v>
      </c>
      <c r="CE51" s="43">
        <f t="shared" si="11"/>
        <v>259</v>
      </c>
      <c r="CF51" s="41"/>
      <c r="CG51" s="43"/>
      <c r="CH51" s="43">
        <v>55.0</v>
      </c>
      <c r="CI51" s="43">
        <v>314.0</v>
      </c>
      <c r="CJ51" s="43">
        <v>345.0</v>
      </c>
      <c r="CK51" s="43">
        <v>28.0</v>
      </c>
      <c r="CL51" s="43">
        <v>5.5</v>
      </c>
      <c r="CM51" s="43">
        <v>3.0</v>
      </c>
      <c r="CN51" s="43">
        <v>49.75</v>
      </c>
      <c r="CO51" s="43">
        <v>28.0</v>
      </c>
      <c r="CP51" s="43">
        <v>4.0</v>
      </c>
      <c r="CQ51" s="43">
        <v>2.0</v>
      </c>
      <c r="CR51" s="43" t="s">
        <v>257</v>
      </c>
      <c r="CS51" s="44">
        <v>0.0</v>
      </c>
      <c r="CT51" s="43" t="s">
        <v>118</v>
      </c>
      <c r="CU51" s="30"/>
      <c r="CV51" s="29"/>
      <c r="CW51" s="30" t="str">
        <f t="shared" si="12"/>
        <v>na</v>
      </c>
      <c r="CX51" s="31" t="str">
        <f t="shared" si="19"/>
        <v>na</v>
      </c>
      <c r="CY51" s="41" t="s">
        <v>516</v>
      </c>
      <c r="CZ51" s="41">
        <v>40.0</v>
      </c>
      <c r="DA51" s="41" t="s">
        <v>545</v>
      </c>
      <c r="DB51" s="41" t="s">
        <v>546</v>
      </c>
      <c r="DC51" s="41" t="s">
        <v>547</v>
      </c>
      <c r="DD51" s="41"/>
      <c r="DE51" s="41"/>
      <c r="DF51" s="41"/>
      <c r="DG51" s="41"/>
      <c r="DH51" s="41"/>
      <c r="DI51" s="41"/>
      <c r="DJ51" s="41"/>
      <c r="DK51" s="41"/>
      <c r="DL51" s="41"/>
      <c r="DM51" s="45"/>
    </row>
    <row r="52" ht="21.75" customHeight="1">
      <c r="A52" s="33">
        <v>49.0</v>
      </c>
      <c r="B52" s="34" t="s">
        <v>548</v>
      </c>
      <c r="C52" s="34" t="s">
        <v>549</v>
      </c>
      <c r="D52" s="34" t="s">
        <v>138</v>
      </c>
      <c r="E52" s="35">
        <v>40852.0</v>
      </c>
      <c r="F52" s="34" t="s">
        <v>540</v>
      </c>
      <c r="G52" s="36" t="s">
        <v>110</v>
      </c>
      <c r="H52" s="34"/>
      <c r="I52" s="34" t="s">
        <v>541</v>
      </c>
      <c r="J52" s="36" t="s">
        <v>276</v>
      </c>
      <c r="K52" s="36">
        <v>2.0</v>
      </c>
      <c r="L52" s="36" t="s">
        <v>537</v>
      </c>
      <c r="M52" s="36" t="s">
        <v>150</v>
      </c>
      <c r="N52" s="36" t="s">
        <v>168</v>
      </c>
      <c r="O52" s="34">
        <f t="shared" si="23"/>
        <v>55</v>
      </c>
      <c r="P52" s="34">
        <f t="shared" si="21"/>
        <v>55</v>
      </c>
      <c r="Q52" s="36">
        <v>55.0</v>
      </c>
      <c r="R52" s="34"/>
      <c r="S52" s="34">
        <v>43.0</v>
      </c>
      <c r="T52" s="34">
        <v>40.0</v>
      </c>
      <c r="U52" s="34">
        <v>25.0</v>
      </c>
      <c r="V52" s="34"/>
      <c r="W52" s="34"/>
      <c r="X52" s="34"/>
      <c r="Y52" s="34"/>
      <c r="Z52" s="34"/>
      <c r="AA52" s="37">
        <f>Calcs!O52</f>
        <v>490.9</v>
      </c>
      <c r="AB52" s="34">
        <v>7.5</v>
      </c>
      <c r="AC52" s="34" t="s">
        <v>542</v>
      </c>
      <c r="AD52" s="34" t="s">
        <v>262</v>
      </c>
      <c r="AE52" s="34">
        <v>2.5</v>
      </c>
      <c r="AF52" s="36"/>
      <c r="AG52" s="36">
        <v>20.0</v>
      </c>
      <c r="AH52" s="36" t="s">
        <v>170</v>
      </c>
      <c r="AI52" s="34"/>
      <c r="AJ52" s="78">
        <v>5.0</v>
      </c>
      <c r="AK52" s="78"/>
      <c r="AL52" s="34" t="s">
        <v>184</v>
      </c>
      <c r="AM52" s="36" t="s">
        <v>543</v>
      </c>
      <c r="AN52" s="36" t="s">
        <v>116</v>
      </c>
      <c r="AO52" s="34">
        <v>10.0</v>
      </c>
      <c r="AP52" s="34"/>
      <c r="AQ52" s="34" t="s">
        <v>254</v>
      </c>
      <c r="AR52" s="34"/>
      <c r="AS52" s="34">
        <v>900.0</v>
      </c>
      <c r="AT52" s="14" t="str">
        <f t="shared" si="3"/>
        <v/>
      </c>
      <c r="AU52" s="12"/>
      <c r="AV52" s="74">
        <v>756.0</v>
      </c>
      <c r="AW52" s="17">
        <f t="shared" si="4"/>
        <v>589.08</v>
      </c>
      <c r="AX52" s="36" t="s">
        <v>225</v>
      </c>
      <c r="AY52" s="36">
        <v>19.2</v>
      </c>
      <c r="AZ52" s="34"/>
      <c r="BA52" s="34"/>
      <c r="BB52" s="34"/>
      <c r="BC52" s="34"/>
      <c r="BD52" s="34"/>
      <c r="BE52" s="34"/>
      <c r="BF52" s="34"/>
      <c r="BG52" s="34"/>
      <c r="BH52" s="18">
        <f t="shared" si="24"/>
        <v>19.2</v>
      </c>
      <c r="BI52" s="19">
        <f>ifs(BH52=0,"na",BH52="NR","NR",BH52="?","?",BK52&gt;0,"?",iserror(Calcs!AB52),"?",1,Calcs!AB52)</f>
        <v>0.6539677619</v>
      </c>
      <c r="BJ52" s="34" t="s">
        <v>125</v>
      </c>
      <c r="BK52" s="34"/>
      <c r="BL52" s="18">
        <f t="shared" si="6"/>
        <v>19.2</v>
      </c>
      <c r="BM52" s="34"/>
      <c r="BN52" s="34"/>
      <c r="BO52" s="34" t="s">
        <v>173</v>
      </c>
      <c r="BP52" s="20">
        <f>ifs(isblank(AX52),0,BH52="NR","NR",BH52="?","?",1,(AY52*vlookup(AX52,Ores[],2,FALSE)+if(isblank(AZ52),0,BA52*vlookup(AZ52,Ores[],2,FALSE))+if(isblank(BB52),0,BC52*vlookup(BB52,Ores[],2,FALSE))+if(isblank(BD52),0,BE52*vlookup(BD52,Ores[],2,FALSE))+if(isblank(BF52),0,BG52*vlookup(BF52,Ores[],2,FALSE)))/BH52)</f>
        <v>4.87</v>
      </c>
      <c r="BQ52" s="20">
        <f>ifs(isblank(AX52),0,BH52="NR","NR",BH52="?","?",1,(AY52*vlookup(AX52,Ores[],4,FALSE)+if(isblank(AZ52),0,BA52*vlookup(AZ52,Ores[],4,FALSE))+if(isblank(BB52),0,BC52*vlookup(BB52,Ores[],4,FALSE))+if(isblank(BD52),0,BE52*vlookup(BD52,Ores[],4,FALSE))+if(isblank(BF52),0,BG52*vlookup(BF52,Ores[],4,FALSE)))/BH52)</f>
        <v>0.22</v>
      </c>
      <c r="BR52" s="21">
        <f>ifs(isblank(AX52),0,BH52="NR","NR",BH52="?","?",1,(AY52*vlookup(AX52,Ores[],8,FALSE)+if(isblank(AZ52),0,BA52*vlookup(AZ52,Ores[],8,FALSE))+if(isblank(BB52),0,BC52*vlookup(BB52,Ores[],8,FALSE))+if(isblank(BD52),0,BE52*vlookup(BD52,Ores[],8,FALSE))+if(isblank(BF52),0,BG52*vlookup(BF52,Ores[],8,FALSE)))/BH52)</f>
        <v>0</v>
      </c>
      <c r="BS52" s="21">
        <f>ifs(isblank(AX52),0,BH52="NR","NR",BH52="?","?",1,(AY52*vlookup(AX52,Ores[],7,FALSE)+if(isblank(AZ52),0,BA52*vlookup(AZ52,Ores[],7,FALSE))+if(isblank(BB52),0,BC52*vlookup(BB52,Ores[],7,FALSE))+if(isblank(BD52),0,BE52*vlookup(BD52,Ores[],7,FALSE))+if(isblank(BF52),0,BG52*vlookup(BF52,Ores[],7,FALSE)))/BH52)</f>
        <v>0</v>
      </c>
      <c r="BT52" s="21">
        <f>ifs(isblank(AX52),0,BH52="NR","NR",BH52="?","?",1,(AY52*vlookup(AX52,Ores[],3,FALSE)+if(isblank(AZ52),0,BA52*vlookup(AZ52,Ores[],3,FALSE))+if(isblank(BB52),0,BC52*vlookup(BB52,Ores[],3,FALSE))+if(isblank(BD52),0,BE52*vlookup(BD52,Ores[],3,FALSE))+if(isblank(BF52),0,BG52*vlookup(BF52,Ores[],3,FALSE)))/BH52)</f>
        <v>0.36</v>
      </c>
      <c r="BU52" s="21">
        <f>ifs(isblank(AX52),0,BH52="NR","NR",BH52="?","?",1,(AY52*vlookup(AX52,Ores[],5,FALSE)+if(isblank(AZ52),0,BA52*vlookup(AZ52,Ores[],5,FALSE))+if(isblank(BB52),0,BC52*vlookup(BB52,Ores[],5,FALSE))+if(isblank(BD52),0,BE52*vlookup(BD52,Ores[],5,FALSE))+if(isblank(BF52),0,BG52*vlookup(BF52,Ores[],5,FALSE)))/BH52)</f>
        <v>0.19</v>
      </c>
      <c r="BV52" s="22">
        <f t="shared" si="7"/>
        <v>5.567010309</v>
      </c>
      <c r="BW52" s="40">
        <v>50.0</v>
      </c>
      <c r="BX52" s="41">
        <v>48.5</v>
      </c>
      <c r="BY52" s="47"/>
      <c r="BZ52" s="56">
        <f t="shared" si="8"/>
        <v>10.14285714</v>
      </c>
      <c r="CA52" s="53">
        <f t="shared" si="9"/>
        <v>5.399239544</v>
      </c>
      <c r="CB52" s="41" t="s">
        <v>461</v>
      </c>
      <c r="CC52" s="41" t="s">
        <v>489</v>
      </c>
      <c r="CD52" s="28">
        <f t="shared" si="10"/>
        <v>5.399239544</v>
      </c>
      <c r="CE52" s="43">
        <f t="shared" si="11"/>
        <v>142</v>
      </c>
      <c r="CF52" s="41"/>
      <c r="CG52" s="43"/>
      <c r="CH52" s="43">
        <v>81.0</v>
      </c>
      <c r="CI52" s="43">
        <v>223.0</v>
      </c>
      <c r="CJ52" s="43">
        <v>270.0</v>
      </c>
      <c r="CK52" s="43">
        <v>14.0</v>
      </c>
      <c r="CL52" s="43">
        <v>8.5</v>
      </c>
      <c r="CM52" s="43">
        <v>4.0</v>
      </c>
      <c r="CN52" s="43">
        <v>26.3</v>
      </c>
      <c r="CO52" s="43">
        <v>14.0</v>
      </c>
      <c r="CP52" s="43">
        <v>3.6</v>
      </c>
      <c r="CQ52" s="43">
        <v>2.0</v>
      </c>
      <c r="CR52" s="41" t="s">
        <v>129</v>
      </c>
      <c r="CS52" s="53">
        <v>6.4</v>
      </c>
      <c r="CT52" s="43" t="s">
        <v>234</v>
      </c>
      <c r="CU52" s="30"/>
      <c r="CV52" s="29"/>
      <c r="CW52" s="30">
        <f t="shared" si="12"/>
        <v>0.3333333333</v>
      </c>
      <c r="CX52" s="31">
        <f t="shared" si="19"/>
        <v>0.5097091214</v>
      </c>
      <c r="CY52" s="43" t="s">
        <v>550</v>
      </c>
      <c r="CZ52" s="41">
        <v>7.1</v>
      </c>
      <c r="DA52" s="41" t="s">
        <v>545</v>
      </c>
      <c r="DB52" s="41" t="s">
        <v>546</v>
      </c>
      <c r="DC52" s="41" t="s">
        <v>551</v>
      </c>
      <c r="DD52" s="41"/>
      <c r="DE52" s="41"/>
      <c r="DF52" s="41"/>
      <c r="DG52" s="41"/>
      <c r="DH52" s="41"/>
      <c r="DI52" s="41"/>
      <c r="DJ52" s="41"/>
      <c r="DK52" s="41"/>
      <c r="DL52" s="41"/>
      <c r="DM52" s="45"/>
    </row>
    <row r="53" ht="21.75" customHeight="1">
      <c r="A53" s="33">
        <v>50.0</v>
      </c>
      <c r="B53" s="34" t="s">
        <v>552</v>
      </c>
      <c r="C53" s="34"/>
      <c r="D53" s="34" t="s">
        <v>138</v>
      </c>
      <c r="E53" s="35">
        <v>41034.0</v>
      </c>
      <c r="F53" s="36" t="s">
        <v>194</v>
      </c>
      <c r="G53" s="36" t="s">
        <v>110</v>
      </c>
      <c r="H53" s="34"/>
      <c r="I53" s="36" t="s">
        <v>366</v>
      </c>
      <c r="J53" s="36" t="s">
        <v>553</v>
      </c>
      <c r="K53" s="36">
        <v>1.0</v>
      </c>
      <c r="L53" s="36"/>
      <c r="M53" s="36" t="s">
        <v>150</v>
      </c>
      <c r="N53" s="36" t="s">
        <v>151</v>
      </c>
      <c r="O53" s="34">
        <f t="shared" si="23"/>
        <v>77</v>
      </c>
      <c r="P53" s="34">
        <f t="shared" si="21"/>
        <v>77</v>
      </c>
      <c r="Q53" s="36">
        <v>77.0</v>
      </c>
      <c r="R53" s="34"/>
      <c r="S53" s="34">
        <v>48.0</v>
      </c>
      <c r="T53" s="34" t="s">
        <v>554</v>
      </c>
      <c r="U53" s="36">
        <v>29.0</v>
      </c>
      <c r="V53" s="36">
        <v>25.5</v>
      </c>
      <c r="W53" s="36"/>
      <c r="X53" s="36">
        <v>28.5</v>
      </c>
      <c r="Y53" s="36"/>
      <c r="Z53" s="34"/>
      <c r="AA53" s="37">
        <f>Calcs!O53</f>
        <v>637.9</v>
      </c>
      <c r="AB53" s="34" t="s">
        <v>555</v>
      </c>
      <c r="AC53" s="34" t="s">
        <v>556</v>
      </c>
      <c r="AD53" s="34" t="s">
        <v>253</v>
      </c>
      <c r="AE53" s="36">
        <v>2.5</v>
      </c>
      <c r="AF53" s="36" t="s">
        <v>123</v>
      </c>
      <c r="AG53" s="36">
        <v>20.0</v>
      </c>
      <c r="AH53" s="36" t="s">
        <v>170</v>
      </c>
      <c r="AI53" s="34"/>
      <c r="AJ53" s="34">
        <v>5.0</v>
      </c>
      <c r="AK53" s="34"/>
      <c r="AL53" s="34" t="s">
        <v>184</v>
      </c>
      <c r="AM53" s="34"/>
      <c r="AN53" s="36">
        <v>5.5</v>
      </c>
      <c r="AO53" s="34">
        <v>15.0</v>
      </c>
      <c r="AP53" s="34"/>
      <c r="AQ53" s="34" t="s">
        <v>254</v>
      </c>
      <c r="AR53" s="34"/>
      <c r="AS53" s="34">
        <v>800.0</v>
      </c>
      <c r="AT53" s="14" t="str">
        <f t="shared" si="3"/>
        <v/>
      </c>
      <c r="AU53" s="12"/>
      <c r="AV53" s="74">
        <v>672.0</v>
      </c>
      <c r="AW53" s="17">
        <f t="shared" si="4"/>
        <v>765.48</v>
      </c>
      <c r="AX53" s="39" t="s">
        <v>438</v>
      </c>
      <c r="AY53" s="36">
        <v>42.9</v>
      </c>
      <c r="AZ53" s="36"/>
      <c r="BA53" s="36"/>
      <c r="BB53" s="36"/>
      <c r="BC53" s="36"/>
      <c r="BD53" s="34"/>
      <c r="BE53" s="34"/>
      <c r="BF53" s="34"/>
      <c r="BG53" s="34"/>
      <c r="BH53" s="73">
        <v>43.9</v>
      </c>
      <c r="BI53" s="19">
        <f>ifs(BH53=0,"na",BH53="NR","NR",BH53="?","?",BK53&gt;0,"?",iserror(Calcs!AB53),"?",1,Calcs!AB53)</f>
        <v>0.5109834022</v>
      </c>
      <c r="BJ53" s="34" t="s">
        <v>125</v>
      </c>
      <c r="BK53" s="34"/>
      <c r="BL53" s="18">
        <f t="shared" si="6"/>
        <v>43.9</v>
      </c>
      <c r="BM53" s="34"/>
      <c r="BN53" s="34"/>
      <c r="BO53" s="34" t="s">
        <v>173</v>
      </c>
      <c r="BP53" s="20">
        <f>ifs(isblank(AX53),0,BH53="NR","NR",BH53="?","?",1,(AY53*vlookup(AX53,Ores[],2,FALSE)+if(isblank(AZ53),0,BA53*vlookup(AZ53,Ores[],2,FALSE))+if(isblank(BB53),0,BC53*vlookup(BB53,Ores[],2,FALSE))+if(isblank(BD53),0,BE53*vlookup(BD53,Ores[],2,FALSE))+if(isblank(BF53),0,BG53*vlookup(BF53,Ores[],2,FALSE)))/BH53)</f>
        <v>2.413735763</v>
      </c>
      <c r="BQ53" s="20">
        <f>ifs(isblank(AX53),0,BH53="NR","NR",BH53="?","?",1,(AY53*vlookup(AX53,Ores[],4,FALSE)+if(isblank(AZ53),0,BA53*vlookup(AZ53,Ores[],4,FALSE))+if(isblank(BB53),0,BC53*vlookup(BB53,Ores[],4,FALSE))+if(isblank(BD53),0,BE53*vlookup(BD53,Ores[],4,FALSE))+if(isblank(BF53),0,BG53*vlookup(BF53,Ores[],4,FALSE)))/BH53)</f>
        <v>1.289931663</v>
      </c>
      <c r="BR53" s="21">
        <f>ifs(isblank(AX53),0,BH53="NR","NR",BH53="?","?",1,(AY53*vlookup(AX53,Ores[],8,FALSE)+if(isblank(AZ53),0,BA53*vlookup(AZ53,Ores[],8,FALSE))+if(isblank(BB53),0,BC53*vlookup(BB53,Ores[],8,FALSE))+if(isblank(BD53),0,BE53*vlookup(BD53,Ores[],8,FALSE))+if(isblank(BF53),0,BG53*vlookup(BF53,Ores[],8,FALSE)))/BH53)</f>
        <v>2.807555809</v>
      </c>
      <c r="BS53" s="21">
        <f>ifs(isblank(AX53),0,BH53="NR","NR",BH53="?","?",1,(AY53*vlookup(AX53,Ores[],7,FALSE)+if(isblank(AZ53),0,BA53*vlookup(AZ53,Ores[],7,FALSE))+if(isblank(BB53),0,BC53*vlookup(BB53,Ores[],7,FALSE))+if(isblank(BD53),0,BE53*vlookup(BD53,Ores[],7,FALSE))+if(isblank(BF53),0,BG53*vlookup(BF53,Ores[],7,FALSE)))/BH53)</f>
        <v>0.008697266515</v>
      </c>
      <c r="BT53" s="21">
        <f>ifs(isblank(AX53),0,BH53="NR","NR",BH53="?","?",1,(AY53*vlookup(AX53,Ores[],3,FALSE)+if(isblank(AZ53),0,BA53*vlookup(AZ53,Ores[],3,FALSE))+if(isblank(BB53),0,BC53*vlookup(BB53,Ores[],3,FALSE))+if(isblank(BD53),0,BE53*vlookup(BD53,Ores[],3,FALSE))+if(isblank(BF53),0,BG53*vlookup(BF53,Ores[],3,FALSE)))/BH53)</f>
        <v>0.004886104784</v>
      </c>
      <c r="BU53" s="21">
        <f>ifs(isblank(AX53),0,BH53="NR","NR",BH53="?","?",1,(AY53*vlookup(AX53,Ores[],5,FALSE)+if(isblank(AZ53),0,BA53*vlookup(AZ53,Ores[],5,FALSE))+if(isblank(BB53),0,BC53*vlookup(BB53,Ores[],5,FALSE))+if(isblank(BD53),0,BE53*vlookup(BD53,Ores[],5,FALSE))+if(isblank(BF53),0,BG53*vlookup(BF53,Ores[],5,FALSE)))/BH53)</f>
        <v>0.4329088838</v>
      </c>
      <c r="BV53" s="22">
        <f t="shared" si="7"/>
        <v>11.18181818</v>
      </c>
      <c r="BW53" s="40">
        <v>120.0</v>
      </c>
      <c r="BX53" s="41">
        <v>55.0</v>
      </c>
      <c r="BY53" s="47"/>
      <c r="BZ53" s="56">
        <f t="shared" si="8"/>
        <v>15.61904762</v>
      </c>
      <c r="CA53" s="53">
        <f t="shared" si="9"/>
        <v>8.728046833</v>
      </c>
      <c r="CB53" s="43" t="s">
        <v>557</v>
      </c>
      <c r="CC53" s="41" t="s">
        <v>558</v>
      </c>
      <c r="CD53" s="28">
        <f t="shared" si="10"/>
        <v>8.728046833</v>
      </c>
      <c r="CE53" s="43">
        <f t="shared" si="11"/>
        <v>328</v>
      </c>
      <c r="CF53" s="41"/>
      <c r="CG53" s="43"/>
      <c r="CH53" s="43">
        <v>200.0</v>
      </c>
      <c r="CI53" s="43">
        <v>528.0</v>
      </c>
      <c r="CJ53" s="43">
        <v>615.0</v>
      </c>
      <c r="CK53" s="43">
        <v>22.0</v>
      </c>
      <c r="CL53" s="43">
        <v>8.46</v>
      </c>
      <c r="CM53" s="43">
        <v>5.0</v>
      </c>
      <c r="CN53" s="43">
        <v>37.58</v>
      </c>
      <c r="CO53" s="43">
        <v>21.0</v>
      </c>
      <c r="CP53" s="43">
        <v>4.62</v>
      </c>
      <c r="CQ53" s="43">
        <v>3.0</v>
      </c>
      <c r="CR53" s="43" t="s">
        <v>559</v>
      </c>
      <c r="CS53" s="53">
        <v>12.27</v>
      </c>
      <c r="CT53" s="43" t="s">
        <v>454</v>
      </c>
      <c r="CU53" s="30"/>
      <c r="CV53" s="58">
        <v>6.93</v>
      </c>
      <c r="CW53" s="30">
        <f t="shared" si="12"/>
        <v>0.279498861</v>
      </c>
      <c r="CX53" s="31">
        <f t="shared" si="19"/>
        <v>0.5469822695</v>
      </c>
      <c r="CY53" s="41"/>
      <c r="CZ53" s="41"/>
      <c r="DA53" s="41" t="s">
        <v>560</v>
      </c>
      <c r="DB53" s="41" t="s">
        <v>561</v>
      </c>
      <c r="DC53" s="41" t="s">
        <v>562</v>
      </c>
      <c r="DD53" s="41"/>
      <c r="DE53" s="41"/>
      <c r="DF53" s="41"/>
      <c r="DG53" s="41"/>
      <c r="DH53" s="41"/>
      <c r="DI53" s="41"/>
      <c r="DJ53" s="41"/>
      <c r="DK53" s="41"/>
      <c r="DL53" s="41"/>
      <c r="DM53" s="45"/>
    </row>
    <row r="54" ht="21.75" customHeight="1">
      <c r="A54" s="33" t="s">
        <v>563</v>
      </c>
      <c r="B54" s="34" t="s">
        <v>564</v>
      </c>
      <c r="C54" s="34" t="s">
        <v>137</v>
      </c>
      <c r="D54" s="34" t="s">
        <v>138</v>
      </c>
      <c r="E54" s="35">
        <v>41055.0</v>
      </c>
      <c r="F54" s="34" t="s">
        <v>347</v>
      </c>
      <c r="G54" s="36" t="s">
        <v>123</v>
      </c>
      <c r="H54" s="36" t="s">
        <v>348</v>
      </c>
      <c r="I54" s="34" t="s">
        <v>443</v>
      </c>
      <c r="J54" s="36" t="s">
        <v>459</v>
      </c>
      <c r="K54" s="34"/>
      <c r="L54" s="34"/>
      <c r="M54" s="36" t="s">
        <v>427</v>
      </c>
      <c r="N54" s="36" t="s">
        <v>168</v>
      </c>
      <c r="O54" s="34">
        <f t="shared" si="23"/>
        <v>60</v>
      </c>
      <c r="P54" s="34">
        <f t="shared" si="21"/>
        <v>60</v>
      </c>
      <c r="Q54" s="36">
        <v>60.0</v>
      </c>
      <c r="R54" s="34"/>
      <c r="S54" s="34">
        <v>48.0</v>
      </c>
      <c r="T54" s="34" t="s">
        <v>565</v>
      </c>
      <c r="U54" s="36">
        <v>28.0</v>
      </c>
      <c r="V54" s="36">
        <v>26.0</v>
      </c>
      <c r="W54" s="51"/>
      <c r="X54" s="51"/>
      <c r="Y54" s="51"/>
      <c r="Z54" s="51"/>
      <c r="AA54" s="37">
        <f>Calcs!O54</f>
        <v>571.8</v>
      </c>
      <c r="AB54" s="34">
        <v>4.0</v>
      </c>
      <c r="AC54" s="34" t="s">
        <v>566</v>
      </c>
      <c r="AD54" s="34" t="s">
        <v>262</v>
      </c>
      <c r="AE54" s="34">
        <v>2.5</v>
      </c>
      <c r="AF54" s="65"/>
      <c r="AG54" s="65">
        <v>22.0</v>
      </c>
      <c r="AH54" s="36" t="s">
        <v>170</v>
      </c>
      <c r="AI54" s="34"/>
      <c r="AJ54" s="34">
        <v>5.0</v>
      </c>
      <c r="AK54" s="34"/>
      <c r="AL54" s="36" t="s">
        <v>567</v>
      </c>
      <c r="AM54" s="36" t="s">
        <v>568</v>
      </c>
      <c r="AN54" s="36">
        <v>0.0</v>
      </c>
      <c r="AO54" s="34">
        <v>10.0</v>
      </c>
      <c r="AP54" s="34"/>
      <c r="AQ54" s="34" t="s">
        <v>254</v>
      </c>
      <c r="AR54" s="34"/>
      <c r="AS54" s="34">
        <v>800.0</v>
      </c>
      <c r="AT54" s="14" t="str">
        <f t="shared" si="3"/>
        <v/>
      </c>
      <c r="AU54" s="12"/>
      <c r="AV54" s="74">
        <v>672.0</v>
      </c>
      <c r="AW54" s="17">
        <f t="shared" si="4"/>
        <v>686.16</v>
      </c>
      <c r="AX54" s="36" t="s">
        <v>569</v>
      </c>
      <c r="AY54" s="36">
        <v>31.8</v>
      </c>
      <c r="AZ54" s="34"/>
      <c r="BA54" s="34"/>
      <c r="BB54" s="34"/>
      <c r="BC54" s="34"/>
      <c r="BD54" s="34"/>
      <c r="BE54" s="34"/>
      <c r="BF54" s="34"/>
      <c r="BG54" s="34"/>
      <c r="BH54" s="18">
        <f t="shared" ref="BH54:BH103" si="25">ifs(OR(AY54="NR",BA54="NR",BC54="NR",BE54="NR",BG54="NR"),"NR",OR(AY54="?",BA54="?",BC54="?",BE54="?",BG54="?"),"?",1,AY54+BA54+BC54+BE54+BG54)</f>
        <v>31.8</v>
      </c>
      <c r="BI54" s="19">
        <f>ifs(BH54=0,"na",BH54="NR","NR",BH54="?","?",BK54&gt;0,"?",iserror(Calcs!AB54),"?",1,Calcs!AB54)</f>
        <v>0.5237823369</v>
      </c>
      <c r="BJ54" s="34" t="s">
        <v>282</v>
      </c>
      <c r="BK54" s="34"/>
      <c r="BL54" s="18">
        <f t="shared" si="6"/>
        <v>31.8</v>
      </c>
      <c r="BM54" s="34"/>
      <c r="BN54" s="34"/>
      <c r="BO54" s="34" t="s">
        <v>382</v>
      </c>
      <c r="BP54" s="20">
        <f>ifs(isblank(AX54),0,BH54="NR","NR",BH54="?","?",1,(AY54*vlookup(AX54,Ores[],2,FALSE)+if(isblank(AZ54),0,BA54*vlookup(AZ54,Ores[],2,FALSE))+if(isblank(BB54),0,BC54*vlookup(BB54,Ores[],2,FALSE))+if(isblank(BD54),0,BE54*vlookup(BD54,Ores[],2,FALSE))+if(isblank(BF54),0,BG54*vlookup(BF54,Ores[],2,FALSE)))/BH54)</f>
        <v>4.684956286</v>
      </c>
      <c r="BQ54" s="20">
        <f>ifs(isblank(AX54),0,BH54="NR","NR",BH54="?","?",1,(AY54*vlookup(AX54,Ores[],4,FALSE)+if(isblank(AZ54),0,BA54*vlookup(AZ54,Ores[],4,FALSE))+if(isblank(BB54),0,BC54*vlookup(BB54,Ores[],4,FALSE))+if(isblank(BD54),0,BE54*vlookup(BD54,Ores[],4,FALSE))+if(isblank(BF54),0,BG54*vlookup(BF54,Ores[],4,FALSE)))/BH54)</f>
        <v>2.403778515</v>
      </c>
      <c r="BR54" s="21">
        <f>ifs(isblank(AX54),0,BH54="NR","NR",BH54="?","?",1,(AY54*vlookup(AX54,Ores[],8,FALSE)+if(isblank(AZ54),0,BA54*vlookup(AZ54,Ores[],8,FALSE))+if(isblank(BB54),0,BC54*vlookup(BB54,Ores[],8,FALSE))+if(isblank(BD54),0,BE54*vlookup(BD54,Ores[],8,FALSE))+if(isblank(BF54),0,BG54*vlookup(BF54,Ores[],8,FALSE)))/BH54)</f>
        <v>0</v>
      </c>
      <c r="BS54" s="21">
        <f>ifs(isblank(AX54),0,BH54="NR","NR",BH54="?","?",1,(AY54*vlookup(AX54,Ores[],7,FALSE)+if(isblank(AZ54),0,BA54*vlookup(AZ54,Ores[],7,FALSE))+if(isblank(BB54),0,BC54*vlookup(BB54,Ores[],7,FALSE))+if(isblank(BD54),0,BE54*vlookup(BD54,Ores[],7,FALSE))+if(isblank(BF54),0,BG54*vlookup(BF54,Ores[],7,FALSE)))/BH54)</f>
        <v>0</v>
      </c>
      <c r="BT54" s="21">
        <f>ifs(isblank(AX54),0,BH54="NR","NR",BH54="?","?",1,(AY54*vlookup(AX54,Ores[],3,FALSE)+if(isblank(AZ54),0,BA54*vlookup(AZ54,Ores[],3,FALSE))+if(isblank(BB54),0,BC54*vlookup(BB54,Ores[],3,FALSE))+if(isblank(BD54),0,BE54*vlookup(BD54,Ores[],3,FALSE))+if(isblank(BF54),0,BG54*vlookup(BF54,Ores[],3,FALSE)))/BH54)</f>
        <v>1.849060396</v>
      </c>
      <c r="BU54" s="21">
        <f>ifs(isblank(AX54),0,BH54="NR","NR",BH54="?","?",1,(AY54*vlookup(AX54,Ores[],5,FALSE)+if(isblank(AZ54),0,BA54*vlookup(AZ54,Ores[],5,FALSE))+if(isblank(BB54),0,BC54*vlookup(BB54,Ores[],5,FALSE))+if(isblank(BD54),0,BE54*vlookup(BD54,Ores[],5,FALSE))+if(isblank(BF54),0,BG54*vlookup(BF54,Ores[],5,FALSE)))/BH54)</f>
        <v>0</v>
      </c>
      <c r="BV54" s="22">
        <f t="shared" si="7"/>
        <v>6.734693878</v>
      </c>
      <c r="BW54" s="40">
        <v>60.0</v>
      </c>
      <c r="BX54" s="41">
        <v>49.0</v>
      </c>
      <c r="BY54" s="47"/>
      <c r="BZ54" s="56">
        <f t="shared" si="8"/>
        <v>12.44444444</v>
      </c>
      <c r="CA54" s="53">
        <f t="shared" si="9"/>
        <v>8.296296296</v>
      </c>
      <c r="CB54" s="41" t="s">
        <v>461</v>
      </c>
      <c r="CC54" s="41" t="s">
        <v>489</v>
      </c>
      <c r="CD54" s="28">
        <f t="shared" si="10"/>
        <v>8.296296296</v>
      </c>
      <c r="CE54" s="43">
        <f t="shared" si="11"/>
        <v>224</v>
      </c>
      <c r="CF54" s="41"/>
      <c r="CG54" s="43"/>
      <c r="CH54" s="43">
        <v>77.0</v>
      </c>
      <c r="CI54" s="43">
        <v>301.0</v>
      </c>
      <c r="CJ54" s="43">
        <v>330.0</v>
      </c>
      <c r="CK54" s="43">
        <v>18.0</v>
      </c>
      <c r="CL54" s="43">
        <v>14.1</v>
      </c>
      <c r="CM54" s="43">
        <v>6.0</v>
      </c>
      <c r="CN54" s="43">
        <v>27.0</v>
      </c>
      <c r="CO54" s="43">
        <v>18.0</v>
      </c>
      <c r="CP54" s="43">
        <v>1.8</v>
      </c>
      <c r="CQ54" s="43">
        <v>1.0</v>
      </c>
      <c r="CR54" s="41" t="s">
        <v>129</v>
      </c>
      <c r="CS54" s="53">
        <v>5.8</v>
      </c>
      <c r="CT54" s="43" t="s">
        <v>216</v>
      </c>
      <c r="CU54" s="30"/>
      <c r="CV54" s="58" t="s">
        <v>570</v>
      </c>
      <c r="CW54" s="30">
        <f t="shared" si="12"/>
        <v>0.1823899371</v>
      </c>
      <c r="CX54" s="31">
        <f t="shared" si="19"/>
        <v>0.3482170441</v>
      </c>
      <c r="CY54" s="41"/>
      <c r="CZ54" s="41"/>
      <c r="DA54" s="41" t="s">
        <v>571</v>
      </c>
      <c r="DB54" s="41" t="s">
        <v>572</v>
      </c>
      <c r="DC54" s="41" t="s">
        <v>573</v>
      </c>
      <c r="DD54" s="41"/>
      <c r="DE54" s="41"/>
      <c r="DF54" s="41"/>
      <c r="DG54" s="41"/>
      <c r="DH54" s="41"/>
      <c r="DI54" s="41"/>
      <c r="DJ54" s="41"/>
      <c r="DK54" s="41"/>
      <c r="DL54" s="41"/>
      <c r="DM54" s="45"/>
    </row>
    <row r="55" ht="21.75" customHeight="1">
      <c r="A55" s="33">
        <v>52.0</v>
      </c>
      <c r="B55" s="34" t="s">
        <v>574</v>
      </c>
      <c r="C55" s="34" t="s">
        <v>575</v>
      </c>
      <c r="D55" s="34" t="s">
        <v>576</v>
      </c>
      <c r="E55" s="35">
        <v>41132.0</v>
      </c>
      <c r="F55" s="34" t="s">
        <v>109</v>
      </c>
      <c r="G55" s="36" t="s">
        <v>123</v>
      </c>
      <c r="H55" s="36" t="s">
        <v>249</v>
      </c>
      <c r="I55" s="36" t="s">
        <v>286</v>
      </c>
      <c r="J55" s="36" t="s">
        <v>437</v>
      </c>
      <c r="K55" s="34"/>
      <c r="L55" s="34"/>
      <c r="M55" s="36" t="s">
        <v>427</v>
      </c>
      <c r="N55" s="36" t="s">
        <v>168</v>
      </c>
      <c r="O55" s="34">
        <f t="shared" si="23"/>
        <v>64</v>
      </c>
      <c r="P55" s="34">
        <f t="shared" si="21"/>
        <v>64</v>
      </c>
      <c r="Q55" s="36">
        <v>64.0</v>
      </c>
      <c r="R55" s="34"/>
      <c r="S55" s="34">
        <v>45.0</v>
      </c>
      <c r="T55" s="34" t="s">
        <v>577</v>
      </c>
      <c r="U55" s="36">
        <v>29.0</v>
      </c>
      <c r="V55" s="36">
        <v>27.0</v>
      </c>
      <c r="W55" s="51"/>
      <c r="X55" s="51"/>
      <c r="Y55" s="51"/>
      <c r="Z55" s="51"/>
      <c r="AA55" s="37">
        <f>Calcs!O55</f>
        <v>615</v>
      </c>
      <c r="AB55" s="34" t="s">
        <v>578</v>
      </c>
      <c r="AC55" s="34" t="s">
        <v>579</v>
      </c>
      <c r="AD55" s="34" t="s">
        <v>262</v>
      </c>
      <c r="AE55" s="34">
        <v>2.5</v>
      </c>
      <c r="AF55" s="36"/>
      <c r="AG55" s="36">
        <v>20.0</v>
      </c>
      <c r="AH55" s="36" t="s">
        <v>170</v>
      </c>
      <c r="AI55" s="34"/>
      <c r="AJ55" s="34">
        <v>5.5</v>
      </c>
      <c r="AK55" s="34"/>
      <c r="AL55" s="36" t="s">
        <v>567</v>
      </c>
      <c r="AM55" s="36"/>
      <c r="AN55" s="36">
        <v>19.0</v>
      </c>
      <c r="AO55" s="34">
        <v>15.0</v>
      </c>
      <c r="AP55" s="34"/>
      <c r="AQ55" s="34" t="s">
        <v>254</v>
      </c>
      <c r="AR55" s="34"/>
      <c r="AS55" s="34">
        <v>800.0</v>
      </c>
      <c r="AT55" s="14" t="str">
        <f t="shared" si="3"/>
        <v/>
      </c>
      <c r="AU55" s="12"/>
      <c r="AV55" s="74">
        <v>672.0</v>
      </c>
      <c r="AW55" s="17">
        <f t="shared" si="4"/>
        <v>738</v>
      </c>
      <c r="AX55" s="36" t="s">
        <v>534</v>
      </c>
      <c r="AY55" s="36">
        <v>31.8</v>
      </c>
      <c r="AZ55" s="36"/>
      <c r="BA55" s="36"/>
      <c r="BB55" s="36"/>
      <c r="BC55" s="36"/>
      <c r="BD55" s="34"/>
      <c r="BE55" s="34"/>
      <c r="BF55" s="34"/>
      <c r="BG55" s="34"/>
      <c r="BH55" s="18">
        <f t="shared" si="25"/>
        <v>31.8</v>
      </c>
      <c r="BI55" s="19">
        <f>ifs(BH55=0,"na",BH55="NR","NR",BH55="?","?",BK55&gt;0,"?",iserror(Calcs!AB55),"?",1,Calcs!AB55)</f>
        <v>0.5708528899</v>
      </c>
      <c r="BJ55" s="34" t="s">
        <v>282</v>
      </c>
      <c r="BK55" s="34"/>
      <c r="BL55" s="18">
        <f t="shared" si="6"/>
        <v>31.8</v>
      </c>
      <c r="BM55" s="34"/>
      <c r="BN55" s="34"/>
      <c r="BO55" s="34" t="s">
        <v>382</v>
      </c>
      <c r="BP55" s="20">
        <f>ifs(isblank(AX55),0,BH55="NR","NR",BH55="?","?",1,(AY55*vlookup(AX55,Ores[],2,FALSE)+if(isblank(AZ55),0,BA55*vlookup(AZ55,Ores[],2,FALSE))+if(isblank(BB55),0,BC55*vlookup(BB55,Ores[],2,FALSE))+if(isblank(BD55),0,BE55*vlookup(BD55,Ores[],2,FALSE))+if(isblank(BF55),0,BG55*vlookup(BF55,Ores[],2,FALSE)))/BH55)</f>
        <v>4.032258065</v>
      </c>
      <c r="BQ55" s="20">
        <f>ifs(isblank(AX55),0,BH55="NR","NR",BH55="?","?",1,(AY55*vlookup(AX55,Ores[],4,FALSE)+if(isblank(AZ55),0,BA55*vlookup(AZ55,Ores[],4,FALSE))+if(isblank(BB55),0,BC55*vlookup(BB55,Ores[],4,FALSE))+if(isblank(BD55),0,BE55*vlookup(BD55,Ores[],4,FALSE))+if(isblank(BF55),0,BG55*vlookup(BF55,Ores[],4,FALSE)))/BH55)</f>
        <v>2.096774194</v>
      </c>
      <c r="BR55" s="21">
        <f>ifs(isblank(AX55),0,BH55="NR","NR",BH55="?","?",1,(AY55*vlookup(AX55,Ores[],8,FALSE)+if(isblank(AZ55),0,BA55*vlookup(AZ55,Ores[],8,FALSE))+if(isblank(BB55),0,BC55*vlookup(BB55,Ores[],8,FALSE))+if(isblank(BD55),0,BE55*vlookup(BD55,Ores[],8,FALSE))+if(isblank(BF55),0,BG55*vlookup(BF55,Ores[],8,FALSE)))/BH55)</f>
        <v>0</v>
      </c>
      <c r="BS55" s="21">
        <f>ifs(isblank(AX55),0,BH55="NR","NR",BH55="?","?",1,(AY55*vlookup(AX55,Ores[],7,FALSE)+if(isblank(AZ55),0,BA55*vlookup(AZ55,Ores[],7,FALSE))+if(isblank(BB55),0,BC55*vlookup(BB55,Ores[],7,FALSE))+if(isblank(BD55),0,BE55*vlookup(BD55,Ores[],7,FALSE))+if(isblank(BF55),0,BG55*vlookup(BF55,Ores[],7,FALSE)))/BH55)</f>
        <v>0</v>
      </c>
      <c r="BT55" s="21">
        <f>ifs(isblank(AX55),0,BH55="NR","NR",BH55="?","?",1,(AY55*vlookup(AX55,Ores[],3,FALSE)+if(isblank(AZ55),0,BA55*vlookup(AZ55,Ores[],3,FALSE))+if(isblank(BB55),0,BC55*vlookup(BB55,Ores[],3,FALSE))+if(isblank(BD55),0,BE55*vlookup(BD55,Ores[],3,FALSE))+if(isblank(BF55),0,BG55*vlookup(BF55,Ores[],3,FALSE)))/BH55)</f>
        <v>1.612903226</v>
      </c>
      <c r="BU55" s="21">
        <f>ifs(isblank(AX55),0,BH55="NR","NR",BH55="?","?",1,(AY55*vlookup(AX55,Ores[],5,FALSE)+if(isblank(AZ55),0,BA55*vlookup(AZ55,Ores[],5,FALSE))+if(isblank(BB55),0,BC55*vlookup(BB55,Ores[],5,FALSE))+if(isblank(BD55),0,BE55*vlookup(BD55,Ores[],5,FALSE))+if(isblank(BF55),0,BG55*vlookup(BF55,Ores[],5,FALSE)))/BH55)</f>
        <v>0</v>
      </c>
      <c r="BV55" s="22">
        <f t="shared" si="7"/>
        <v>7.46</v>
      </c>
      <c r="BW55" s="40">
        <v>50.0</v>
      </c>
      <c r="BX55" s="41">
        <v>50.0</v>
      </c>
      <c r="BY55" s="47"/>
      <c r="BZ55" s="56">
        <f t="shared" si="8"/>
        <v>11.40909091</v>
      </c>
      <c r="CA55" s="53">
        <f t="shared" si="9"/>
        <v>7.537537538</v>
      </c>
      <c r="CB55" s="41" t="s">
        <v>461</v>
      </c>
      <c r="CC55" s="41" t="s">
        <v>489</v>
      </c>
      <c r="CD55" s="28">
        <f t="shared" si="10"/>
        <v>7.537537538</v>
      </c>
      <c r="CE55" s="43">
        <f t="shared" si="11"/>
        <v>251</v>
      </c>
      <c r="CF55" s="41"/>
      <c r="CG55" s="43"/>
      <c r="CH55" s="43">
        <v>76.0</v>
      </c>
      <c r="CI55" s="43">
        <v>327.0</v>
      </c>
      <c r="CJ55" s="43">
        <v>373.0</v>
      </c>
      <c r="CK55" s="43">
        <v>22.0</v>
      </c>
      <c r="CL55" s="43">
        <v>8.1</v>
      </c>
      <c r="CM55" s="43">
        <v>6.0</v>
      </c>
      <c r="CN55" s="43">
        <v>33.3</v>
      </c>
      <c r="CO55" s="43">
        <v>22.0</v>
      </c>
      <c r="CP55" s="43">
        <v>2.9</v>
      </c>
      <c r="CQ55" s="43">
        <v>2.0</v>
      </c>
      <c r="CR55" s="41" t="s">
        <v>129</v>
      </c>
      <c r="CS55" s="53">
        <v>7.1</v>
      </c>
      <c r="CT55" s="43" t="s">
        <v>216</v>
      </c>
      <c r="CU55" s="30"/>
      <c r="CV55" s="58">
        <v>4.5</v>
      </c>
      <c r="CW55" s="30">
        <f t="shared" si="12"/>
        <v>0.2232704403</v>
      </c>
      <c r="CX55" s="31">
        <f t="shared" si="19"/>
        <v>0.3911172987</v>
      </c>
      <c r="CY55" s="41"/>
      <c r="CZ55" s="41"/>
      <c r="DA55" s="41" t="s">
        <v>580</v>
      </c>
      <c r="DB55" s="41" t="s">
        <v>535</v>
      </c>
      <c r="DC55" s="41" t="s">
        <v>581</v>
      </c>
      <c r="DD55" s="41"/>
      <c r="DE55" s="41"/>
      <c r="DF55" s="41"/>
      <c r="DG55" s="41"/>
      <c r="DH55" s="41"/>
      <c r="DI55" s="41"/>
      <c r="DJ55" s="41"/>
      <c r="DK55" s="41"/>
      <c r="DL55" s="41"/>
      <c r="DM55" s="45"/>
    </row>
    <row r="56" ht="21.75" customHeight="1">
      <c r="A56" s="33">
        <v>53.0</v>
      </c>
      <c r="B56" s="34" t="s">
        <v>582</v>
      </c>
      <c r="C56" s="34" t="s">
        <v>583</v>
      </c>
      <c r="D56" s="36" t="s">
        <v>584</v>
      </c>
      <c r="E56" s="35">
        <v>41405.0</v>
      </c>
      <c r="F56" s="34" t="s">
        <v>109</v>
      </c>
      <c r="G56" s="36" t="s">
        <v>123</v>
      </c>
      <c r="H56" s="34"/>
      <c r="I56" s="36" t="s">
        <v>286</v>
      </c>
      <c r="J56" s="36" t="s">
        <v>437</v>
      </c>
      <c r="K56" s="34"/>
      <c r="L56" s="34"/>
      <c r="M56" s="36" t="s">
        <v>150</v>
      </c>
      <c r="N56" s="36" t="s">
        <v>168</v>
      </c>
      <c r="O56" s="34">
        <f t="shared" si="23"/>
        <v>72</v>
      </c>
      <c r="P56" s="34">
        <f t="shared" si="21"/>
        <v>72</v>
      </c>
      <c r="Q56" s="36">
        <v>72.0</v>
      </c>
      <c r="R56" s="34"/>
      <c r="S56" s="34">
        <v>59.0</v>
      </c>
      <c r="T56" s="34">
        <v>37.0</v>
      </c>
      <c r="U56" s="34">
        <v>28.0</v>
      </c>
      <c r="V56" s="34"/>
      <c r="W56" s="34"/>
      <c r="X56" s="34"/>
      <c r="Y56" s="34"/>
      <c r="Z56" s="34"/>
      <c r="AA56" s="37">
        <f>Calcs!O56</f>
        <v>615.8</v>
      </c>
      <c r="AB56" s="34" t="s">
        <v>585</v>
      </c>
      <c r="AC56" s="79" t="s">
        <v>586</v>
      </c>
      <c r="AD56" s="34" t="s">
        <v>262</v>
      </c>
      <c r="AE56" s="34">
        <v>2.5</v>
      </c>
      <c r="AF56" s="36"/>
      <c r="AG56" s="36">
        <v>20.0</v>
      </c>
      <c r="AH56" s="36" t="s">
        <v>170</v>
      </c>
      <c r="AI56" s="34"/>
      <c r="AJ56" s="34">
        <v>4.0</v>
      </c>
      <c r="AK56" s="34"/>
      <c r="AL56" s="34" t="s">
        <v>184</v>
      </c>
      <c r="AM56" s="34"/>
      <c r="AN56" s="36">
        <v>19.0</v>
      </c>
      <c r="AO56" s="34">
        <v>15.0</v>
      </c>
      <c r="AP56" s="34"/>
      <c r="AQ56" s="34" t="s">
        <v>254</v>
      </c>
      <c r="AR56" s="34"/>
      <c r="AS56" s="34">
        <v>900.0</v>
      </c>
      <c r="AT56" s="14" t="str">
        <f t="shared" si="3"/>
        <v/>
      </c>
      <c r="AU56" s="12"/>
      <c r="AV56" s="74">
        <v>756.0</v>
      </c>
      <c r="AW56" s="17">
        <f t="shared" si="4"/>
        <v>738.96</v>
      </c>
      <c r="AX56" s="36" t="s">
        <v>587</v>
      </c>
      <c r="AY56" s="36">
        <v>25.0</v>
      </c>
      <c r="AZ56" s="34"/>
      <c r="BA56" s="34"/>
      <c r="BB56" s="34"/>
      <c r="BC56" s="34"/>
      <c r="BD56" s="34"/>
      <c r="BE56" s="34"/>
      <c r="BF56" s="34"/>
      <c r="BG56" s="34"/>
      <c r="BH56" s="18">
        <f t="shared" si="25"/>
        <v>25</v>
      </c>
      <c r="BI56" s="19">
        <f>ifs(BH56=0,"na",BH56="NR","NR",BH56="?","?",BK56&gt;0,"?",iserror(Calcs!AB56),"?",1,Calcs!AB56)</f>
        <v>0.5884677539</v>
      </c>
      <c r="BJ56" s="34" t="s">
        <v>282</v>
      </c>
      <c r="BK56" s="34"/>
      <c r="BL56" s="18">
        <f t="shared" si="6"/>
        <v>25</v>
      </c>
      <c r="BM56" s="34"/>
      <c r="BN56" s="34"/>
      <c r="BO56" s="34" t="s">
        <v>382</v>
      </c>
      <c r="BP56" s="20">
        <f>ifs(isblank(AX56),0,BH56="NR","NR",BH56="?","?",1,(AY56*vlookup(AX56,Ores[],2,FALSE)+if(isblank(AZ56),0,BA56*vlookup(AZ56,Ores[],2,FALSE))+if(isblank(BB56),0,BC56*vlookup(BB56,Ores[],2,FALSE))+if(isblank(BD56),0,BE56*vlookup(BD56,Ores[],2,FALSE))+if(isblank(BF56),0,BG56*vlookup(BF56,Ores[],2,FALSE)))/BH56)</f>
        <v>3.584229391</v>
      </c>
      <c r="BQ56" s="20">
        <f>ifs(isblank(AX56),0,BH56="NR","NR",BH56="?","?",1,(AY56*vlookup(AX56,Ores[],4,FALSE)+if(isblank(AZ56),0,BA56*vlookup(AZ56,Ores[],4,FALSE))+if(isblank(BB56),0,BC56*vlookup(BB56,Ores[],4,FALSE))+if(isblank(BD56),0,BE56*vlookup(BD56,Ores[],4,FALSE))+if(isblank(BF56),0,BG56*vlookup(BF56,Ores[],4,FALSE)))/BH56)</f>
        <v>1.863799283</v>
      </c>
      <c r="BR56" s="21">
        <f>ifs(isblank(AX56),0,BH56="NR","NR",BH56="?","?",1,(AY56*vlookup(AX56,Ores[],8,FALSE)+if(isblank(AZ56),0,BA56*vlookup(AZ56,Ores[],8,FALSE))+if(isblank(BB56),0,BC56*vlookup(BB56,Ores[],8,FALSE))+if(isblank(BD56),0,BE56*vlookup(BD56,Ores[],8,FALSE))+if(isblank(BF56),0,BG56*vlookup(BF56,Ores[],8,FALSE)))/BH56)</f>
        <v>0</v>
      </c>
      <c r="BS56" s="21">
        <f>ifs(isblank(AX56),0,BH56="NR","NR",BH56="?","?",1,(AY56*vlookup(AX56,Ores[],7,FALSE)+if(isblank(AZ56),0,BA56*vlookup(AZ56,Ores[],7,FALSE))+if(isblank(BB56),0,BC56*vlookup(BB56,Ores[],7,FALSE))+if(isblank(BD56),0,BE56*vlookup(BD56,Ores[],7,FALSE))+if(isblank(BF56),0,BG56*vlookup(BF56,Ores[],7,FALSE)))/BH56)</f>
        <v>0</v>
      </c>
      <c r="BT56" s="21">
        <f>ifs(isblank(AX56),0,BH56="NR","NR",BH56="?","?",1,(AY56*vlookup(AX56,Ores[],3,FALSE)+if(isblank(AZ56),0,BA56*vlookup(AZ56,Ores[],3,FALSE))+if(isblank(BB56),0,BC56*vlookup(BB56,Ores[],3,FALSE))+if(isblank(BD56),0,BE56*vlookup(BD56,Ores[],3,FALSE))+if(isblank(BF56),0,BG56*vlookup(BF56,Ores[],3,FALSE)))/BH56)</f>
        <v>1.433691756</v>
      </c>
      <c r="BU56" s="21">
        <f>ifs(isblank(AX56),0,BH56="NR","NR",BH56="?","?",1,(AY56*vlookup(AX56,Ores[],5,FALSE)+if(isblank(AZ56),0,BA56*vlookup(AZ56,Ores[],5,FALSE))+if(isblank(BB56),0,BC56*vlookup(BB56,Ores[],5,FALSE))+if(isblank(BD56),0,BE56*vlookup(BD56,Ores[],5,FALSE))+if(isblank(BF56),0,BG56*vlookup(BF56,Ores[],5,FALSE)))/BH56)</f>
        <v>0</v>
      </c>
      <c r="BV56" s="22" t="str">
        <f t="shared" si="7"/>
        <v>NR</v>
      </c>
      <c r="BW56" s="40">
        <v>126.0</v>
      </c>
      <c r="BX56" s="41">
        <v>68.0</v>
      </c>
      <c r="BY56" s="47"/>
      <c r="BZ56" s="56">
        <f t="shared" si="8"/>
        <v>12.73684211</v>
      </c>
      <c r="CA56" s="53">
        <f t="shared" si="9"/>
        <v>5.789473684</v>
      </c>
      <c r="CB56" s="43" t="s">
        <v>430</v>
      </c>
      <c r="CC56" s="43" t="s">
        <v>116</v>
      </c>
      <c r="CD56" s="28">
        <f t="shared" si="10"/>
        <v>5.789473684</v>
      </c>
      <c r="CE56" s="43">
        <f t="shared" si="11"/>
        <v>242</v>
      </c>
      <c r="CF56" s="41"/>
      <c r="CG56" s="43"/>
      <c r="CH56" s="43">
        <v>72.0</v>
      </c>
      <c r="CI56" s="43">
        <v>314.0</v>
      </c>
      <c r="CJ56" s="43" t="s">
        <v>116</v>
      </c>
      <c r="CK56" s="43">
        <v>20.0</v>
      </c>
      <c r="CL56" s="43">
        <v>15.4</v>
      </c>
      <c r="CM56" s="43">
        <v>6.0</v>
      </c>
      <c r="CN56" s="43">
        <v>41.8</v>
      </c>
      <c r="CO56" s="43">
        <v>19.0</v>
      </c>
      <c r="CP56" s="43">
        <v>0.0</v>
      </c>
      <c r="CQ56" s="43">
        <v>0.0</v>
      </c>
      <c r="CR56" s="41" t="s">
        <v>257</v>
      </c>
      <c r="CS56" s="53">
        <v>5.4</v>
      </c>
      <c r="CT56" s="43" t="s">
        <v>216</v>
      </c>
      <c r="CU56" s="30"/>
      <c r="CV56" s="29"/>
      <c r="CW56" s="30">
        <f t="shared" si="12"/>
        <v>0.216</v>
      </c>
      <c r="CX56" s="31">
        <f t="shared" si="19"/>
        <v>0.3670549466</v>
      </c>
      <c r="CY56" s="41"/>
      <c r="CZ56" s="41"/>
      <c r="DA56" s="80"/>
      <c r="DB56" s="41" t="s">
        <v>588</v>
      </c>
      <c r="DC56" s="41" t="s">
        <v>581</v>
      </c>
      <c r="DD56" s="41"/>
      <c r="DE56" s="41"/>
      <c r="DF56" s="41"/>
      <c r="DG56" s="41"/>
      <c r="DH56" s="41"/>
      <c r="DI56" s="41"/>
      <c r="DJ56" s="41"/>
      <c r="DK56" s="41"/>
      <c r="DL56" s="41"/>
      <c r="DM56" s="45"/>
    </row>
    <row r="57" ht="21.75" customHeight="1">
      <c r="A57" s="33">
        <v>54.0</v>
      </c>
      <c r="B57" s="34" t="s">
        <v>330</v>
      </c>
      <c r="C57" s="34" t="s">
        <v>589</v>
      </c>
      <c r="D57" s="34" t="s">
        <v>138</v>
      </c>
      <c r="E57" s="35">
        <v>41420.0</v>
      </c>
      <c r="F57" s="34" t="s">
        <v>109</v>
      </c>
      <c r="G57" s="36" t="s">
        <v>110</v>
      </c>
      <c r="H57" s="36" t="s">
        <v>249</v>
      </c>
      <c r="I57" s="36" t="s">
        <v>286</v>
      </c>
      <c r="J57" s="36" t="s">
        <v>590</v>
      </c>
      <c r="K57" s="34"/>
      <c r="L57" s="34"/>
      <c r="M57" s="36" t="s">
        <v>427</v>
      </c>
      <c r="N57" s="36" t="s">
        <v>168</v>
      </c>
      <c r="O57" s="34">
        <f t="shared" si="23"/>
        <v>72</v>
      </c>
      <c r="P57" s="34">
        <f t="shared" si="21"/>
        <v>72</v>
      </c>
      <c r="Q57" s="36">
        <v>72.0</v>
      </c>
      <c r="R57" s="34"/>
      <c r="S57" s="34">
        <v>57.0</v>
      </c>
      <c r="T57" s="34">
        <v>43.0</v>
      </c>
      <c r="U57" s="36">
        <v>29.0</v>
      </c>
      <c r="V57" s="36">
        <v>27.0</v>
      </c>
      <c r="W57" s="34"/>
      <c r="X57" s="34"/>
      <c r="Y57" s="34"/>
      <c r="Z57" s="34"/>
      <c r="AA57" s="37">
        <f>Calcs!O57</f>
        <v>615</v>
      </c>
      <c r="AB57" s="34" t="s">
        <v>578</v>
      </c>
      <c r="AC57" s="34" t="s">
        <v>591</v>
      </c>
      <c r="AD57" s="34" t="s">
        <v>262</v>
      </c>
      <c r="AE57" s="34">
        <v>2.5</v>
      </c>
      <c r="AF57" s="65"/>
      <c r="AG57" s="65">
        <v>22.0</v>
      </c>
      <c r="AH57" s="36" t="s">
        <v>170</v>
      </c>
      <c r="AI57" s="34"/>
      <c r="AJ57" s="34">
        <v>4.0</v>
      </c>
      <c r="AK57" s="34"/>
      <c r="AL57" s="34" t="s">
        <v>184</v>
      </c>
      <c r="AM57" s="34"/>
      <c r="AN57" s="36">
        <v>19.0</v>
      </c>
      <c r="AO57" s="34">
        <v>13.0</v>
      </c>
      <c r="AP57" s="34"/>
      <c r="AQ57" s="34" t="s">
        <v>254</v>
      </c>
      <c r="AR57" s="34"/>
      <c r="AS57" s="34">
        <v>800.0</v>
      </c>
      <c r="AT57" s="14" t="str">
        <f t="shared" si="3"/>
        <v/>
      </c>
      <c r="AU57" s="12"/>
      <c r="AV57" s="74">
        <v>672.0</v>
      </c>
      <c r="AW57" s="17">
        <f t="shared" si="4"/>
        <v>738</v>
      </c>
      <c r="AX57" s="39" t="s">
        <v>295</v>
      </c>
      <c r="AY57" s="36">
        <v>12.0</v>
      </c>
      <c r="AZ57" s="36" t="s">
        <v>381</v>
      </c>
      <c r="BA57" s="36">
        <v>14.4</v>
      </c>
      <c r="BB57" s="36" t="s">
        <v>592</v>
      </c>
      <c r="BC57" s="36">
        <v>4.0</v>
      </c>
      <c r="BE57" s="36"/>
      <c r="BF57" s="34"/>
      <c r="BG57" s="34"/>
      <c r="BH57" s="18">
        <f t="shared" si="25"/>
        <v>30.4</v>
      </c>
      <c r="BI57" s="19" t="str">
        <f>ifs(BH57=0,"na",BH57="NR","NR",BH57="?","?",BK57&gt;0,"?",iserror(Calcs!AB57),"?",1,Calcs!AB57)</f>
        <v>?</v>
      </c>
      <c r="BJ57" s="34" t="s">
        <v>125</v>
      </c>
      <c r="BK57" s="34"/>
      <c r="BL57" s="18">
        <f t="shared" si="6"/>
        <v>30.4</v>
      </c>
      <c r="BM57" s="34"/>
      <c r="BN57" s="34"/>
      <c r="BO57" s="34" t="s">
        <v>593</v>
      </c>
      <c r="BP57" s="21" t="s">
        <v>140</v>
      </c>
      <c r="BQ57" s="21" t="s">
        <v>140</v>
      </c>
      <c r="BR57" s="21" t="s">
        <v>140</v>
      </c>
      <c r="BS57" s="21" t="s">
        <v>140</v>
      </c>
      <c r="BT57" s="21" t="s">
        <v>140</v>
      </c>
      <c r="BU57" s="21" t="s">
        <v>140</v>
      </c>
      <c r="BV57" s="22" t="str">
        <f t="shared" si="7"/>
        <v>NR</v>
      </c>
      <c r="BW57" s="40">
        <v>81.0</v>
      </c>
      <c r="BX57" s="41">
        <v>53.0</v>
      </c>
      <c r="BY57" s="47"/>
      <c r="BZ57" s="56">
        <f t="shared" si="8"/>
        <v>9.25</v>
      </c>
      <c r="CA57" s="53">
        <f t="shared" si="9"/>
        <v>5.243764172</v>
      </c>
      <c r="CB57" s="41" t="s">
        <v>461</v>
      </c>
      <c r="CC57" s="41" t="s">
        <v>489</v>
      </c>
      <c r="CD57" s="28">
        <f t="shared" si="10"/>
        <v>5.243764172</v>
      </c>
      <c r="CE57" s="43">
        <f t="shared" si="11"/>
        <v>185</v>
      </c>
      <c r="CF57" s="41"/>
      <c r="CG57" s="43"/>
      <c r="CH57" s="43">
        <v>45.0</v>
      </c>
      <c r="CI57" s="43">
        <v>230.0</v>
      </c>
      <c r="CJ57" s="43" t="s">
        <v>116</v>
      </c>
      <c r="CK57" s="43">
        <v>20.0</v>
      </c>
      <c r="CL57" s="43">
        <v>8.7</v>
      </c>
      <c r="CM57" s="43">
        <v>5.0</v>
      </c>
      <c r="CN57" s="43">
        <v>35.28</v>
      </c>
      <c r="CO57" s="43">
        <v>20.0</v>
      </c>
      <c r="CP57" s="43">
        <v>1.8</v>
      </c>
      <c r="CQ57" s="43">
        <v>1.0</v>
      </c>
      <c r="CR57" s="41" t="s">
        <v>257</v>
      </c>
      <c r="CS57" s="53">
        <v>10.5</v>
      </c>
      <c r="CT57" s="43" t="s">
        <v>431</v>
      </c>
      <c r="CU57" s="30"/>
      <c r="CV57" s="29"/>
      <c r="CW57" s="30">
        <f t="shared" si="12"/>
        <v>0.3453947368</v>
      </c>
      <c r="CX57" s="31" t="str">
        <f t="shared" si="19"/>
        <v>?</v>
      </c>
      <c r="CY57" s="41"/>
      <c r="CZ57" s="41"/>
      <c r="DA57" s="80"/>
      <c r="DB57" s="41" t="s">
        <v>258</v>
      </c>
      <c r="DC57" s="41" t="s">
        <v>594</v>
      </c>
      <c r="DD57" s="41"/>
      <c r="DE57" s="41"/>
      <c r="DF57" s="41"/>
      <c r="DG57" s="41"/>
      <c r="DH57" s="41"/>
      <c r="DI57" s="41"/>
      <c r="DJ57" s="41"/>
      <c r="DK57" s="41"/>
      <c r="DL57" s="41"/>
      <c r="DM57" s="45"/>
    </row>
    <row r="58" ht="21.75" customHeight="1">
      <c r="A58" s="33">
        <v>55.0</v>
      </c>
      <c r="B58" s="34" t="s">
        <v>520</v>
      </c>
      <c r="C58" s="34" t="s">
        <v>595</v>
      </c>
      <c r="D58" s="36" t="s">
        <v>596</v>
      </c>
      <c r="E58" s="35">
        <v>41569.0</v>
      </c>
      <c r="F58" s="34" t="s">
        <v>109</v>
      </c>
      <c r="G58" s="36" t="s">
        <v>110</v>
      </c>
      <c r="H58" s="36" t="s">
        <v>249</v>
      </c>
      <c r="I58" s="36" t="s">
        <v>286</v>
      </c>
      <c r="J58" s="36" t="s">
        <v>276</v>
      </c>
      <c r="K58" s="34"/>
      <c r="L58" s="34"/>
      <c r="M58" s="36" t="s">
        <v>150</v>
      </c>
      <c r="N58" s="36" t="s">
        <v>168</v>
      </c>
      <c r="O58" s="34">
        <f t="shared" si="23"/>
        <v>64</v>
      </c>
      <c r="P58" s="34">
        <f t="shared" si="21"/>
        <v>64</v>
      </c>
      <c r="Q58" s="36">
        <v>64.0</v>
      </c>
      <c r="R58" s="34"/>
      <c r="S58" s="34">
        <v>54.0</v>
      </c>
      <c r="T58" s="34">
        <v>36.0</v>
      </c>
      <c r="U58" s="34">
        <v>28.0</v>
      </c>
      <c r="V58" s="34"/>
      <c r="W58" s="34"/>
      <c r="X58" s="34"/>
      <c r="Y58" s="34"/>
      <c r="Z58" s="34"/>
      <c r="AA58" s="37">
        <f>Calcs!O58</f>
        <v>615.8</v>
      </c>
      <c r="AB58" s="34">
        <v>4.0</v>
      </c>
      <c r="AC58" s="34">
        <v>13.0</v>
      </c>
      <c r="AD58" s="34" t="s">
        <v>262</v>
      </c>
      <c r="AE58" s="34">
        <v>2.5</v>
      </c>
      <c r="AF58" s="36"/>
      <c r="AG58" s="36">
        <v>23.0</v>
      </c>
      <c r="AH58" s="36" t="s">
        <v>170</v>
      </c>
      <c r="AI58" s="34"/>
      <c r="AJ58" s="34">
        <v>5.0</v>
      </c>
      <c r="AK58" s="34"/>
      <c r="AL58" s="34" t="s">
        <v>184</v>
      </c>
      <c r="AM58" s="34"/>
      <c r="AN58" s="36">
        <v>19.0</v>
      </c>
      <c r="AO58" s="34">
        <v>10.0</v>
      </c>
      <c r="AP58" s="34"/>
      <c r="AQ58" s="34" t="s">
        <v>254</v>
      </c>
      <c r="AR58" s="34"/>
      <c r="AS58" s="34">
        <v>1000.0</v>
      </c>
      <c r="AT58" s="14" t="str">
        <f t="shared" si="3"/>
        <v/>
      </c>
      <c r="AU58" s="12"/>
      <c r="AV58" s="74">
        <v>840.0</v>
      </c>
      <c r="AW58" s="17">
        <f t="shared" si="4"/>
        <v>738.96</v>
      </c>
      <c r="AX58" s="39" t="s">
        <v>295</v>
      </c>
      <c r="AY58" s="36">
        <v>42.5</v>
      </c>
      <c r="AZ58" s="36"/>
      <c r="BA58" s="36"/>
      <c r="BB58" s="36"/>
      <c r="BC58" s="36"/>
      <c r="BD58" s="34"/>
      <c r="BE58" s="34"/>
      <c r="BF58" s="34"/>
      <c r="BG58" s="34"/>
      <c r="BH58" s="18">
        <f t="shared" si="25"/>
        <v>42.5</v>
      </c>
      <c r="BI58" s="19">
        <f>ifs(BH58=0,"na",BH58="NR","NR",BH58="?","?",BK58&gt;0,"?",iserror(Calcs!AB58),"?",1,Calcs!AB58)</f>
        <v>0.4535109057</v>
      </c>
      <c r="BJ58" s="34" t="s">
        <v>597</v>
      </c>
      <c r="BK58" s="34"/>
      <c r="BL58" s="18">
        <f t="shared" si="6"/>
        <v>42.5</v>
      </c>
      <c r="BM58" s="34"/>
      <c r="BN58" s="34"/>
      <c r="BO58" s="34" t="s">
        <v>598</v>
      </c>
      <c r="BP58" s="20">
        <f>ifs(isblank(AX58),0,BH58="NR","NR",BH58="?","?",1,(AY58*vlookup(AX58,Ores[],2,FALSE)+if(isblank(AZ58),0,BA58*vlookup(AZ58,Ores[],2,FALSE))+if(isblank(BB58),0,BC58*vlookup(BB58,Ores[],2,FALSE))+if(isblank(BD58),0,BE58*vlookup(BD58,Ores[],2,FALSE))+if(isblank(BF58),0,BG58*vlookup(BF58,Ores[],2,FALSE)))/BH58)</f>
        <v>15.01</v>
      </c>
      <c r="BQ58" s="20">
        <f>ifs(isblank(AX58),0,BH58="NR","NR",BH58="?","?",1,(AY58*vlookup(AX58,Ores[],4,FALSE)+if(isblank(AZ58),0,BA58*vlookup(AZ58,Ores[],4,FALSE))+if(isblank(BB58),0,BC58*vlookup(BB58,Ores[],4,FALSE))+if(isblank(BD58),0,BE58*vlookup(BD58,Ores[],4,FALSE))+if(isblank(BF58),0,BG58*vlookup(BF58,Ores[],4,FALSE)))/BH58)</f>
        <v>4.93</v>
      </c>
      <c r="BR58" s="21">
        <f>ifs(isblank(AX58),0,BH58="NR","NR",BH58="?","?",1,(AY58*vlookup(AX58,Ores[],8,FALSE)+if(isblank(AZ58),0,BA58*vlookup(AZ58,Ores[],8,FALSE))+if(isblank(BB58),0,BC58*vlookup(BB58,Ores[],8,FALSE))+if(isblank(BD58),0,BE58*vlookup(BD58,Ores[],8,FALSE))+if(isblank(BF58),0,BG58*vlookup(BF58,Ores[],8,FALSE)))/BH58)</f>
        <v>2.35</v>
      </c>
      <c r="BS58" s="21">
        <f>ifs(isblank(AX58),0,BH58="NR","NR",BH58="?","?",1,(AY58*vlookup(AX58,Ores[],7,FALSE)+if(isblank(AZ58),0,BA58*vlookup(AZ58,Ores[],7,FALSE))+if(isblank(BB58),0,BC58*vlookup(BB58,Ores[],7,FALSE))+if(isblank(BD58),0,BE58*vlookup(BD58,Ores[],7,FALSE))+if(isblank(BF58),0,BG58*vlookup(BF58,Ores[],7,FALSE)))/BH58)</f>
        <v>0</v>
      </c>
      <c r="BT58" s="21">
        <f>ifs(isblank(AX58),0,BH58="NR","NR",BH58="?","?",1,(AY58*vlookup(AX58,Ores[],3,FALSE)+if(isblank(AZ58),0,BA58*vlookup(AZ58,Ores[],3,FALSE))+if(isblank(BB58),0,BC58*vlookup(BB58,Ores[],3,FALSE))+if(isblank(BD58),0,BE58*vlookup(BD58,Ores[],3,FALSE))+if(isblank(BF58),0,BG58*vlookup(BF58,Ores[],3,FALSE)))/BH58)</f>
        <v>0.33</v>
      </c>
      <c r="BU58" s="21">
        <f>ifs(isblank(AX58),0,BH58="NR","NR",BH58="?","?",1,(AY58*vlookup(AX58,Ores[],5,FALSE)+if(isblank(AZ58),0,BA58*vlookup(AZ58,Ores[],5,FALSE))+if(isblank(BB58),0,BC58*vlookup(BB58,Ores[],5,FALSE))+if(isblank(BD58),0,BE58*vlookup(BD58,Ores[],5,FALSE))+if(isblank(BF58),0,BG58*vlookup(BF58,Ores[],5,FALSE)))/BH58)</f>
        <v>3.87</v>
      </c>
      <c r="BV58" s="22">
        <f t="shared" si="7"/>
        <v>7.428571429</v>
      </c>
      <c r="BW58" s="40">
        <v>92.0</v>
      </c>
      <c r="BX58" s="43">
        <v>56.0</v>
      </c>
      <c r="BY58" s="42" t="s">
        <v>123</v>
      </c>
      <c r="BZ58" s="56">
        <f t="shared" si="8"/>
        <v>12</v>
      </c>
      <c r="CA58" s="53">
        <f t="shared" si="9"/>
        <v>6.642857143</v>
      </c>
      <c r="CB58" s="43" t="s">
        <v>430</v>
      </c>
      <c r="CC58" s="43" t="s">
        <v>116</v>
      </c>
      <c r="CD58" s="28">
        <f t="shared" si="10"/>
        <v>6.642857143</v>
      </c>
      <c r="CE58" s="43">
        <f t="shared" si="11"/>
        <v>264</v>
      </c>
      <c r="CF58" s="41"/>
      <c r="CG58" s="43"/>
      <c r="CH58" s="43">
        <v>96.0</v>
      </c>
      <c r="CI58" s="43">
        <v>360.0</v>
      </c>
      <c r="CJ58" s="43">
        <v>416.0</v>
      </c>
      <c r="CK58" s="43">
        <v>22.0</v>
      </c>
      <c r="CL58" s="53">
        <f>CM58*$BX58/31</f>
        <v>10.83870968</v>
      </c>
      <c r="CM58" s="43">
        <v>6.0</v>
      </c>
      <c r="CN58" s="53">
        <f>CO58*$BX58/31</f>
        <v>39.74193548</v>
      </c>
      <c r="CO58" s="43">
        <v>22.0</v>
      </c>
      <c r="CP58" s="53">
        <f>CQ58*$BX58/31</f>
        <v>5.419354839</v>
      </c>
      <c r="CQ58" s="43">
        <v>3.0</v>
      </c>
      <c r="CR58" s="41" t="s">
        <v>257</v>
      </c>
      <c r="CS58" s="53">
        <v>4.4</v>
      </c>
      <c r="CT58" s="66" t="s">
        <v>599</v>
      </c>
      <c r="CU58" s="43" t="s">
        <v>600</v>
      </c>
      <c r="CV58" s="29"/>
      <c r="CW58" s="30">
        <f t="shared" si="12"/>
        <v>0.1035294118</v>
      </c>
      <c r="CX58" s="31">
        <f t="shared" si="19"/>
        <v>0.2282842826</v>
      </c>
      <c r="CY58" s="41"/>
      <c r="CZ58" s="41"/>
      <c r="DA58" s="41"/>
      <c r="DB58" s="41" t="s">
        <v>601</v>
      </c>
      <c r="DC58" s="41" t="s">
        <v>594</v>
      </c>
      <c r="DD58" s="41"/>
      <c r="DE58" s="41"/>
      <c r="DF58" s="41"/>
      <c r="DG58" s="41"/>
      <c r="DH58" s="41"/>
      <c r="DI58" s="41"/>
      <c r="DJ58" s="41"/>
      <c r="DK58" s="41"/>
      <c r="DL58" s="41"/>
      <c r="DM58" s="45"/>
    </row>
    <row r="59" ht="21.75" customHeight="1">
      <c r="A59" s="33">
        <v>56.0</v>
      </c>
      <c r="B59" s="34" t="s">
        <v>602</v>
      </c>
      <c r="C59" s="34" t="s">
        <v>603</v>
      </c>
      <c r="D59" s="81" t="s">
        <v>138</v>
      </c>
      <c r="E59" s="35">
        <v>41804.0</v>
      </c>
      <c r="F59" s="34" t="s">
        <v>604</v>
      </c>
      <c r="G59" s="36" t="s">
        <v>110</v>
      </c>
      <c r="H59" s="36" t="s">
        <v>605</v>
      </c>
      <c r="I59" s="36" t="s">
        <v>606</v>
      </c>
      <c r="J59" s="36" t="s">
        <v>607</v>
      </c>
      <c r="K59" s="34"/>
      <c r="L59" s="34"/>
      <c r="M59" s="36" t="s">
        <v>150</v>
      </c>
      <c r="N59" s="36" t="s">
        <v>151</v>
      </c>
      <c r="O59" s="34">
        <f t="shared" si="23"/>
        <v>61</v>
      </c>
      <c r="P59" s="34">
        <f t="shared" si="21"/>
        <v>61</v>
      </c>
      <c r="Q59" s="36">
        <v>61.0</v>
      </c>
      <c r="R59" s="34"/>
      <c r="S59" s="34">
        <v>45.0</v>
      </c>
      <c r="T59" s="34" t="s">
        <v>608</v>
      </c>
      <c r="U59" s="36">
        <v>36.0</v>
      </c>
      <c r="V59" s="36">
        <v>24.0</v>
      </c>
      <c r="W59" s="36"/>
      <c r="X59" s="36">
        <v>32.0</v>
      </c>
      <c r="Y59" s="36"/>
      <c r="Z59" s="36" t="s">
        <v>123</v>
      </c>
      <c r="AA59" s="37">
        <f>Calcs!O59</f>
        <v>804.2</v>
      </c>
      <c r="AB59" s="34" t="s">
        <v>609</v>
      </c>
      <c r="AC59" s="34" t="s">
        <v>610</v>
      </c>
      <c r="AD59" s="34" t="s">
        <v>262</v>
      </c>
      <c r="AE59" s="34">
        <v>2.5</v>
      </c>
      <c r="AF59" s="36"/>
      <c r="AG59" s="36" t="s">
        <v>140</v>
      </c>
      <c r="AH59" s="36" t="s">
        <v>170</v>
      </c>
      <c r="AI59" s="34"/>
      <c r="AJ59" s="34" t="s">
        <v>116</v>
      </c>
      <c r="AK59" s="34"/>
      <c r="AL59" s="34" t="s">
        <v>184</v>
      </c>
      <c r="AM59" s="34"/>
      <c r="AN59" s="36" t="s">
        <v>116</v>
      </c>
      <c r="AO59" s="34">
        <v>16.0</v>
      </c>
      <c r="AP59" s="34"/>
      <c r="AQ59" s="34" t="s">
        <v>254</v>
      </c>
      <c r="AR59" s="34"/>
      <c r="AS59" s="34">
        <v>540.0</v>
      </c>
      <c r="AT59" s="14" t="str">
        <f t="shared" si="3"/>
        <v/>
      </c>
      <c r="AU59" s="12"/>
      <c r="AV59" s="38"/>
      <c r="AW59" s="17">
        <f t="shared" si="4"/>
        <v>965.04</v>
      </c>
      <c r="AX59" s="36" t="s">
        <v>611</v>
      </c>
      <c r="AY59" s="36">
        <v>31.0</v>
      </c>
      <c r="AZ59" s="34"/>
      <c r="BA59" s="34"/>
      <c r="BB59" s="34"/>
      <c r="BC59" s="34"/>
      <c r="BD59" s="34"/>
      <c r="BE59" s="34"/>
      <c r="BF59" s="34"/>
      <c r="BG59" s="34"/>
      <c r="BH59" s="18">
        <f t="shared" si="25"/>
        <v>31</v>
      </c>
      <c r="BI59" s="19">
        <f>ifs(BH59=0,"na",BH59="NR","NR",BH59="?","?",BK59&gt;0,"?",iserror(Calcs!AB59),"?",1,Calcs!AB59)</f>
        <v>0.5123957643</v>
      </c>
      <c r="BJ59" s="34" t="s">
        <v>282</v>
      </c>
      <c r="BK59" s="34"/>
      <c r="BL59" s="18">
        <f t="shared" si="6"/>
        <v>31</v>
      </c>
      <c r="BM59" s="34"/>
      <c r="BN59" s="34"/>
      <c r="BO59" s="34" t="s">
        <v>382</v>
      </c>
      <c r="BP59" s="20">
        <f>ifs(isblank(AX59),0,BH59="NR","NR",BH59="?","?",1,(AY59*vlookup(AX59,Ores[],2,FALSE)+if(isblank(AZ59),0,BA59*vlookup(AZ59,Ores[],2,FALSE))+if(isblank(BB59),0,BC59*vlookup(BB59,Ores[],2,FALSE))+if(isblank(BD59),0,BE59*vlookup(BD59,Ores[],2,FALSE))+if(isblank(BF59),0,BG59*vlookup(BF59,Ores[],2,FALSE)))/BH59)</f>
        <v>4.56489362</v>
      </c>
      <c r="BQ59" s="20">
        <f>ifs(isblank(AX59),0,BH59="NR","NR",BH59="?","?",1,(AY59*vlookup(AX59,Ores[],4,FALSE)+if(isblank(AZ59),0,BA59*vlookup(AZ59,Ores[],4,FALSE))+if(isblank(BB59),0,BC59*vlookup(BB59,Ores[],4,FALSE))+if(isblank(BD59),0,BE59*vlookup(BD59,Ores[],4,FALSE))+if(isblank(BF59),0,BG59*vlookup(BF59,Ores[],4,FALSE)))/BH59)</f>
        <v>2.368616477</v>
      </c>
      <c r="BR59" s="21">
        <f>ifs(isblank(AX59),0,BH59="NR","NR",BH59="?","?",1,(AY59*vlookup(AX59,Ores[],8,FALSE)+if(isblank(AZ59),0,BA59*vlookup(AZ59,Ores[],8,FALSE))+if(isblank(BB59),0,BC59*vlookup(BB59,Ores[],8,FALSE))+if(isblank(BD59),0,BE59*vlookup(BD59,Ores[],8,FALSE))+if(isblank(BF59),0,BG59*vlookup(BF59,Ores[],8,FALSE)))/BH59)</f>
        <v>0</v>
      </c>
      <c r="BS59" s="21">
        <f>ifs(isblank(AX59),0,BH59="NR","NR",BH59="?","?",1,(AY59*vlookup(AX59,Ores[],7,FALSE)+if(isblank(AZ59),0,BA59*vlookup(AZ59,Ores[],7,FALSE))+if(isblank(BB59),0,BC59*vlookup(BB59,Ores[],7,FALSE))+if(isblank(BD59),0,BE59*vlookup(BD59,Ores[],7,FALSE))+if(isblank(BF59),0,BG59*vlookup(BF59,Ores[],7,FALSE)))/BH59)</f>
        <v>0</v>
      </c>
      <c r="BT59" s="21">
        <f>ifs(isblank(AX59),0,BH59="NR","NR",BH59="?","?",1,(AY59*vlookup(AX59,Ores[],3,FALSE)+if(isblank(AZ59),0,BA59*vlookup(AZ59,Ores[],3,FALSE))+if(isblank(BB59),0,BC59*vlookup(BB59,Ores[],3,FALSE))+if(isblank(BD59),0,BE59*vlookup(BD59,Ores[],3,FALSE))+if(isblank(BF59),0,BG59*vlookup(BF59,Ores[],3,FALSE)))/BH59)</f>
        <v>1.808863431</v>
      </c>
      <c r="BU59" s="21">
        <f>ifs(isblank(AX59),0,BH59="NR","NR",BH59="?","?",1,(AY59*vlookup(AX59,Ores[],5,FALSE)+if(isblank(AZ59),0,BA59*vlookup(AZ59,Ores[],5,FALSE))+if(isblank(BB59),0,BC59*vlookup(BB59,Ores[],5,FALSE))+if(isblank(BD59),0,BE59*vlookup(BD59,Ores[],5,FALSE))+if(isblank(BF59),0,BG59*vlookup(BF59,Ores[],5,FALSE)))/BH59)</f>
        <v>0</v>
      </c>
      <c r="BV59" s="22">
        <f t="shared" si="7"/>
        <v>6.339622642</v>
      </c>
      <c r="BW59" s="40">
        <v>68.0</v>
      </c>
      <c r="BX59" s="41">
        <v>53.0</v>
      </c>
      <c r="BY59" s="47"/>
      <c r="BZ59" s="56">
        <f t="shared" si="8"/>
        <v>11.11111111</v>
      </c>
      <c r="CA59" s="53">
        <f t="shared" si="9"/>
        <v>5.617977528</v>
      </c>
      <c r="CB59" s="43" t="s">
        <v>557</v>
      </c>
      <c r="CC59" s="43" t="s">
        <v>612</v>
      </c>
      <c r="CD59" s="28">
        <f t="shared" si="10"/>
        <v>5.617977528</v>
      </c>
      <c r="CE59" s="43">
        <f t="shared" si="11"/>
        <v>200</v>
      </c>
      <c r="CF59" s="41"/>
      <c r="CG59" s="43"/>
      <c r="CH59" s="43">
        <v>88.0</v>
      </c>
      <c r="CI59" s="43">
        <v>288.0</v>
      </c>
      <c r="CJ59" s="43">
        <v>336.0</v>
      </c>
      <c r="CK59" s="43">
        <v>18.0</v>
      </c>
      <c r="CL59" s="43">
        <v>18.2</v>
      </c>
      <c r="CM59" s="43">
        <v>8.0</v>
      </c>
      <c r="CN59" s="43">
        <v>35.6</v>
      </c>
      <c r="CO59" s="43">
        <v>18.0</v>
      </c>
      <c r="CP59" s="43">
        <v>3.8</v>
      </c>
      <c r="CQ59" s="43">
        <v>2.0</v>
      </c>
      <c r="CR59" s="41" t="s">
        <v>257</v>
      </c>
      <c r="CS59" s="53">
        <v>5.2</v>
      </c>
      <c r="CT59" s="43" t="s">
        <v>216</v>
      </c>
      <c r="CU59" s="30"/>
      <c r="CV59" s="29"/>
      <c r="CW59" s="30">
        <f t="shared" si="12"/>
        <v>0.1677419355</v>
      </c>
      <c r="CX59" s="31">
        <f t="shared" si="19"/>
        <v>0.3273679198</v>
      </c>
      <c r="CY59" s="41"/>
      <c r="CZ59" s="41"/>
      <c r="DA59" s="41" t="s">
        <v>613</v>
      </c>
      <c r="DB59" s="41" t="s">
        <v>614</v>
      </c>
      <c r="DC59" s="41" t="s">
        <v>615</v>
      </c>
      <c r="DD59" s="41"/>
      <c r="DE59" s="41"/>
      <c r="DF59" s="41"/>
      <c r="DG59" s="41"/>
      <c r="DH59" s="41"/>
      <c r="DI59" s="41"/>
      <c r="DJ59" s="41"/>
      <c r="DK59" s="41"/>
      <c r="DL59" s="41"/>
      <c r="DM59" s="45"/>
    </row>
    <row r="60" ht="21.75" customHeight="1">
      <c r="A60" s="33">
        <v>57.0</v>
      </c>
      <c r="B60" s="34" t="s">
        <v>616</v>
      </c>
      <c r="C60" s="34" t="s">
        <v>617</v>
      </c>
      <c r="D60" s="34" t="s">
        <v>618</v>
      </c>
      <c r="E60" s="82">
        <v>41862.0</v>
      </c>
      <c r="F60" s="34" t="s">
        <v>604</v>
      </c>
      <c r="G60" s="36" t="s">
        <v>110</v>
      </c>
      <c r="H60" s="36" t="s">
        <v>605</v>
      </c>
      <c r="I60" s="36" t="s">
        <v>606</v>
      </c>
      <c r="J60" s="36" t="s">
        <v>590</v>
      </c>
      <c r="K60" s="36">
        <v>1.0</v>
      </c>
      <c r="L60" s="34"/>
      <c r="M60" s="36" t="s">
        <v>427</v>
      </c>
      <c r="N60" s="36" t="s">
        <v>151</v>
      </c>
      <c r="O60" s="34">
        <f t="shared" si="23"/>
        <v>66</v>
      </c>
      <c r="P60" s="34">
        <f t="shared" si="21"/>
        <v>66</v>
      </c>
      <c r="Q60" s="36">
        <v>66.0</v>
      </c>
      <c r="R60" s="34"/>
      <c r="S60" s="34">
        <v>45.0</v>
      </c>
      <c r="T60" s="34" t="s">
        <v>619</v>
      </c>
      <c r="U60" s="36">
        <v>29.0</v>
      </c>
      <c r="V60" s="36">
        <v>20.0</v>
      </c>
      <c r="W60" s="36"/>
      <c r="X60" s="36">
        <v>24.0</v>
      </c>
      <c r="Y60" s="36"/>
      <c r="Z60" s="36" t="s">
        <v>123</v>
      </c>
      <c r="AA60" s="37">
        <f>Calcs!O60</f>
        <v>455.5</v>
      </c>
      <c r="AB60" s="34" t="s">
        <v>609</v>
      </c>
      <c r="AC60" s="34" t="s">
        <v>620</v>
      </c>
      <c r="AD60" s="34" t="s">
        <v>262</v>
      </c>
      <c r="AE60" s="34">
        <v>2.5</v>
      </c>
      <c r="AF60" s="36"/>
      <c r="AG60" s="36">
        <v>20.0</v>
      </c>
      <c r="AH60" s="36" t="s">
        <v>170</v>
      </c>
      <c r="AI60" s="34"/>
      <c r="AJ60" s="34">
        <v>5.0</v>
      </c>
      <c r="AK60" s="34"/>
      <c r="AL60" s="34" t="s">
        <v>184</v>
      </c>
      <c r="AM60" s="34"/>
      <c r="AN60" s="36" t="s">
        <v>116</v>
      </c>
      <c r="AO60" s="34">
        <v>11.0</v>
      </c>
      <c r="AP60" s="34"/>
      <c r="AQ60" s="34" t="s">
        <v>621</v>
      </c>
      <c r="AR60" s="34"/>
      <c r="AS60" s="34" t="s">
        <v>140</v>
      </c>
      <c r="AT60" s="14" t="str">
        <f t="shared" si="3"/>
        <v/>
      </c>
      <c r="AU60" s="12"/>
      <c r="AV60" s="38"/>
      <c r="AW60" s="17">
        <f t="shared" si="4"/>
        <v>546.6</v>
      </c>
      <c r="AX60" s="36" t="s">
        <v>622</v>
      </c>
      <c r="AY60" s="36">
        <v>16.2</v>
      </c>
      <c r="AZ60" s="36" t="s">
        <v>623</v>
      </c>
      <c r="BA60" s="36">
        <v>7.8</v>
      </c>
      <c r="BB60" s="36" t="s">
        <v>624</v>
      </c>
      <c r="BC60" s="36">
        <v>6.0</v>
      </c>
      <c r="BD60" s="34"/>
      <c r="BE60" s="34"/>
      <c r="BF60" s="34"/>
      <c r="BG60" s="34"/>
      <c r="BH60" s="18">
        <f t="shared" si="25"/>
        <v>30</v>
      </c>
      <c r="BI60" s="19">
        <f>ifs(BH60=0,"na",BH60="NR","NR",BH60="?","?",BK60&gt;0,"?",iserror(Calcs!AB60),"?",1,Calcs!AB60)</f>
        <v>0.4162579599</v>
      </c>
      <c r="BJ60" s="34" t="s">
        <v>125</v>
      </c>
      <c r="BK60" s="34"/>
      <c r="BL60" s="18">
        <f t="shared" si="6"/>
        <v>30</v>
      </c>
      <c r="BM60" s="34"/>
      <c r="BN60" s="34"/>
      <c r="BO60" s="34" t="s">
        <v>593</v>
      </c>
      <c r="BP60" s="20">
        <f>ifs(isblank(AX60),0,BH60="NR","NR",BH60="?","?",1,(AY60*vlookup(AX60,Ores[],2,FALSE)+if(isblank(AZ60),0,BA60*vlookup(AZ60,Ores[],2,FALSE))+if(isblank(BB60),0,BC60*vlookup(BB60,Ores[],2,FALSE))+if(isblank(BD60),0,BE60*vlookup(BD60,Ores[],2,FALSE))+if(isblank(BF60),0,BG60*vlookup(BF60,Ores[],2,FALSE)))/BH60)</f>
        <v>31.735</v>
      </c>
      <c r="BQ60" s="20">
        <f>ifs(isblank(AX60),0,BH60="NR","NR",BH60="?","?",1,(AY60*vlookup(AX60,Ores[],4,FALSE)+if(isblank(AZ60),0,BA60*vlookup(AZ60,Ores[],4,FALSE))+if(isblank(BB60),0,BC60*vlookup(BB60,Ores[],4,FALSE))+if(isblank(BD60),0,BE60*vlookup(BD60,Ores[],4,FALSE))+if(isblank(BF60),0,BG60*vlookup(BF60,Ores[],4,FALSE)))/BH60)</f>
        <v>1.2084</v>
      </c>
      <c r="BR60" s="21">
        <f>ifs(isblank(AX60),0,BH60="NR","NR",BH60="?","?",1,(AY60*vlookup(AX60,Ores[],8,FALSE)+if(isblank(AZ60),0,BA60*vlookup(AZ60,Ores[],8,FALSE))+if(isblank(BB60),0,BC60*vlookup(BB60,Ores[],8,FALSE))+if(isblank(BD60),0,BE60*vlookup(BD60,Ores[],8,FALSE))+if(isblank(BF60),0,BG60*vlookup(BF60,Ores[],8,FALSE)))/BH60)</f>
        <v>0.67932</v>
      </c>
      <c r="BS60" s="21">
        <f>ifs(isblank(AX60),0,BH60="NR","NR",BH60="?","?",1,(AY60*vlookup(AX60,Ores[],7,FALSE)+if(isblank(AZ60),0,BA60*vlookup(AZ60,Ores[],7,FALSE))+if(isblank(BB60),0,BC60*vlookup(BB60,Ores[],7,FALSE))+if(isblank(BD60),0,BE60*vlookup(BD60,Ores[],7,FALSE))+if(isblank(BF60),0,BG60*vlookup(BF60,Ores[],7,FALSE)))/BH60)</f>
        <v>0.008208</v>
      </c>
      <c r="BT60" s="21">
        <f>ifs(isblank(AX60),0,BH60="NR","NR",BH60="?","?",1,(AY60*vlookup(AX60,Ores[],3,FALSE)+if(isblank(AZ60),0,BA60*vlookup(AZ60,Ores[],3,FALSE))+if(isblank(BB60),0,BC60*vlookup(BB60,Ores[],3,FALSE))+if(isblank(BD60),0,BE60*vlookup(BD60,Ores[],3,FALSE))+if(isblank(BF60),0,BG60*vlookup(BF60,Ores[],3,FALSE)))/BH60)</f>
        <v>0.1206</v>
      </c>
      <c r="BU60" s="21">
        <f>ifs(isblank(AX60),0,BH60="NR","NR",BH60="?","?",1,(AY60*vlookup(AX60,Ores[],5,FALSE)+if(isblank(AZ60),0,BA60*vlookup(AZ60,Ores[],5,FALSE))+if(isblank(BB60),0,BC60*vlookup(BB60,Ores[],5,FALSE))+if(isblank(BD60),0,BE60*vlookup(BD60,Ores[],5,FALSE))+if(isblank(BF60),0,BG60*vlookup(BF60,Ores[],5,FALSE)))/BH60)</f>
        <v>0.07748</v>
      </c>
      <c r="BV60" s="22" t="str">
        <f t="shared" si="7"/>
        <v>NR</v>
      </c>
      <c r="BW60" s="40">
        <v>22.0</v>
      </c>
      <c r="BX60" s="41">
        <v>60.0</v>
      </c>
      <c r="BY60" s="47"/>
      <c r="BZ60" s="56">
        <f t="shared" si="8"/>
        <v>10.89473684</v>
      </c>
      <c r="CA60" s="53">
        <f t="shared" si="9"/>
        <v>5.447368421</v>
      </c>
      <c r="CB60" s="41" t="s">
        <v>625</v>
      </c>
      <c r="CC60" s="41" t="s">
        <v>626</v>
      </c>
      <c r="CD60" s="28">
        <f t="shared" si="10"/>
        <v>5.447368421</v>
      </c>
      <c r="CE60" s="43">
        <f t="shared" si="11"/>
        <v>207</v>
      </c>
      <c r="CF60" s="41"/>
      <c r="CG60" s="43"/>
      <c r="CH60" s="43">
        <v>54.0</v>
      </c>
      <c r="CI60" s="43">
        <v>261.0</v>
      </c>
      <c r="CJ60" s="43" t="s">
        <v>116</v>
      </c>
      <c r="CK60" s="43">
        <v>19.0</v>
      </c>
      <c r="CL60" s="43">
        <v>10.0</v>
      </c>
      <c r="CM60" s="43">
        <v>5.0</v>
      </c>
      <c r="CN60" s="43">
        <v>38.0</v>
      </c>
      <c r="CO60" s="43">
        <v>19.0</v>
      </c>
      <c r="CP60" s="43">
        <v>4.0</v>
      </c>
      <c r="CQ60" s="43">
        <v>2.0</v>
      </c>
      <c r="CR60" s="41" t="s">
        <v>257</v>
      </c>
      <c r="CS60" s="53">
        <v>2.3</v>
      </c>
      <c r="CT60" s="43" t="s">
        <v>627</v>
      </c>
      <c r="CU60" s="30"/>
      <c r="CV60" s="29"/>
      <c r="CW60" s="30">
        <f t="shared" si="12"/>
        <v>0.07666666667</v>
      </c>
      <c r="CX60" s="31">
        <f t="shared" si="19"/>
        <v>0.1841806621</v>
      </c>
      <c r="CY60" s="41"/>
      <c r="CZ60" s="41"/>
      <c r="DA60" s="41" t="s">
        <v>613</v>
      </c>
      <c r="DB60" s="41" t="s">
        <v>628</v>
      </c>
      <c r="DC60" s="41" t="s">
        <v>629</v>
      </c>
      <c r="DD60" s="41"/>
      <c r="DE60" s="41"/>
      <c r="DF60" s="41"/>
      <c r="DG60" s="41"/>
      <c r="DH60" s="41"/>
      <c r="DI60" s="41"/>
      <c r="DJ60" s="41"/>
      <c r="DK60" s="41"/>
      <c r="DL60" s="41"/>
      <c r="DM60" s="45"/>
    </row>
    <row r="61" ht="21.75" customHeight="1">
      <c r="A61" s="33">
        <v>58.0</v>
      </c>
      <c r="B61" s="34" t="s">
        <v>630</v>
      </c>
      <c r="C61" s="34" t="s">
        <v>617</v>
      </c>
      <c r="D61" s="34" t="s">
        <v>618</v>
      </c>
      <c r="E61" s="82">
        <v>41865.0</v>
      </c>
      <c r="F61" s="34" t="s">
        <v>604</v>
      </c>
      <c r="G61" s="36" t="s">
        <v>110</v>
      </c>
      <c r="H61" s="36" t="s">
        <v>605</v>
      </c>
      <c r="I61" s="36" t="s">
        <v>606</v>
      </c>
      <c r="J61" s="36" t="s">
        <v>590</v>
      </c>
      <c r="K61" s="36">
        <v>2.0</v>
      </c>
      <c r="L61" s="36">
        <v>57.0</v>
      </c>
      <c r="M61" s="36" t="s">
        <v>427</v>
      </c>
      <c r="N61" s="36" t="s">
        <v>151</v>
      </c>
      <c r="O61" s="34">
        <f t="shared" si="23"/>
        <v>66</v>
      </c>
      <c r="P61" s="34">
        <f t="shared" si="21"/>
        <v>66</v>
      </c>
      <c r="Q61" s="36">
        <v>66.0</v>
      </c>
      <c r="R61" s="34"/>
      <c r="S61" s="34">
        <v>45.0</v>
      </c>
      <c r="T61" s="34" t="s">
        <v>619</v>
      </c>
      <c r="U61" s="36">
        <v>29.0</v>
      </c>
      <c r="V61" s="36">
        <v>20.0</v>
      </c>
      <c r="W61" s="36"/>
      <c r="X61" s="36">
        <v>24.0</v>
      </c>
      <c r="Y61" s="36"/>
      <c r="Z61" s="36" t="s">
        <v>123</v>
      </c>
      <c r="AA61" s="37">
        <f>Calcs!O61</f>
        <v>455.5</v>
      </c>
      <c r="AB61" s="34" t="s">
        <v>609</v>
      </c>
      <c r="AC61" s="34" t="s">
        <v>620</v>
      </c>
      <c r="AD61" s="34" t="s">
        <v>262</v>
      </c>
      <c r="AE61" s="34">
        <v>2.5</v>
      </c>
      <c r="AF61" s="36"/>
      <c r="AG61" s="36">
        <v>20.0</v>
      </c>
      <c r="AH61" s="36" t="s">
        <v>170</v>
      </c>
      <c r="AI61" s="34"/>
      <c r="AJ61" s="34">
        <v>4.0</v>
      </c>
      <c r="AK61" s="34"/>
      <c r="AL61" s="34" t="s">
        <v>184</v>
      </c>
      <c r="AM61" s="34"/>
      <c r="AN61" s="36" t="s">
        <v>116</v>
      </c>
      <c r="AO61" s="34">
        <v>15.0</v>
      </c>
      <c r="AP61" s="34"/>
      <c r="AQ61" s="34" t="s">
        <v>621</v>
      </c>
      <c r="AR61" s="34"/>
      <c r="AS61" s="34" t="s">
        <v>140</v>
      </c>
      <c r="AT61" s="14" t="str">
        <f t="shared" si="3"/>
        <v/>
      </c>
      <c r="AU61" s="12"/>
      <c r="AV61" s="38"/>
      <c r="AW61" s="17">
        <f t="shared" si="4"/>
        <v>546.6</v>
      </c>
      <c r="AX61" s="36" t="s">
        <v>624</v>
      </c>
      <c r="AY61" s="36">
        <v>27.0</v>
      </c>
      <c r="AZ61" s="36" t="s">
        <v>623</v>
      </c>
      <c r="BA61" s="36">
        <v>14.0</v>
      </c>
      <c r="BB61" s="34"/>
      <c r="BC61" s="34"/>
      <c r="BD61" s="34"/>
      <c r="BE61" s="34"/>
      <c r="BF61" s="34"/>
      <c r="BG61" s="34"/>
      <c r="BH61" s="18">
        <f t="shared" si="25"/>
        <v>41</v>
      </c>
      <c r="BI61" s="19">
        <f>ifs(BH61=0,"na",BH61="NR","NR",BH61="?","?",BK61&gt;0,"?",iserror(Calcs!AB61),"?",1,Calcs!AB61)</f>
        <v>0.584357617</v>
      </c>
      <c r="BJ61" s="34" t="s">
        <v>125</v>
      </c>
      <c r="BK61" s="34"/>
      <c r="BL61" s="18">
        <f t="shared" si="6"/>
        <v>41</v>
      </c>
      <c r="BM61" s="34"/>
      <c r="BN61" s="34"/>
      <c r="BO61" s="34" t="s">
        <v>593</v>
      </c>
      <c r="BP61" s="20">
        <f>ifs(isblank(AX61),0,BH61="NR","NR",BH61="?","?",1,(AY61*vlookup(AX61,Ores[],2,FALSE)+if(isblank(AZ61),0,BA61*vlookup(AZ61,Ores[],2,FALSE))+if(isblank(BB61),0,BC61*vlookup(BB61,Ores[],2,FALSE))+if(isblank(BD61),0,BE61*vlookup(BD61,Ores[],2,FALSE))+if(isblank(BF61),0,BG61*vlookup(BF61,Ores[],2,FALSE)))/BH61)</f>
        <v>6.914756098</v>
      </c>
      <c r="BQ61" s="20">
        <f>ifs(isblank(AX61),0,BH61="NR","NR",BH61="?","?",1,(AY61*vlookup(AX61,Ores[],4,FALSE)+if(isblank(AZ61),0,BA61*vlookup(AZ61,Ores[],4,FALSE))+if(isblank(BB61),0,BC61*vlookup(BB61,Ores[],4,FALSE))+if(isblank(BD61),0,BE61*vlookup(BD61,Ores[],4,FALSE))+if(isblank(BF61),0,BG61*vlookup(BF61,Ores[],4,FALSE)))/BH61)</f>
        <v>2.034268293</v>
      </c>
      <c r="BR61" s="21">
        <f>ifs(isblank(AX61),0,BH61="NR","NR",BH61="?","?",1,(AY61*vlookup(AX61,Ores[],8,FALSE)+if(isblank(AZ61),0,BA61*vlookup(AZ61,Ores[],8,FALSE))+if(isblank(BB61),0,BC61*vlookup(BB61,Ores[],8,FALSE))+if(isblank(BD61),0,BE61*vlookup(BD61,Ores[],8,FALSE))+if(isblank(BF61),0,BG61*vlookup(BF61,Ores[],8,FALSE)))/BH61)</f>
        <v>0</v>
      </c>
      <c r="BS61" s="21">
        <f>ifs(isblank(AX61),0,BH61="NR","NR",BH61="?","?",1,(AY61*vlookup(AX61,Ores[],7,FALSE)+if(isblank(AZ61),0,BA61*vlookup(AZ61,Ores[],7,FALSE))+if(isblank(BB61),0,BC61*vlookup(BB61,Ores[],7,FALSE))+if(isblank(BD61),0,BE61*vlookup(BD61,Ores[],7,FALSE))+if(isblank(BF61),0,BG61*vlookup(BF61,Ores[],7,FALSE)))/BH61)</f>
        <v>0</v>
      </c>
      <c r="BT61" s="21">
        <f>ifs(isblank(AX61),0,BH61="NR","NR",BH61="?","?",1,(AY61*vlookup(AX61,Ores[],3,FALSE)+if(isblank(AZ61),0,BA61*vlookup(AZ61,Ores[],3,FALSE))+if(isblank(BB61),0,BC61*vlookup(BB61,Ores[],3,FALSE))+if(isblank(BD61),0,BE61*vlookup(BD61,Ores[],3,FALSE))+if(isblank(BF61),0,BG61*vlookup(BF61,Ores[],3,FALSE)))/BH61)</f>
        <v>0.1229268293</v>
      </c>
      <c r="BU61" s="21">
        <f>ifs(isblank(AX61),0,BH61="NR","NR",BH61="?","?",1,(AY61*vlookup(AX61,Ores[],5,FALSE)+if(isblank(AZ61),0,BA61*vlookup(AZ61,Ores[],5,FALSE))+if(isblank(BB61),0,BC61*vlookup(BB61,Ores[],5,FALSE))+if(isblank(BD61),0,BE61*vlookup(BD61,Ores[],5,FALSE))+if(isblank(BF61),0,BG61*vlookup(BF61,Ores[],5,FALSE)))/BH61)</f>
        <v>0.06487804878</v>
      </c>
      <c r="BV61" s="22" t="str">
        <f t="shared" si="7"/>
        <v>NR</v>
      </c>
      <c r="BW61" s="40">
        <v>72.0</v>
      </c>
      <c r="BX61" s="41">
        <v>62.0</v>
      </c>
      <c r="BY61" s="47"/>
      <c r="BZ61" s="56">
        <f t="shared" si="8"/>
        <v>4.025</v>
      </c>
      <c r="CA61" s="53">
        <f t="shared" si="9"/>
        <v>8.05</v>
      </c>
      <c r="CB61" s="41" t="s">
        <v>625</v>
      </c>
      <c r="CC61" s="41" t="s">
        <v>626</v>
      </c>
      <c r="CD61" s="28">
        <f t="shared" si="10"/>
        <v>8.05</v>
      </c>
      <c r="CE61" s="43">
        <f t="shared" si="11"/>
        <v>161</v>
      </c>
      <c r="CF61" s="41"/>
      <c r="CG61" s="43"/>
      <c r="CH61" s="43">
        <v>46.0</v>
      </c>
      <c r="CI61" s="43">
        <v>207.0</v>
      </c>
      <c r="CJ61" s="43" t="s">
        <v>116</v>
      </c>
      <c r="CK61" s="43">
        <v>20.0</v>
      </c>
      <c r="CL61" s="43">
        <v>10.0</v>
      </c>
      <c r="CM61" s="43">
        <v>5.0</v>
      </c>
      <c r="CN61" s="43">
        <v>20.0</v>
      </c>
      <c r="CO61" s="43">
        <v>40.0</v>
      </c>
      <c r="CP61" s="43">
        <v>4.0</v>
      </c>
      <c r="CQ61" s="43">
        <v>2.0</v>
      </c>
      <c r="CR61" s="41" t="s">
        <v>257</v>
      </c>
      <c r="CS61" s="53">
        <v>4.7</v>
      </c>
      <c r="CT61" s="43" t="s">
        <v>199</v>
      </c>
      <c r="CU61" s="30"/>
      <c r="CV61" s="29"/>
      <c r="CW61" s="30">
        <f t="shared" si="12"/>
        <v>0.1146341463</v>
      </c>
      <c r="CX61" s="31">
        <f t="shared" si="19"/>
        <v>0.1961712195</v>
      </c>
      <c r="CY61" s="41"/>
      <c r="CZ61" s="41"/>
      <c r="DA61" s="41" t="s">
        <v>613</v>
      </c>
      <c r="DB61" s="41" t="s">
        <v>631</v>
      </c>
      <c r="DC61" s="41" t="s">
        <v>632</v>
      </c>
      <c r="DD61" s="41"/>
      <c r="DE61" s="41"/>
      <c r="DF61" s="41"/>
      <c r="DG61" s="41"/>
      <c r="DH61" s="41"/>
      <c r="DI61" s="41"/>
      <c r="DJ61" s="41"/>
      <c r="DK61" s="41"/>
      <c r="DL61" s="41"/>
      <c r="DM61" s="45"/>
    </row>
    <row r="62" ht="21.75" customHeight="1">
      <c r="A62" s="33">
        <v>59.0</v>
      </c>
      <c r="B62" s="36" t="s">
        <v>633</v>
      </c>
      <c r="C62" s="34" t="s">
        <v>617</v>
      </c>
      <c r="D62" s="34" t="s">
        <v>618</v>
      </c>
      <c r="E62" s="82">
        <v>41868.0</v>
      </c>
      <c r="F62" s="34" t="s">
        <v>604</v>
      </c>
      <c r="G62" s="36" t="s">
        <v>123</v>
      </c>
      <c r="H62" s="36" t="s">
        <v>605</v>
      </c>
      <c r="I62" s="36" t="s">
        <v>606</v>
      </c>
      <c r="J62" s="36" t="s">
        <v>590</v>
      </c>
      <c r="K62" s="36">
        <v>1.0</v>
      </c>
      <c r="L62" s="34"/>
      <c r="M62" s="36" t="s">
        <v>150</v>
      </c>
      <c r="N62" s="36" t="s">
        <v>151</v>
      </c>
      <c r="O62" s="34">
        <f t="shared" si="23"/>
        <v>64</v>
      </c>
      <c r="P62" s="34">
        <f t="shared" si="21"/>
        <v>64</v>
      </c>
      <c r="Q62" s="36">
        <v>64.0</v>
      </c>
      <c r="R62" s="34"/>
      <c r="S62" s="34">
        <v>58.0</v>
      </c>
      <c r="T62" s="34" t="s">
        <v>634</v>
      </c>
      <c r="U62" s="83" t="s">
        <v>116</v>
      </c>
      <c r="V62" s="83">
        <v>20.0</v>
      </c>
      <c r="W62" s="34"/>
      <c r="X62" s="34">
        <v>23.0</v>
      </c>
      <c r="Y62" s="34"/>
      <c r="Z62" s="36" t="s">
        <v>123</v>
      </c>
      <c r="AA62" s="37">
        <f>Calcs!O62</f>
        <v>415.5</v>
      </c>
      <c r="AB62" s="34" t="s">
        <v>609</v>
      </c>
      <c r="AC62" s="34" t="s">
        <v>116</v>
      </c>
      <c r="AD62" s="34" t="s">
        <v>262</v>
      </c>
      <c r="AE62" s="34">
        <v>2.5</v>
      </c>
      <c r="AF62" s="65"/>
      <c r="AG62" s="65">
        <v>22.0</v>
      </c>
      <c r="AH62" s="36" t="s">
        <v>170</v>
      </c>
      <c r="AI62" s="34"/>
      <c r="AJ62" s="34">
        <v>5.0</v>
      </c>
      <c r="AK62" s="34"/>
      <c r="AL62" s="34" t="s">
        <v>184</v>
      </c>
      <c r="AM62" s="34"/>
      <c r="AN62" s="36">
        <v>20.0</v>
      </c>
      <c r="AO62" s="34">
        <v>15.0</v>
      </c>
      <c r="AP62" s="34"/>
      <c r="AQ62" s="34" t="s">
        <v>635</v>
      </c>
      <c r="AR62" s="34"/>
      <c r="AS62" s="34" t="s">
        <v>140</v>
      </c>
      <c r="AT62" s="14" t="str">
        <f t="shared" si="3"/>
        <v/>
      </c>
      <c r="AU62" s="12"/>
      <c r="AV62" s="38"/>
      <c r="AW62" s="17">
        <f t="shared" si="4"/>
        <v>498.6</v>
      </c>
      <c r="AX62" s="36" t="s">
        <v>623</v>
      </c>
      <c r="AY62" s="36">
        <v>33.5</v>
      </c>
      <c r="AZ62" s="36" t="s">
        <v>624</v>
      </c>
      <c r="BA62" s="36">
        <v>7.5</v>
      </c>
      <c r="BB62" s="34"/>
      <c r="BC62" s="34"/>
      <c r="BD62" s="34"/>
      <c r="BE62" s="34"/>
      <c r="BF62" s="34"/>
      <c r="BG62" s="34"/>
      <c r="BH62" s="18">
        <f t="shared" si="25"/>
        <v>41</v>
      </c>
      <c r="BI62" s="19">
        <f>ifs(BH62=0,"na",BH62="NR","NR",BH62="?","?",BK62&gt;0,"?",iserror(Calcs!AB62),"?",1,Calcs!AB62)</f>
        <v>0.6346316106</v>
      </c>
      <c r="BJ62" s="34" t="s">
        <v>125</v>
      </c>
      <c r="BK62" s="34"/>
      <c r="BL62" s="18">
        <f t="shared" si="6"/>
        <v>41</v>
      </c>
      <c r="BM62" s="34"/>
      <c r="BN62" s="34"/>
      <c r="BO62" s="34" t="s">
        <v>636</v>
      </c>
      <c r="BP62" s="20">
        <f>ifs(isblank(AX62),0,BH62="NR","NR",BH62="?","?",1,(AY62*vlookup(AX62,Ores[],2,FALSE)+if(isblank(AZ62),0,BA62*vlookup(AZ62,Ores[],2,FALSE))+if(isblank(BB62),0,BC62*vlookup(BB62,Ores[],2,FALSE))+if(isblank(BD62),0,BE62*vlookup(BD62,Ores[],2,FALSE))+if(isblank(BF62),0,BG62*vlookup(BF62,Ores[],2,FALSE)))/BH62)</f>
        <v>5.437987805</v>
      </c>
      <c r="BQ62" s="20">
        <f>ifs(isblank(AX62),0,BH62="NR","NR",BH62="?","?",1,(AY62*vlookup(AX62,Ores[],4,FALSE)+if(isblank(AZ62),0,BA62*vlookup(AZ62,Ores[],4,FALSE))+if(isblank(BB62),0,BC62*vlookup(BB62,Ores[],4,FALSE))+if(isblank(BD62),0,BE62*vlookup(BD62,Ores[],4,FALSE))+if(isblank(BF62),0,BG62*vlookup(BF62,Ores[],4,FALSE)))/BH62)</f>
        <v>0.7239634146</v>
      </c>
      <c r="BR62" s="21">
        <f>ifs(isblank(AX62),0,BH62="NR","NR",BH62="?","?",1,(AY62*vlookup(AX62,Ores[],8,FALSE)+if(isblank(AZ62),0,BA62*vlookup(AZ62,Ores[],8,FALSE))+if(isblank(BB62),0,BC62*vlookup(BB62,Ores[],8,FALSE))+if(isblank(BD62),0,BE62*vlookup(BD62,Ores[],8,FALSE))+if(isblank(BF62),0,BG62*vlookup(BF62,Ores[],8,FALSE)))/BH62)</f>
        <v>0</v>
      </c>
      <c r="BS62" s="21">
        <f>ifs(isblank(AX62),0,BH62="NR","NR",BH62="?","?",1,(AY62*vlookup(AX62,Ores[],7,FALSE)+if(isblank(AZ62),0,BA62*vlookup(AZ62,Ores[],7,FALSE))+if(isblank(BB62),0,BC62*vlookup(BB62,Ores[],7,FALSE))+if(isblank(BD62),0,BE62*vlookup(BD62,Ores[],7,FALSE))+if(isblank(BF62),0,BG62*vlookup(BF62,Ores[],7,FALSE)))/BH62)</f>
        <v>0</v>
      </c>
      <c r="BT62" s="21">
        <f>ifs(isblank(AX62),0,BH62="NR","NR",BH62="?","?",1,(AY62*vlookup(AX62,Ores[],3,FALSE)+if(isblank(AZ62),0,BA62*vlookup(AZ62,Ores[],3,FALSE))+if(isblank(BB62),0,BC62*vlookup(BB62,Ores[],3,FALSE))+if(isblank(BD62),0,BE62*vlookup(BD62,Ores[],3,FALSE))+if(isblank(BF62),0,BG62*vlookup(BF62,Ores[],3,FALSE)))/BH62)</f>
        <v>0.2941463415</v>
      </c>
      <c r="BU62" s="21">
        <f>ifs(isblank(AX62),0,BH62="NR","NR",BH62="?","?",1,(AY62*vlookup(AX62,Ores[],5,FALSE)+if(isblank(AZ62),0,BA62*vlookup(AZ62,Ores[],5,FALSE))+if(isblank(BB62),0,BC62*vlookup(BB62,Ores[],5,FALSE))+if(isblank(BD62),0,BE62*vlookup(BD62,Ores[],5,FALSE))+if(isblank(BF62),0,BG62*vlookup(BF62,Ores[],5,FALSE)))/BH62)</f>
        <v>0.1552439024</v>
      </c>
      <c r="BV62" s="22" t="str">
        <f t="shared" si="7"/>
        <v>NR</v>
      </c>
      <c r="BW62" s="40">
        <v>19.0</v>
      </c>
      <c r="BX62" s="41">
        <v>61.0</v>
      </c>
      <c r="BY62" s="47"/>
      <c r="BZ62" s="56">
        <f t="shared" si="8"/>
        <v>13.25</v>
      </c>
      <c r="CA62" s="53">
        <f t="shared" si="9"/>
        <v>6.973684211</v>
      </c>
      <c r="CB62" s="41" t="s">
        <v>625</v>
      </c>
      <c r="CC62" s="41" t="s">
        <v>626</v>
      </c>
      <c r="CD62" s="28">
        <f t="shared" si="10"/>
        <v>6.973684211</v>
      </c>
      <c r="CE62" s="43">
        <f t="shared" si="11"/>
        <v>265</v>
      </c>
      <c r="CF62" s="41"/>
      <c r="CG62" s="43"/>
      <c r="CH62" s="43">
        <v>42.0</v>
      </c>
      <c r="CI62" s="43">
        <v>307.0</v>
      </c>
      <c r="CJ62" s="43" t="s">
        <v>116</v>
      </c>
      <c r="CK62" s="43">
        <v>20.0</v>
      </c>
      <c r="CL62" s="43">
        <v>7.6</v>
      </c>
      <c r="CM62" s="43">
        <v>5.0</v>
      </c>
      <c r="CN62" s="43">
        <v>38.0</v>
      </c>
      <c r="CO62" s="43">
        <v>20.0</v>
      </c>
      <c r="CP62" s="43">
        <v>7.6</v>
      </c>
      <c r="CQ62" s="43">
        <v>4.0</v>
      </c>
      <c r="CR62" s="41" t="s">
        <v>257</v>
      </c>
      <c r="CS62" s="53">
        <v>11.6</v>
      </c>
      <c r="CT62" s="41" t="s">
        <v>480</v>
      </c>
      <c r="CU62" s="30"/>
      <c r="CV62" s="29"/>
      <c r="CW62" s="30">
        <f t="shared" si="12"/>
        <v>0.2829268293</v>
      </c>
      <c r="CX62" s="31">
        <f t="shared" si="19"/>
        <v>0.445812696</v>
      </c>
      <c r="CY62" s="41"/>
      <c r="CZ62" s="41"/>
      <c r="DA62" s="41" t="s">
        <v>613</v>
      </c>
      <c r="DB62" s="41" t="s">
        <v>637</v>
      </c>
      <c r="DC62" s="41" t="s">
        <v>440</v>
      </c>
      <c r="DD62" s="41"/>
      <c r="DE62" s="41"/>
      <c r="DF62" s="41"/>
      <c r="DG62" s="41"/>
      <c r="DH62" s="41"/>
      <c r="DI62" s="41"/>
      <c r="DJ62" s="41"/>
      <c r="DK62" s="41"/>
      <c r="DL62" s="41"/>
      <c r="DM62" s="45"/>
    </row>
    <row r="63" ht="21.75" customHeight="1">
      <c r="A63" s="62" t="s">
        <v>638</v>
      </c>
      <c r="B63" s="34" t="s">
        <v>639</v>
      </c>
      <c r="C63" s="34" t="s">
        <v>617</v>
      </c>
      <c r="D63" s="34" t="s">
        <v>618</v>
      </c>
      <c r="E63" s="82">
        <v>41872.0</v>
      </c>
      <c r="F63" s="34" t="s">
        <v>640</v>
      </c>
      <c r="G63" s="36" t="s">
        <v>110</v>
      </c>
      <c r="H63" s="36" t="s">
        <v>605</v>
      </c>
      <c r="I63" s="36" t="s">
        <v>606</v>
      </c>
      <c r="J63" s="36" t="s">
        <v>590</v>
      </c>
      <c r="K63" s="36">
        <v>2.0</v>
      </c>
      <c r="L63" s="36">
        <v>59.0</v>
      </c>
      <c r="M63" s="36" t="s">
        <v>150</v>
      </c>
      <c r="N63" s="36" t="s">
        <v>151</v>
      </c>
      <c r="O63" s="34">
        <f t="shared" si="23"/>
        <v>64</v>
      </c>
      <c r="P63" s="34">
        <f t="shared" si="21"/>
        <v>64</v>
      </c>
      <c r="Q63" s="36">
        <v>64.0</v>
      </c>
      <c r="R63" s="34"/>
      <c r="S63" s="34">
        <v>58.0</v>
      </c>
      <c r="T63" s="34" t="s">
        <v>634</v>
      </c>
      <c r="U63" s="83" t="s">
        <v>116</v>
      </c>
      <c r="V63" s="83">
        <v>20.0</v>
      </c>
      <c r="W63" s="34"/>
      <c r="X63" s="34">
        <v>23.0</v>
      </c>
      <c r="Y63" s="34"/>
      <c r="Z63" s="36" t="s">
        <v>123</v>
      </c>
      <c r="AA63" s="37">
        <f>Calcs!O63</f>
        <v>415.5</v>
      </c>
      <c r="AB63" s="34" t="s">
        <v>609</v>
      </c>
      <c r="AC63" s="34" t="s">
        <v>116</v>
      </c>
      <c r="AD63" s="34" t="s">
        <v>262</v>
      </c>
      <c r="AE63" s="34">
        <v>2.5</v>
      </c>
      <c r="AF63" s="65"/>
      <c r="AG63" s="65">
        <v>22.0</v>
      </c>
      <c r="AH63" s="36" t="s">
        <v>170</v>
      </c>
      <c r="AI63" s="34"/>
      <c r="AJ63" s="34">
        <v>5.0</v>
      </c>
      <c r="AK63" s="34"/>
      <c r="AL63" s="34" t="s">
        <v>184</v>
      </c>
      <c r="AM63" s="34"/>
      <c r="AN63" s="36">
        <v>20.0</v>
      </c>
      <c r="AO63" s="34">
        <v>15.0</v>
      </c>
      <c r="AP63" s="34"/>
      <c r="AQ63" s="34" t="s">
        <v>635</v>
      </c>
      <c r="AR63" s="34"/>
      <c r="AS63" s="34" t="s">
        <v>140</v>
      </c>
      <c r="AT63" s="14" t="str">
        <f t="shared" si="3"/>
        <v/>
      </c>
      <c r="AU63" s="12"/>
      <c r="AV63" s="38"/>
      <c r="AW63" s="17">
        <f t="shared" si="4"/>
        <v>498.6</v>
      </c>
      <c r="AX63" s="36"/>
      <c r="AY63" s="36"/>
      <c r="AZ63" s="34"/>
      <c r="BA63" s="34"/>
      <c r="BB63" s="34"/>
      <c r="BC63" s="34"/>
      <c r="BD63" s="34"/>
      <c r="BE63" s="34"/>
      <c r="BF63" s="34"/>
      <c r="BG63" s="34"/>
      <c r="BH63" s="18">
        <f t="shared" si="25"/>
        <v>0</v>
      </c>
      <c r="BI63" s="19" t="str">
        <f>ifs(BH63=0,"na",BH63="NR","NR",BH63="?","?",BK63&gt;0,"?",iserror(Calcs!AB63),"?",1,Calcs!AB63)</f>
        <v>na</v>
      </c>
      <c r="BJ63" s="34"/>
      <c r="BK63" s="34"/>
      <c r="BL63" s="18">
        <f t="shared" si="6"/>
        <v>0</v>
      </c>
      <c r="BM63" s="34"/>
      <c r="BN63" s="34"/>
      <c r="BO63" s="34"/>
      <c r="BP63" s="20">
        <f>ifs(isblank(AX63),0,BH63="NR","NR",BH63="?","?",1,(AY63*vlookup(AX63,Ores[],2,FALSE)+if(isblank(AZ63),0,BA63*vlookup(AZ63,Ores[],2,FALSE))+if(isblank(BB63),0,BC63*vlookup(BB63,Ores[],2,FALSE))+if(isblank(BD63),0,BE63*vlookup(BD63,Ores[],2,FALSE))+if(isblank(BF63),0,BG63*vlookup(BF63,Ores[],2,FALSE)))/BH63)</f>
        <v>0</v>
      </c>
      <c r="BQ63" s="20">
        <f>ifs(isblank(AX63),0,BH63="NR","NR",BH63="?","?",1,(AY63*vlookup(AX63,Ores[],4,FALSE)+if(isblank(AZ63),0,BA63*vlookup(AZ63,Ores[],4,FALSE))+if(isblank(BB63),0,BC63*vlookup(BB63,Ores[],4,FALSE))+if(isblank(BD63),0,BE63*vlookup(BD63,Ores[],4,FALSE))+if(isblank(BF63),0,BG63*vlookup(BF63,Ores[],4,FALSE)))/BH63)</f>
        <v>0</v>
      </c>
      <c r="BR63" s="21">
        <f>ifs(isblank(AX63),0,BH63="NR","NR",BH63="?","?",1,(AY63*vlookup(AX63,Ores[],8,FALSE)+if(isblank(AZ63),0,BA63*vlookup(AZ63,Ores[],8,FALSE))+if(isblank(BB63),0,BC63*vlookup(BB63,Ores[],8,FALSE))+if(isblank(BD63),0,BE63*vlookup(BD63,Ores[],8,FALSE))+if(isblank(BF63),0,BG63*vlookup(BF63,Ores[],8,FALSE)))/BH63)</f>
        <v>0</v>
      </c>
      <c r="BS63" s="21">
        <f>ifs(isblank(AX63),0,BH63="NR","NR",BH63="?","?",1,(AY63*vlookup(AX63,Ores[],7,FALSE)+if(isblank(AZ63),0,BA63*vlookup(AZ63,Ores[],7,FALSE))+if(isblank(BB63),0,BC63*vlookup(BB63,Ores[],7,FALSE))+if(isblank(BD63),0,BE63*vlookup(BD63,Ores[],7,FALSE))+if(isblank(BF63),0,BG63*vlookup(BF63,Ores[],7,FALSE)))/BH63)</f>
        <v>0</v>
      </c>
      <c r="BT63" s="21">
        <f>ifs(isblank(AX63),0,BH63="NR","NR",BH63="?","?",1,(AY63*vlookup(AX63,Ores[],3,FALSE)+if(isblank(AZ63),0,BA63*vlookup(AZ63,Ores[],3,FALSE))+if(isblank(BB63),0,BC63*vlookup(BB63,Ores[],3,FALSE))+if(isblank(BD63),0,BE63*vlookup(BD63,Ores[],3,FALSE))+if(isblank(BF63),0,BG63*vlookup(BF63,Ores[],3,FALSE)))/BH63)</f>
        <v>0</v>
      </c>
      <c r="BU63" s="21">
        <f>ifs(isblank(AX63),0,BH63="NR","NR",BH63="?","?",1,(AY63*vlookup(AX63,Ores[],5,FALSE)+if(isblank(AZ63),0,BA63*vlookup(AZ63,Ores[],5,FALSE))+if(isblank(BB63),0,BC63*vlookup(BB63,Ores[],5,FALSE))+if(isblank(BD63),0,BE63*vlookup(BD63,Ores[],5,FALSE))+if(isblank(BF63),0,BG63*vlookup(BF63,Ores[],5,FALSE)))/BH63)</f>
        <v>0</v>
      </c>
      <c r="BV63" s="41"/>
      <c r="BW63" s="69">
        <v>0.0</v>
      </c>
      <c r="BX63" s="43">
        <v>42.0</v>
      </c>
      <c r="BY63" s="47"/>
      <c r="BZ63" s="47">
        <v>7.0</v>
      </c>
      <c r="CA63" s="53"/>
      <c r="CB63" s="43" t="s">
        <v>641</v>
      </c>
      <c r="CC63" s="41" t="s">
        <v>626</v>
      </c>
      <c r="CD63" s="28">
        <f t="shared" si="10"/>
        <v>4.444444444</v>
      </c>
      <c r="CE63" s="43">
        <v>60.0</v>
      </c>
      <c r="CF63" s="41"/>
      <c r="CG63" s="41"/>
      <c r="CH63" s="41"/>
      <c r="CI63" s="41"/>
      <c r="CJ63" s="41"/>
      <c r="CK63" s="41"/>
      <c r="CL63" s="41"/>
      <c r="CM63" s="41"/>
      <c r="CN63" s="43">
        <v>13.5</v>
      </c>
      <c r="CO63" s="43">
        <v>3.0</v>
      </c>
      <c r="CP63" s="41"/>
      <c r="CQ63" s="41"/>
      <c r="CR63" s="43" t="s">
        <v>117</v>
      </c>
      <c r="CS63" s="44" t="s">
        <v>117</v>
      </c>
      <c r="CT63" s="43" t="s">
        <v>117</v>
      </c>
      <c r="CU63" s="30"/>
      <c r="CV63" s="29"/>
      <c r="CW63" s="30" t="str">
        <f t="shared" si="12"/>
        <v>na</v>
      </c>
      <c r="CX63" s="31" t="str">
        <f t="shared" si="19"/>
        <v>?</v>
      </c>
      <c r="CY63" s="41"/>
      <c r="CZ63" s="41"/>
      <c r="DA63" s="41" t="s">
        <v>626</v>
      </c>
      <c r="DB63" s="41" t="s">
        <v>642</v>
      </c>
      <c r="DC63" s="41" t="s">
        <v>643</v>
      </c>
      <c r="DD63" s="41"/>
      <c r="DE63" s="41"/>
      <c r="DF63" s="41"/>
      <c r="DG63" s="41"/>
      <c r="DH63" s="41"/>
      <c r="DI63" s="41"/>
      <c r="DJ63" s="41"/>
      <c r="DK63" s="41"/>
      <c r="DL63" s="41"/>
      <c r="DM63" s="45"/>
    </row>
    <row r="64" ht="21.75" customHeight="1">
      <c r="A64" s="33" t="s">
        <v>644</v>
      </c>
      <c r="B64" s="34" t="s">
        <v>645</v>
      </c>
      <c r="C64" s="34" t="s">
        <v>137</v>
      </c>
      <c r="D64" s="34" t="s">
        <v>138</v>
      </c>
      <c r="E64" s="35">
        <v>42175.0</v>
      </c>
      <c r="F64" s="34" t="s">
        <v>347</v>
      </c>
      <c r="G64" s="36" t="s">
        <v>123</v>
      </c>
      <c r="H64" s="36" t="s">
        <v>348</v>
      </c>
      <c r="I64" s="34" t="s">
        <v>443</v>
      </c>
      <c r="J64" s="36" t="s">
        <v>646</v>
      </c>
      <c r="K64" s="34"/>
      <c r="L64" s="34"/>
      <c r="M64" s="36" t="s">
        <v>150</v>
      </c>
      <c r="N64" s="36" t="s">
        <v>168</v>
      </c>
      <c r="O64" s="34">
        <f t="shared" si="23"/>
        <v>82</v>
      </c>
      <c r="P64" s="34">
        <f t="shared" si="21"/>
        <v>82</v>
      </c>
      <c r="Q64" s="36">
        <v>82.0</v>
      </c>
      <c r="R64" s="34"/>
      <c r="S64" s="34">
        <v>50.0</v>
      </c>
      <c r="T64" s="34" t="s">
        <v>647</v>
      </c>
      <c r="U64" s="34">
        <v>34.0</v>
      </c>
      <c r="V64" s="34"/>
      <c r="W64" s="34"/>
      <c r="X64" s="34"/>
      <c r="Y64" s="34"/>
      <c r="Z64" s="34"/>
      <c r="AA64" s="37">
        <f>Calcs!O64</f>
        <v>907.9</v>
      </c>
      <c r="AB64" s="34" t="s">
        <v>118</v>
      </c>
      <c r="AC64" s="34" t="s">
        <v>648</v>
      </c>
      <c r="AD64" s="34" t="s">
        <v>262</v>
      </c>
      <c r="AE64" s="34">
        <v>2.5</v>
      </c>
      <c r="AF64" s="34"/>
      <c r="AG64" s="34" t="s">
        <v>649</v>
      </c>
      <c r="AH64" s="36" t="s">
        <v>170</v>
      </c>
      <c r="AI64" s="34"/>
      <c r="AJ64" s="34">
        <v>5.6</v>
      </c>
      <c r="AK64" s="34"/>
      <c r="AL64" s="34" t="s">
        <v>184</v>
      </c>
      <c r="AM64" s="36" t="s">
        <v>118</v>
      </c>
      <c r="AN64" s="36">
        <v>24.0</v>
      </c>
      <c r="AO64" s="34">
        <v>23.0</v>
      </c>
      <c r="AP64" s="34"/>
      <c r="AQ64" s="34" t="s">
        <v>254</v>
      </c>
      <c r="AR64" s="36"/>
      <c r="AS64" s="36">
        <v>1400.0</v>
      </c>
      <c r="AT64" s="14" t="str">
        <f t="shared" si="3"/>
        <v/>
      </c>
      <c r="AU64" s="16" t="s">
        <v>650</v>
      </c>
      <c r="AV64" s="38"/>
      <c r="AW64" s="17">
        <f t="shared" si="4"/>
        <v>1089.48</v>
      </c>
      <c r="AX64" s="36" t="s">
        <v>651</v>
      </c>
      <c r="AY64" s="36">
        <v>31.0</v>
      </c>
      <c r="AZ64" s="36"/>
      <c r="BA64" s="36"/>
      <c r="BB64" s="36"/>
      <c r="BC64" s="36"/>
      <c r="BD64" s="34"/>
      <c r="BE64" s="34"/>
      <c r="BF64" s="34"/>
      <c r="BG64" s="34"/>
      <c r="BH64" s="18">
        <f t="shared" si="25"/>
        <v>31</v>
      </c>
      <c r="BI64" s="19">
        <f>ifs(BH64=0,"na",BH64="NR","NR",BH64="?","?",BK64&gt;0,"?",iserror(Calcs!AB64),"?",1,Calcs!AB64)</f>
        <v>0.561817121</v>
      </c>
      <c r="BJ64" s="34" t="s">
        <v>282</v>
      </c>
      <c r="BK64" s="34"/>
      <c r="BL64" s="18">
        <f t="shared" si="6"/>
        <v>31</v>
      </c>
      <c r="BM64" s="34"/>
      <c r="BN64" s="34"/>
      <c r="BO64" s="34" t="s">
        <v>382</v>
      </c>
      <c r="BP64" s="20">
        <f>ifs(isblank(AX64),0,BH64="NR","NR",BH64="?","?",1,(AY64*vlookup(AX64,Ores[],2,FALSE)+if(isblank(AZ64),0,BA64*vlookup(AZ64,Ores[],2,FALSE))+if(isblank(BB64),0,BC64*vlookup(BB64,Ores[],2,FALSE))+if(isblank(BD64),0,BE64*vlookup(BD64,Ores[],2,FALSE))+if(isblank(BF64),0,BG64*vlookup(BF64,Ores[],2,FALSE)))/BH64)</f>
        <v>4.35483871</v>
      </c>
      <c r="BQ64" s="20">
        <f>ifs(isblank(AX64),0,BH64="NR","NR",BH64="?","?",1,(AY64*vlookup(AX64,Ores[],4,FALSE)+if(isblank(AZ64),0,BA64*vlookup(AZ64,Ores[],4,FALSE))+if(isblank(BB64),0,BC64*vlookup(BB64,Ores[],4,FALSE))+if(isblank(BD64),0,BE64*vlookup(BD64,Ores[],4,FALSE))+if(isblank(BF64),0,BG64*vlookup(BF64,Ores[],4,FALSE)))/BH64)</f>
        <v>2.264516129</v>
      </c>
      <c r="BR64" s="21">
        <f>ifs(isblank(AX64),0,BH64="NR","NR",BH64="?","?",1,(AY64*vlookup(AX64,Ores[],8,FALSE)+if(isblank(AZ64),0,BA64*vlookup(AZ64,Ores[],8,FALSE))+if(isblank(BB64),0,BC64*vlookup(BB64,Ores[],8,FALSE))+if(isblank(BD64),0,BE64*vlookup(BD64,Ores[],8,FALSE))+if(isblank(BF64),0,BG64*vlookup(BF64,Ores[],8,FALSE)))/BH64)</f>
        <v>0</v>
      </c>
      <c r="BS64" s="21">
        <f>ifs(isblank(AX64),0,BH64="NR","NR",BH64="?","?",1,(AY64*vlookup(AX64,Ores[],7,FALSE)+if(isblank(AZ64),0,BA64*vlookup(AZ64,Ores[],7,FALSE))+if(isblank(BB64),0,BC64*vlookup(BB64,Ores[],7,FALSE))+if(isblank(BD64),0,BE64*vlookup(BD64,Ores[],7,FALSE))+if(isblank(BF64),0,BG64*vlookup(BF64,Ores[],7,FALSE)))/BH64)</f>
        <v>0</v>
      </c>
      <c r="BT64" s="21">
        <f>ifs(isblank(AX64),0,BH64="NR","NR",BH64="?","?",1,(AY64*vlookup(AX64,Ores[],3,FALSE)+if(isblank(AZ64),0,BA64*vlookup(AZ64,Ores[],3,FALSE))+if(isblank(BB64),0,BC64*vlookup(BB64,Ores[],3,FALSE))+if(isblank(BD64),0,BE64*vlookup(BD64,Ores[],3,FALSE))+if(isblank(BF64),0,BG64*vlookup(BF64,Ores[],3,FALSE)))/BH64)</f>
        <v>1.741935484</v>
      </c>
      <c r="BU64" s="21">
        <f>ifs(isblank(AX64),0,BH64="NR","NR",BH64="?","?",1,(AY64*vlookup(AX64,Ores[],5,FALSE)+if(isblank(AZ64),0,BA64*vlookup(AZ64,Ores[],5,FALSE))+if(isblank(BB64),0,BC64*vlookup(BB64,Ores[],5,FALSE))+if(isblank(BD64),0,BE64*vlookup(BD64,Ores[],5,FALSE))+if(isblank(BF64),0,BG64*vlookup(BF64,Ores[],5,FALSE)))/BH64)</f>
        <v>0</v>
      </c>
      <c r="BV64" s="22" t="str">
        <f t="shared" ref="BV64:BV72" si="26">ifs(OR(CJ64="NR",BX64="NR"),"NR",OR(CJ64="?",BX64="?"),"?",1,CJ64/BX64)</f>
        <v>NR</v>
      </c>
      <c r="BW64" s="40">
        <v>41.0</v>
      </c>
      <c r="BX64" s="41">
        <v>76.0</v>
      </c>
      <c r="BY64" s="47"/>
      <c r="BZ64" s="56">
        <f t="shared" ref="BZ64:BZ72" si="27">ifs(AND(CO64=0,CK64&gt;0),"Slug",OR(CO64="NR",CE64="NR"),"NR",OR(CO64="?",CE64="?"),"?",1,CE64/CO64)</f>
        <v>12.55</v>
      </c>
      <c r="CA64" s="53">
        <f t="shared" ref="CA64:CA72" si="28">ifs(AND(CN64=0,CK64&gt;0),"Slug",OR(CN64="NR",CE64="NR"),"NR",OR(CN64="?",CE64="?"),"?",1,CE64/CN64)</f>
        <v>6.895604396</v>
      </c>
      <c r="CB64" s="43" t="s">
        <v>461</v>
      </c>
      <c r="CC64" s="43" t="s">
        <v>489</v>
      </c>
      <c r="CD64" s="28">
        <f t="shared" si="10"/>
        <v>6.895604396</v>
      </c>
      <c r="CE64" s="43">
        <f t="shared" ref="CE64:CE72" si="29">ifs(OR(CI64="NR",CH64="NR"),"NR",OR(CI64="?",CH64="?"),"?",1,CI64-CH64)</f>
        <v>251</v>
      </c>
      <c r="CF64" s="41"/>
      <c r="CG64" s="43"/>
      <c r="CH64" s="43">
        <v>107.0</v>
      </c>
      <c r="CI64" s="43">
        <v>358.0</v>
      </c>
      <c r="CJ64" s="43" t="s">
        <v>116</v>
      </c>
      <c r="CK64" s="43">
        <v>20.0</v>
      </c>
      <c r="CL64" s="43">
        <v>16.3</v>
      </c>
      <c r="CM64" s="43">
        <v>9.0</v>
      </c>
      <c r="CN64" s="43">
        <v>36.4</v>
      </c>
      <c r="CO64" s="43">
        <v>20.0</v>
      </c>
      <c r="CP64" s="43">
        <v>3.64</v>
      </c>
      <c r="CQ64" s="43">
        <v>2.0</v>
      </c>
      <c r="CR64" s="41" t="s">
        <v>141</v>
      </c>
      <c r="CS64" s="53">
        <v>7.7</v>
      </c>
      <c r="CT64" s="43" t="s">
        <v>216</v>
      </c>
      <c r="CU64" s="30"/>
      <c r="CV64" s="58">
        <v>4.41</v>
      </c>
      <c r="CW64" s="30">
        <f t="shared" si="12"/>
        <v>0.2483870968</v>
      </c>
      <c r="CX64" s="31">
        <f t="shared" si="19"/>
        <v>0.4421137902</v>
      </c>
      <c r="CY64" s="41"/>
      <c r="CZ64" s="41">
        <v>17.7</v>
      </c>
      <c r="DA64" s="41" t="s">
        <v>571</v>
      </c>
      <c r="DB64" s="41" t="s">
        <v>652</v>
      </c>
      <c r="DC64" s="41" t="s">
        <v>653</v>
      </c>
      <c r="DD64" s="41"/>
      <c r="DE64" s="41"/>
      <c r="DF64" s="41"/>
      <c r="DG64" s="41"/>
      <c r="DH64" s="41"/>
      <c r="DI64" s="41"/>
      <c r="DJ64" s="41"/>
      <c r="DK64" s="41"/>
      <c r="DL64" s="41"/>
      <c r="DM64" s="45"/>
    </row>
    <row r="65" ht="21.75" customHeight="1">
      <c r="A65" s="62" t="s">
        <v>654</v>
      </c>
      <c r="B65" s="34" t="s">
        <v>655</v>
      </c>
      <c r="C65" s="34" t="s">
        <v>137</v>
      </c>
      <c r="D65" s="34" t="s">
        <v>138</v>
      </c>
      <c r="E65" s="35">
        <v>42289.0</v>
      </c>
      <c r="F65" s="34" t="s">
        <v>347</v>
      </c>
      <c r="G65" s="36" t="s">
        <v>123</v>
      </c>
      <c r="H65" s="36" t="s">
        <v>348</v>
      </c>
      <c r="I65" s="34" t="s">
        <v>443</v>
      </c>
      <c r="J65" s="34" t="s">
        <v>656</v>
      </c>
      <c r="K65" s="34"/>
      <c r="L65" s="34"/>
      <c r="M65" s="36" t="s">
        <v>150</v>
      </c>
      <c r="N65" s="36" t="s">
        <v>168</v>
      </c>
      <c r="O65" s="34">
        <f t="shared" si="23"/>
        <v>97</v>
      </c>
      <c r="P65" s="34">
        <f t="shared" si="21"/>
        <v>97</v>
      </c>
      <c r="Q65" s="36">
        <v>97.0</v>
      </c>
      <c r="R65" s="34"/>
      <c r="S65" s="34">
        <v>72.0</v>
      </c>
      <c r="T65" s="34" t="s">
        <v>647</v>
      </c>
      <c r="U65" s="34">
        <v>29.0</v>
      </c>
      <c r="V65" s="34"/>
      <c r="W65" s="34"/>
      <c r="X65" s="34"/>
      <c r="Y65" s="34"/>
      <c r="Z65" s="34"/>
      <c r="AA65" s="37">
        <f>Calcs!O65</f>
        <v>660.5</v>
      </c>
      <c r="AB65" s="34" t="s">
        <v>657</v>
      </c>
      <c r="AC65" s="34" t="s">
        <v>610</v>
      </c>
      <c r="AD65" s="34" t="s">
        <v>262</v>
      </c>
      <c r="AE65" s="34">
        <v>2.5</v>
      </c>
      <c r="AF65" s="36"/>
      <c r="AG65" s="36">
        <v>20.0</v>
      </c>
      <c r="AH65" s="36" t="s">
        <v>170</v>
      </c>
      <c r="AI65" s="34"/>
      <c r="AJ65" s="34">
        <v>5.0</v>
      </c>
      <c r="AK65" s="34"/>
      <c r="AL65" s="34" t="s">
        <v>184</v>
      </c>
      <c r="AM65" s="36" t="s">
        <v>568</v>
      </c>
      <c r="AN65" s="36">
        <v>11.0</v>
      </c>
      <c r="AO65" s="34">
        <v>14.0</v>
      </c>
      <c r="AP65" s="34"/>
      <c r="AQ65" s="34" t="s">
        <v>254</v>
      </c>
      <c r="AR65" s="34"/>
      <c r="AS65" s="34">
        <v>1000.0</v>
      </c>
      <c r="AT65" s="14" t="str">
        <f t="shared" si="3"/>
        <v/>
      </c>
      <c r="AU65" s="12"/>
      <c r="AV65" s="74">
        <v>840.0</v>
      </c>
      <c r="AW65" s="17">
        <f t="shared" si="4"/>
        <v>792.6</v>
      </c>
      <c r="AX65" s="36" t="s">
        <v>651</v>
      </c>
      <c r="AY65" s="36">
        <v>30.5</v>
      </c>
      <c r="AZ65" s="36"/>
      <c r="BA65" s="36"/>
      <c r="BB65" s="36"/>
      <c r="BC65" s="36"/>
      <c r="BD65" s="34"/>
      <c r="BE65" s="34"/>
      <c r="BF65" s="34"/>
      <c r="BG65" s="34"/>
      <c r="BH65" s="18">
        <f t="shared" si="25"/>
        <v>30.5</v>
      </c>
      <c r="BI65" s="19">
        <f>ifs(BH65=0,"na",BH65="NR","NR",BH65="?","?",BK65&gt;0,"?",iserror(Calcs!AB65),"?",1,Calcs!AB65)</f>
        <v>0.561817121</v>
      </c>
      <c r="BJ65" s="34"/>
      <c r="BK65" s="34"/>
      <c r="BL65" s="18">
        <f t="shared" si="6"/>
        <v>30.5</v>
      </c>
      <c r="BM65" s="34"/>
      <c r="BN65" s="34"/>
      <c r="BO65" s="34" t="s">
        <v>382</v>
      </c>
      <c r="BP65" s="20">
        <f>ifs(isblank(AX65),0,BH65="NR","NR",BH65="?","?",1,(AY65*vlookup(AX65,Ores[],2,FALSE)+if(isblank(AZ65),0,BA65*vlookup(AZ65,Ores[],2,FALSE))+if(isblank(BB65),0,BC65*vlookup(BB65,Ores[],2,FALSE))+if(isblank(BD65),0,BE65*vlookup(BD65,Ores[],2,FALSE))+if(isblank(BF65),0,BG65*vlookup(BF65,Ores[],2,FALSE)))/BH65)</f>
        <v>4.35483871</v>
      </c>
      <c r="BQ65" s="20">
        <f>ifs(isblank(AX65),0,BH65="NR","NR",BH65="?","?",1,(AY65*vlookup(AX65,Ores[],4,FALSE)+if(isblank(AZ65),0,BA65*vlookup(AZ65,Ores[],4,FALSE))+if(isblank(BB65),0,BC65*vlookup(BB65,Ores[],4,FALSE))+if(isblank(BD65),0,BE65*vlookup(BD65,Ores[],4,FALSE))+if(isblank(BF65),0,BG65*vlookup(BF65,Ores[],4,FALSE)))/BH65)</f>
        <v>2.264516129</v>
      </c>
      <c r="BR65" s="21">
        <f>ifs(isblank(AX65),0,BH65="NR","NR",BH65="?","?",1,(AY65*vlookup(AX65,Ores[],8,FALSE)+if(isblank(AZ65),0,BA65*vlookup(AZ65,Ores[],8,FALSE))+if(isblank(BB65),0,BC65*vlookup(BB65,Ores[],8,FALSE))+if(isblank(BD65),0,BE65*vlookup(BD65,Ores[],8,FALSE))+if(isblank(BF65),0,BG65*vlookup(BF65,Ores[],8,FALSE)))/BH65)</f>
        <v>0</v>
      </c>
      <c r="BS65" s="21">
        <f>ifs(isblank(AX65),0,BH65="NR","NR",BH65="?","?",1,(AY65*vlookup(AX65,Ores[],7,FALSE)+if(isblank(AZ65),0,BA65*vlookup(AZ65,Ores[],7,FALSE))+if(isblank(BB65),0,BC65*vlookup(BB65,Ores[],7,FALSE))+if(isblank(BD65),0,BE65*vlookup(BD65,Ores[],7,FALSE))+if(isblank(BF65),0,BG65*vlookup(BF65,Ores[],7,FALSE)))/BH65)</f>
        <v>0</v>
      </c>
      <c r="BT65" s="21">
        <f>ifs(isblank(AX65),0,BH65="NR","NR",BH65="?","?",1,(AY65*vlookup(AX65,Ores[],3,FALSE)+if(isblank(AZ65),0,BA65*vlookup(AZ65,Ores[],3,FALSE))+if(isblank(BB65),0,BC65*vlookup(BB65,Ores[],3,FALSE))+if(isblank(BD65),0,BE65*vlookup(BD65,Ores[],3,FALSE))+if(isblank(BF65),0,BG65*vlookup(BF65,Ores[],3,FALSE)))/BH65)</f>
        <v>1.741935484</v>
      </c>
      <c r="BU65" s="21">
        <f>ifs(isblank(AX65),0,BH65="NR","NR",BH65="?","?",1,(AY65*vlookup(AX65,Ores[],5,FALSE)+if(isblank(AZ65),0,BA65*vlookup(AZ65,Ores[],5,FALSE))+if(isblank(BB65),0,BC65*vlookup(BB65,Ores[],5,FALSE))+if(isblank(BD65),0,BE65*vlookup(BD65,Ores[],5,FALSE))+if(isblank(BF65),0,BG65*vlookup(BF65,Ores[],5,FALSE)))/BH65)</f>
        <v>0</v>
      </c>
      <c r="BV65" s="22" t="str">
        <f t="shared" si="26"/>
        <v>NR</v>
      </c>
      <c r="BW65" s="40">
        <v>167.0</v>
      </c>
      <c r="BX65" s="41">
        <v>56.0</v>
      </c>
      <c r="BY65" s="47"/>
      <c r="BZ65" s="56">
        <f t="shared" si="27"/>
        <v>14.94736842</v>
      </c>
      <c r="CA65" s="53">
        <f t="shared" si="28"/>
        <v>7.867036011</v>
      </c>
      <c r="CB65" s="43" t="s">
        <v>430</v>
      </c>
      <c r="CC65" s="43" t="s">
        <v>116</v>
      </c>
      <c r="CD65" s="28">
        <f t="shared" si="10"/>
        <v>7.867036011</v>
      </c>
      <c r="CE65" s="43">
        <f t="shared" si="29"/>
        <v>284</v>
      </c>
      <c r="CF65" s="41"/>
      <c r="CG65" s="43"/>
      <c r="CH65" s="43">
        <v>65.0</v>
      </c>
      <c r="CI65" s="43">
        <v>349.0</v>
      </c>
      <c r="CJ65" s="43" t="s">
        <v>116</v>
      </c>
      <c r="CK65" s="43">
        <v>19.0</v>
      </c>
      <c r="CL65" s="43">
        <v>9.5</v>
      </c>
      <c r="CM65" s="43">
        <v>5.0</v>
      </c>
      <c r="CN65" s="43">
        <v>36.1</v>
      </c>
      <c r="CO65" s="43">
        <v>19.0</v>
      </c>
      <c r="CP65" s="43">
        <v>3.8</v>
      </c>
      <c r="CQ65" s="43">
        <v>2.0</v>
      </c>
      <c r="CR65" s="41" t="s">
        <v>257</v>
      </c>
      <c r="CS65" s="53">
        <v>4.3</v>
      </c>
      <c r="CT65" s="43" t="s">
        <v>216</v>
      </c>
      <c r="CU65" s="30"/>
      <c r="CV65" s="58">
        <v>5.82</v>
      </c>
      <c r="CW65" s="30">
        <f t="shared" si="12"/>
        <v>0.1409836066</v>
      </c>
      <c r="CX65" s="31">
        <f t="shared" si="19"/>
        <v>0.2509421683</v>
      </c>
      <c r="CY65" s="41"/>
      <c r="CZ65" s="41">
        <v>18.83</v>
      </c>
      <c r="DA65" s="41" t="s">
        <v>447</v>
      </c>
      <c r="DB65" s="41" t="s">
        <v>652</v>
      </c>
      <c r="DC65" s="41" t="s">
        <v>658</v>
      </c>
      <c r="DD65" s="41"/>
      <c r="DE65" s="41"/>
      <c r="DF65" s="41"/>
      <c r="DG65" s="41"/>
      <c r="DH65" s="41"/>
      <c r="DI65" s="41"/>
      <c r="DJ65" s="41"/>
      <c r="DK65" s="41"/>
      <c r="DL65" s="41"/>
      <c r="DM65" s="45"/>
    </row>
    <row r="66" ht="21.75" customHeight="1">
      <c r="A66" s="33">
        <v>62.0</v>
      </c>
      <c r="B66" s="34" t="s">
        <v>552</v>
      </c>
      <c r="C66" s="34"/>
      <c r="D66" s="34" t="s">
        <v>138</v>
      </c>
      <c r="E66" s="35">
        <v>42512.0</v>
      </c>
      <c r="F66" s="36" t="s">
        <v>194</v>
      </c>
      <c r="G66" s="36" t="s">
        <v>110</v>
      </c>
      <c r="H66" s="34"/>
      <c r="I66" s="36" t="s">
        <v>286</v>
      </c>
      <c r="J66" s="36" t="s">
        <v>553</v>
      </c>
      <c r="K66" s="36">
        <v>2.0</v>
      </c>
      <c r="L66" s="36">
        <v>50.0</v>
      </c>
      <c r="M66" s="36" t="s">
        <v>150</v>
      </c>
      <c r="N66" s="36" t="s">
        <v>151</v>
      </c>
      <c r="O66" s="34">
        <f t="shared" si="23"/>
        <v>77</v>
      </c>
      <c r="P66" s="34">
        <f t="shared" si="21"/>
        <v>77</v>
      </c>
      <c r="Q66" s="36">
        <v>77.0</v>
      </c>
      <c r="R66" s="34"/>
      <c r="S66" s="34">
        <v>48.0</v>
      </c>
      <c r="T66" s="34" t="s">
        <v>554</v>
      </c>
      <c r="U66" s="36">
        <v>29.0</v>
      </c>
      <c r="V66" s="36">
        <v>25.5</v>
      </c>
      <c r="W66" s="36"/>
      <c r="X66" s="34">
        <v>28.0</v>
      </c>
      <c r="Y66" s="34"/>
      <c r="Z66" s="34"/>
      <c r="AA66" s="37">
        <f>Calcs!O66</f>
        <v>615.8</v>
      </c>
      <c r="AB66" s="34" t="s">
        <v>555</v>
      </c>
      <c r="AC66" s="34" t="s">
        <v>556</v>
      </c>
      <c r="AD66" s="34" t="s">
        <v>253</v>
      </c>
      <c r="AE66" s="36">
        <v>2.5</v>
      </c>
      <c r="AF66" s="36" t="s">
        <v>123</v>
      </c>
      <c r="AG66" s="36">
        <v>20.0</v>
      </c>
      <c r="AH66" s="36" t="s">
        <v>170</v>
      </c>
      <c r="AI66" s="34"/>
      <c r="AJ66" s="34">
        <v>5.0</v>
      </c>
      <c r="AK66" s="34"/>
      <c r="AL66" s="34" t="s">
        <v>184</v>
      </c>
      <c r="AM66" s="34"/>
      <c r="AN66" s="34">
        <f>5.5*2.5</f>
        <v>13.75</v>
      </c>
      <c r="AO66" s="34">
        <v>15.0</v>
      </c>
      <c r="AP66" s="34"/>
      <c r="AQ66" s="34" t="s">
        <v>254</v>
      </c>
      <c r="AR66" s="34"/>
      <c r="AS66" s="34">
        <v>800.0</v>
      </c>
      <c r="AT66" s="14" t="str">
        <f t="shared" si="3"/>
        <v/>
      </c>
      <c r="AU66" s="12"/>
      <c r="AV66" s="74">
        <v>672.0</v>
      </c>
      <c r="AW66" s="17">
        <f t="shared" si="4"/>
        <v>738.96</v>
      </c>
      <c r="AX66" s="36" t="s">
        <v>651</v>
      </c>
      <c r="AY66" s="36">
        <v>29.0</v>
      </c>
      <c r="AZ66" s="36"/>
      <c r="BA66" s="36"/>
      <c r="BB66" s="36"/>
      <c r="BC66" s="36"/>
      <c r="BD66" s="34"/>
      <c r="BE66" s="34"/>
      <c r="BF66" s="34"/>
      <c r="BG66" s="34"/>
      <c r="BH66" s="18">
        <f t="shared" si="25"/>
        <v>29</v>
      </c>
      <c r="BI66" s="19">
        <f>ifs(BH66=0,"na",BH66="NR","NR",BH66="?","?",BK66&gt;0,"?",iserror(Calcs!AB66),"?",1,Calcs!AB66)</f>
        <v>0.561817121</v>
      </c>
      <c r="BJ66" s="34" t="s">
        <v>282</v>
      </c>
      <c r="BK66" s="34"/>
      <c r="BL66" s="18">
        <f t="shared" si="6"/>
        <v>29</v>
      </c>
      <c r="BM66" s="34"/>
      <c r="BN66" s="34"/>
      <c r="BO66" s="34" t="s">
        <v>382</v>
      </c>
      <c r="BP66" s="20">
        <f>ifs(isblank(AX66),0,BH66="NR","NR",BH66="?","?",1,(AY66*vlookup(AX66,Ores[],2,FALSE)+if(isblank(AZ66),0,BA66*vlookup(AZ66,Ores[],2,FALSE))+if(isblank(BB66),0,BC66*vlookup(BB66,Ores[],2,FALSE))+if(isblank(BD66),0,BE66*vlookup(BD66,Ores[],2,FALSE))+if(isblank(BF66),0,BG66*vlookup(BF66,Ores[],2,FALSE)))/BH66)</f>
        <v>4.35483871</v>
      </c>
      <c r="BQ66" s="20">
        <f>ifs(isblank(AX66),0,BH66="NR","NR",BH66="?","?",1,(AY66*vlookup(AX66,Ores[],4,FALSE)+if(isblank(AZ66),0,BA66*vlookup(AZ66,Ores[],4,FALSE))+if(isblank(BB66),0,BC66*vlookup(BB66,Ores[],4,FALSE))+if(isblank(BD66),0,BE66*vlookup(BD66,Ores[],4,FALSE))+if(isblank(BF66),0,BG66*vlookup(BF66,Ores[],4,FALSE)))/BH66)</f>
        <v>2.264516129</v>
      </c>
      <c r="BR66" s="21">
        <f>ifs(isblank(AX66),0,BH66="NR","NR",BH66="?","?",1,(AY66*vlookup(AX66,Ores[],8,FALSE)+if(isblank(AZ66),0,BA66*vlookup(AZ66,Ores[],8,FALSE))+if(isblank(BB66),0,BC66*vlookup(BB66,Ores[],8,FALSE))+if(isblank(BD66),0,BE66*vlookup(BD66,Ores[],8,FALSE))+if(isblank(BF66),0,BG66*vlookup(BF66,Ores[],8,FALSE)))/BH66)</f>
        <v>0</v>
      </c>
      <c r="BS66" s="21">
        <f>ifs(isblank(AX66),0,BH66="NR","NR",BH66="?","?",1,(AY66*vlookup(AX66,Ores[],7,FALSE)+if(isblank(AZ66),0,BA66*vlookup(AZ66,Ores[],7,FALSE))+if(isblank(BB66),0,BC66*vlookup(BB66,Ores[],7,FALSE))+if(isblank(BD66),0,BE66*vlookup(BD66,Ores[],7,FALSE))+if(isblank(BF66),0,BG66*vlookup(BF66,Ores[],7,FALSE)))/BH66)</f>
        <v>0</v>
      </c>
      <c r="BT66" s="21">
        <f>ifs(isblank(AX66),0,BH66="NR","NR",BH66="?","?",1,(AY66*vlookup(AX66,Ores[],3,FALSE)+if(isblank(AZ66),0,BA66*vlookup(AZ66,Ores[],3,FALSE))+if(isblank(BB66),0,BC66*vlookup(BB66,Ores[],3,FALSE))+if(isblank(BD66),0,BE66*vlookup(BD66,Ores[],3,FALSE))+if(isblank(BF66),0,BG66*vlookup(BF66,Ores[],3,FALSE)))/BH66)</f>
        <v>1.741935484</v>
      </c>
      <c r="BU66" s="21">
        <f>ifs(isblank(AX66),0,BH66="NR","NR",BH66="?","?",1,(AY66*vlookup(AX66,Ores[],5,FALSE)+if(isblank(AZ66),0,BA66*vlookup(AZ66,Ores[],5,FALSE))+if(isblank(BB66),0,BC66*vlookup(BB66,Ores[],5,FALSE))+if(isblank(BD66),0,BE66*vlookup(BD66,Ores[],5,FALSE))+if(isblank(BF66),0,BG66*vlookup(BF66,Ores[],5,FALSE)))/BH66)</f>
        <v>0</v>
      </c>
      <c r="BV66" s="22">
        <f t="shared" si="26"/>
        <v>6.7</v>
      </c>
      <c r="BW66" s="40">
        <v>67.0</v>
      </c>
      <c r="BX66" s="41">
        <v>50.0</v>
      </c>
      <c r="BY66" s="47"/>
      <c r="BZ66" s="56">
        <f t="shared" si="27"/>
        <v>11.9</v>
      </c>
      <c r="CA66" s="53">
        <f t="shared" si="28"/>
        <v>6.761363636</v>
      </c>
      <c r="CB66" s="43" t="s">
        <v>430</v>
      </c>
      <c r="CC66" s="43" t="s">
        <v>116</v>
      </c>
      <c r="CD66" s="28">
        <f t="shared" si="10"/>
        <v>6.761363636</v>
      </c>
      <c r="CE66" s="43">
        <f t="shared" si="29"/>
        <v>238</v>
      </c>
      <c r="CF66" s="41"/>
      <c r="CG66" s="43"/>
      <c r="CH66" s="43">
        <v>57.0</v>
      </c>
      <c r="CI66" s="43">
        <v>295.0</v>
      </c>
      <c r="CJ66" s="43">
        <v>335.0</v>
      </c>
      <c r="CK66" s="43">
        <v>20.0</v>
      </c>
      <c r="CL66" s="43">
        <v>9.04</v>
      </c>
      <c r="CM66" s="43">
        <v>5.0</v>
      </c>
      <c r="CN66" s="43">
        <v>35.2</v>
      </c>
      <c r="CO66" s="43">
        <v>20.0</v>
      </c>
      <c r="CP66" s="43">
        <v>0.0</v>
      </c>
      <c r="CQ66" s="43">
        <v>0.0</v>
      </c>
      <c r="CR66" s="41" t="s">
        <v>257</v>
      </c>
      <c r="CS66" s="53" t="s">
        <v>116</v>
      </c>
      <c r="CT66" s="43" t="s">
        <v>216</v>
      </c>
      <c r="CU66" s="30"/>
      <c r="CV66" s="29"/>
      <c r="CW66" s="30" t="str">
        <f t="shared" si="12"/>
        <v>NR</v>
      </c>
      <c r="CX66" s="31" t="str">
        <f t="shared" si="19"/>
        <v>NR</v>
      </c>
      <c r="CY66" s="41"/>
      <c r="CZ66" s="41"/>
      <c r="DA66" s="41"/>
      <c r="DB66" s="41" t="s">
        <v>659</v>
      </c>
      <c r="DC66" s="41" t="s">
        <v>660</v>
      </c>
      <c r="DD66" s="41"/>
      <c r="DE66" s="41"/>
      <c r="DF66" s="41"/>
      <c r="DG66" s="41"/>
      <c r="DH66" s="41"/>
      <c r="DI66" s="41"/>
      <c r="DJ66" s="41"/>
      <c r="DK66" s="41"/>
      <c r="DL66" s="41"/>
      <c r="DM66" s="45"/>
    </row>
    <row r="67" ht="21.75" customHeight="1">
      <c r="A67" s="33">
        <v>63.0</v>
      </c>
      <c r="B67" s="34" t="s">
        <v>661</v>
      </c>
      <c r="C67" s="34" t="s">
        <v>662</v>
      </c>
      <c r="D67" s="36" t="s">
        <v>663</v>
      </c>
      <c r="E67" s="35">
        <v>42541.0</v>
      </c>
      <c r="F67" s="34" t="s">
        <v>109</v>
      </c>
      <c r="G67" s="36" t="s">
        <v>123</v>
      </c>
      <c r="H67" s="36" t="s">
        <v>301</v>
      </c>
      <c r="I67" s="36" t="s">
        <v>606</v>
      </c>
      <c r="J67" s="36" t="s">
        <v>590</v>
      </c>
      <c r="K67" s="34"/>
      <c r="L67" s="34"/>
      <c r="M67" s="36" t="s">
        <v>150</v>
      </c>
      <c r="N67" s="36" t="s">
        <v>168</v>
      </c>
      <c r="O67" s="34">
        <f t="shared" si="23"/>
        <v>75</v>
      </c>
      <c r="P67" s="34">
        <f t="shared" si="21"/>
        <v>75</v>
      </c>
      <c r="Q67" s="36">
        <v>75.0</v>
      </c>
      <c r="R67" s="34"/>
      <c r="S67" s="34" t="s">
        <v>116</v>
      </c>
      <c r="T67" s="34" t="s">
        <v>664</v>
      </c>
      <c r="U67" s="34">
        <v>26.0</v>
      </c>
      <c r="V67" s="34"/>
      <c r="W67" s="34"/>
      <c r="X67" s="34"/>
      <c r="Y67" s="34"/>
      <c r="Z67" s="34"/>
      <c r="AA67" s="37">
        <f>Calcs!O67</f>
        <v>530.9</v>
      </c>
      <c r="AB67" s="34" t="s">
        <v>665</v>
      </c>
      <c r="AC67" s="34" t="s">
        <v>666</v>
      </c>
      <c r="AD67" s="34" t="s">
        <v>253</v>
      </c>
      <c r="AE67" s="36">
        <v>2.5</v>
      </c>
      <c r="AF67" s="36" t="s">
        <v>123</v>
      </c>
      <c r="AG67" s="36">
        <v>20.0</v>
      </c>
      <c r="AH67" s="36" t="s">
        <v>170</v>
      </c>
      <c r="AI67" s="34"/>
      <c r="AJ67" s="34">
        <v>4.0</v>
      </c>
      <c r="AK67" s="34"/>
      <c r="AL67" s="34" t="s">
        <v>184</v>
      </c>
      <c r="AM67" s="34"/>
      <c r="AN67" s="36">
        <v>15.0</v>
      </c>
      <c r="AO67" s="34" t="s">
        <v>116</v>
      </c>
      <c r="AP67" s="34"/>
      <c r="AQ67" s="34" t="s">
        <v>667</v>
      </c>
      <c r="AR67" s="34"/>
      <c r="AS67" s="34" t="s">
        <v>116</v>
      </c>
      <c r="AT67" s="14" t="str">
        <f t="shared" si="3"/>
        <v/>
      </c>
      <c r="AU67" s="12"/>
      <c r="AV67" s="38"/>
      <c r="AW67" s="17">
        <f t="shared" si="4"/>
        <v>637.08</v>
      </c>
      <c r="AX67" s="36" t="s">
        <v>534</v>
      </c>
      <c r="AY67" s="36">
        <v>13.4</v>
      </c>
      <c r="AZ67" s="39" t="s">
        <v>295</v>
      </c>
      <c r="BA67" s="36">
        <v>6.3</v>
      </c>
      <c r="BB67" s="36"/>
      <c r="BC67" s="36"/>
      <c r="BD67" s="34"/>
      <c r="BE67" s="34"/>
      <c r="BF67" s="34"/>
      <c r="BG67" s="34"/>
      <c r="BH67" s="18">
        <f t="shared" si="25"/>
        <v>19.7</v>
      </c>
      <c r="BI67" s="19">
        <f>ifs(BH67=0,"na",BH67="NR","NR",BH67="?","?",BK67&gt;0,"?",iserror(Calcs!AB67),"?",1,Calcs!AB67)</f>
        <v>0.5333272807</v>
      </c>
      <c r="BJ67" s="34"/>
      <c r="BK67" s="34"/>
      <c r="BL67" s="18">
        <f t="shared" si="6"/>
        <v>19.7</v>
      </c>
      <c r="BM67" s="34"/>
      <c r="BN67" s="34"/>
      <c r="BO67" s="34" t="s">
        <v>668</v>
      </c>
      <c r="BP67" s="20">
        <f>ifs(isblank(AX67),0,BH67="NR","NR",BH67="?","?",1,(AY67*vlookup(AX67,Ores[],2,FALSE)+if(isblank(AZ67),0,BA67*vlookup(AZ67,Ores[],2,FALSE))+if(isblank(BB67),0,BC67*vlookup(BB67,Ores[],2,FALSE))+if(isblank(BD67),0,BE67*vlookup(BD67,Ores[],2,FALSE))+if(isblank(BF67),0,BG67*vlookup(BF67,Ores[],2,FALSE)))/BH67)</f>
        <v>7.542906501</v>
      </c>
      <c r="BQ67" s="20">
        <f>ifs(isblank(AX67),0,BH67="NR","NR",BH67="?","?",1,(AY67*vlookup(AX67,Ores[],4,FALSE)+if(isblank(AZ67),0,BA67*vlookup(AZ67,Ores[],4,FALSE))+if(isblank(BB67),0,BC67*vlookup(BB67,Ores[],4,FALSE))+if(isblank(BD67),0,BE67*vlookup(BD67,Ores[],4,FALSE))+if(isblank(BF67),0,BG67*vlookup(BF67,Ores[],4,FALSE)))/BH67)</f>
        <v>3.002831177</v>
      </c>
      <c r="BR67" s="21">
        <f>ifs(isblank(AX67),0,BH67="NR","NR",BH67="?","?",1,(AY67*vlookup(AX67,Ores[],8,FALSE)+if(isblank(AZ67),0,BA67*vlookup(AZ67,Ores[],8,FALSE))+if(isblank(BB67),0,BC67*vlookup(BB67,Ores[],8,FALSE))+if(isblank(BD67),0,BE67*vlookup(BD67,Ores[],8,FALSE))+if(isblank(BF67),0,BG67*vlookup(BF67,Ores[],8,FALSE)))/BH67)</f>
        <v>0.7515228426</v>
      </c>
      <c r="BS67" s="21">
        <f>ifs(isblank(AX67),0,BH67="NR","NR",BH67="?","?",1,(AY67*vlookup(AX67,Ores[],7,FALSE)+if(isblank(AZ67),0,BA67*vlookup(AZ67,Ores[],7,FALSE))+if(isblank(BB67),0,BC67*vlookup(BB67,Ores[],7,FALSE))+if(isblank(BD67),0,BE67*vlookup(BD67,Ores[],7,FALSE))+if(isblank(BF67),0,BG67*vlookup(BF67,Ores[],7,FALSE)))/BH67)</f>
        <v>0</v>
      </c>
      <c r="BT67" s="21">
        <f>ifs(isblank(AX67),0,BH67="NR","NR",BH67="?","?",1,(AY67*vlookup(AX67,Ores[],3,FALSE)+if(isblank(AZ67),0,BA67*vlookup(AZ67,Ores[],3,FALSE))+if(isblank(BB67),0,BC67*vlookup(BB67,Ores[],3,FALSE))+if(isblank(BD67),0,BE67*vlookup(BD67,Ores[],3,FALSE))+if(isblank(BF67),0,BG67*vlookup(BF67,Ores[],3,FALSE)))/BH67)</f>
        <v>1.202634682</v>
      </c>
      <c r="BU67" s="21">
        <f>ifs(isblank(AX67),0,BH67="NR","NR",BH67="?","?",1,(AY67*vlookup(AX67,Ores[],5,FALSE)+if(isblank(AZ67),0,BA67*vlookup(AZ67,Ores[],5,FALSE))+if(isblank(BB67),0,BC67*vlookup(BB67,Ores[],5,FALSE))+if(isblank(BD67),0,BE67*vlookup(BD67,Ores[],5,FALSE))+if(isblank(BF67),0,BG67*vlookup(BF67,Ores[],5,FALSE)))/BH67)</f>
        <v>1.237614213</v>
      </c>
      <c r="BV67" s="22" t="str">
        <f t="shared" si="26"/>
        <v>NR</v>
      </c>
      <c r="BW67" s="40" t="s">
        <v>116</v>
      </c>
      <c r="BX67" s="43">
        <v>36.0</v>
      </c>
      <c r="BY67" s="42" t="s">
        <v>123</v>
      </c>
      <c r="BZ67" s="56">
        <f t="shared" si="27"/>
        <v>22.10526316</v>
      </c>
      <c r="CA67" s="53">
        <f t="shared" si="28"/>
        <v>19.44444444</v>
      </c>
      <c r="CB67" s="43" t="s">
        <v>461</v>
      </c>
      <c r="CC67" s="43" t="s">
        <v>489</v>
      </c>
      <c r="CD67" s="28">
        <f t="shared" si="10"/>
        <v>19.44444444</v>
      </c>
      <c r="CE67" s="43">
        <f t="shared" si="29"/>
        <v>420</v>
      </c>
      <c r="CF67" s="41"/>
      <c r="CG67" s="43"/>
      <c r="CH67" s="43">
        <v>107.0</v>
      </c>
      <c r="CI67" s="43">
        <v>527.0</v>
      </c>
      <c r="CJ67" s="43" t="s">
        <v>116</v>
      </c>
      <c r="CK67" s="43">
        <v>19.0</v>
      </c>
      <c r="CL67" s="43">
        <v>5.4</v>
      </c>
      <c r="CM67" s="43">
        <v>3.0</v>
      </c>
      <c r="CN67" s="43">
        <v>21.6</v>
      </c>
      <c r="CO67" s="43">
        <v>19.0</v>
      </c>
      <c r="CP67" s="43">
        <v>1.8</v>
      </c>
      <c r="CQ67" s="43">
        <v>1.0</v>
      </c>
      <c r="CR67" s="41" t="s">
        <v>257</v>
      </c>
      <c r="CS67" s="53">
        <v>4.9</v>
      </c>
      <c r="CT67" s="43" t="s">
        <v>216</v>
      </c>
      <c r="CU67" s="30"/>
      <c r="CV67" s="58">
        <v>6.02</v>
      </c>
      <c r="CW67" s="30">
        <f t="shared" si="12"/>
        <v>0.2487309645</v>
      </c>
      <c r="CX67" s="31">
        <f t="shared" si="19"/>
        <v>0.4663758511</v>
      </c>
      <c r="CY67" s="41"/>
      <c r="CZ67" s="41"/>
      <c r="DA67" s="41" t="s">
        <v>669</v>
      </c>
      <c r="DB67" s="41" t="s">
        <v>670</v>
      </c>
      <c r="DC67" s="41" t="s">
        <v>501</v>
      </c>
      <c r="DD67" s="41"/>
      <c r="DE67" s="41"/>
      <c r="DF67" s="41"/>
      <c r="DG67" s="41"/>
      <c r="DH67" s="41"/>
      <c r="DI67" s="41"/>
      <c r="DJ67" s="41"/>
      <c r="DK67" s="41"/>
      <c r="DL67" s="41"/>
      <c r="DM67" s="45"/>
    </row>
    <row r="68" ht="21.0" customHeight="1">
      <c r="A68" s="33">
        <v>64.0</v>
      </c>
      <c r="B68" s="79" t="s">
        <v>671</v>
      </c>
      <c r="C68" s="79" t="s">
        <v>672</v>
      </c>
      <c r="D68" s="79" t="s">
        <v>673</v>
      </c>
      <c r="E68" s="35">
        <v>42622.0</v>
      </c>
      <c r="F68" s="34" t="s">
        <v>109</v>
      </c>
      <c r="G68" s="36" t="s">
        <v>123</v>
      </c>
      <c r="H68" s="34"/>
      <c r="I68" s="34" t="s">
        <v>181</v>
      </c>
      <c r="J68" s="36" t="s">
        <v>459</v>
      </c>
      <c r="K68" s="36"/>
      <c r="L68" s="36"/>
      <c r="M68" s="36" t="s">
        <v>150</v>
      </c>
      <c r="N68" s="36" t="s">
        <v>168</v>
      </c>
      <c r="O68" s="34">
        <f t="shared" si="23"/>
        <v>70</v>
      </c>
      <c r="P68" s="34">
        <f t="shared" si="21"/>
        <v>70</v>
      </c>
      <c r="Q68" s="36">
        <v>70.0</v>
      </c>
      <c r="R68" s="34"/>
      <c r="S68" s="34">
        <v>60.0</v>
      </c>
      <c r="T68" s="34" t="s">
        <v>674</v>
      </c>
      <c r="U68" s="34">
        <v>28.0</v>
      </c>
      <c r="V68" s="34"/>
      <c r="W68" s="34"/>
      <c r="X68" s="34"/>
      <c r="Y68" s="34"/>
      <c r="Z68" s="34"/>
      <c r="AA68" s="37">
        <f>Calcs!O68</f>
        <v>615.8</v>
      </c>
      <c r="AB68" s="34" t="s">
        <v>675</v>
      </c>
      <c r="AC68" s="34" t="s">
        <v>676</v>
      </c>
      <c r="AD68" s="34" t="s">
        <v>253</v>
      </c>
      <c r="AE68" s="36">
        <v>2.5</v>
      </c>
      <c r="AF68" s="36" t="s">
        <v>123</v>
      </c>
      <c r="AG68" s="36">
        <v>20.0</v>
      </c>
      <c r="AH68" s="36" t="s">
        <v>170</v>
      </c>
      <c r="AI68" s="36" t="s">
        <v>123</v>
      </c>
      <c r="AJ68" s="34">
        <v>5.0</v>
      </c>
      <c r="AK68" s="34"/>
      <c r="AL68" s="36" t="s">
        <v>121</v>
      </c>
      <c r="AM68" s="36"/>
      <c r="AN68" s="36">
        <v>0.0</v>
      </c>
      <c r="AO68" s="34">
        <v>20.0</v>
      </c>
      <c r="AP68" s="34"/>
      <c r="AQ68" s="36" t="s">
        <v>402</v>
      </c>
      <c r="AR68" s="34"/>
      <c r="AS68" s="34" t="s">
        <v>140</v>
      </c>
      <c r="AT68" s="14" t="str">
        <f t="shared" si="3"/>
        <v/>
      </c>
      <c r="AU68" s="12"/>
      <c r="AV68" s="38"/>
      <c r="AW68" s="17">
        <f t="shared" si="4"/>
        <v>738.96</v>
      </c>
      <c r="AX68" s="39" t="s">
        <v>677</v>
      </c>
      <c r="AY68" s="84">
        <v>15.0</v>
      </c>
      <c r="AZ68" s="84" t="s">
        <v>403</v>
      </c>
      <c r="BA68" s="84">
        <v>15.0</v>
      </c>
      <c r="BB68" s="79"/>
      <c r="BC68" s="79"/>
      <c r="BD68" s="34"/>
      <c r="BE68" s="34"/>
      <c r="BF68" s="34"/>
      <c r="BG68" s="34"/>
      <c r="BH68" s="18">
        <f t="shared" si="25"/>
        <v>30</v>
      </c>
      <c r="BI68" s="19" t="str">
        <f>ifs(BH68=0,"na",BH68="NR","NR",BH68="?","?",BK68&gt;0,"?",iserror(Calcs!AB68),"?",1,Calcs!AB68)</f>
        <v>?</v>
      </c>
      <c r="BJ68" s="34" t="s">
        <v>282</v>
      </c>
      <c r="BK68" s="34"/>
      <c r="BL68" s="18">
        <f t="shared" si="6"/>
        <v>30</v>
      </c>
      <c r="BM68" s="34"/>
      <c r="BN68" s="34"/>
      <c r="BO68" s="34" t="s">
        <v>382</v>
      </c>
      <c r="BP68" s="20">
        <f>ifs(isblank(AX68),0,BH68="NR","NR",BH68="?","?",1,(AY68*vlookup(AX68,Ores[],2,FALSE)+if(isblank(AZ68),0,BA68*vlookup(AZ68,Ores[],2,FALSE))+if(isblank(BB68),0,BC68*vlookup(BB68,Ores[],2,FALSE))+if(isblank(BD68),0,BE68*vlookup(BD68,Ores[],2,FALSE))+if(isblank(BF68),0,BG68*vlookup(BF68,Ores[],2,FALSE)))/BH68)</f>
        <v>7.6</v>
      </c>
      <c r="BQ68" s="20">
        <f>ifs(isblank(AX68),0,BH68="NR","NR",BH68="?","?",1,(AY68*vlookup(AX68,Ores[],4,FALSE)+if(isblank(AZ68),0,BA68*vlookup(AZ68,Ores[],4,FALSE))+if(isblank(BB68),0,BC68*vlookup(BB68,Ores[],4,FALSE))+if(isblank(BD68),0,BE68*vlookup(BD68,Ores[],4,FALSE))+if(isblank(BF68),0,BG68*vlookup(BF68,Ores[],4,FALSE)))/BH68)</f>
        <v>0.5</v>
      </c>
      <c r="BR68" s="21">
        <f>ifs(isblank(AX68),0,BH68="NR","NR",BH68="?","?",1,(AY68*vlookup(AX68,Ores[],8,FALSE)+if(isblank(AZ68),0,BA68*vlookup(AZ68,Ores[],8,FALSE))+if(isblank(BB68),0,BC68*vlookup(BB68,Ores[],8,FALSE))+if(isblank(BD68),0,BE68*vlookup(BD68,Ores[],8,FALSE))+if(isblank(BF68),0,BG68*vlookup(BF68,Ores[],8,FALSE)))/BH68)</f>
        <v>0</v>
      </c>
      <c r="BS68" s="21">
        <f>ifs(isblank(AX68),0,BH68="NR","NR",BH68="?","?",1,(AY68*vlookup(AX68,Ores[],7,FALSE)+if(isblank(AZ68),0,BA68*vlookup(AZ68,Ores[],7,FALSE))+if(isblank(BB68),0,BC68*vlookup(BB68,Ores[],7,FALSE))+if(isblank(BD68),0,BE68*vlookup(BD68,Ores[],7,FALSE))+if(isblank(BF68),0,BG68*vlookup(BF68,Ores[],7,FALSE)))/BH68)</f>
        <v>0</v>
      </c>
      <c r="BT68" s="21">
        <f>ifs(isblank(AX68),0,BH68="NR","NR",BH68="?","?",1,(AY68*vlookup(AX68,Ores[],3,FALSE)+if(isblank(AZ68),0,BA68*vlookup(AZ68,Ores[],3,FALSE))+if(isblank(BB68),0,BC68*vlookup(BB68,Ores[],3,FALSE))+if(isblank(BD68),0,BE68*vlookup(BD68,Ores[],3,FALSE))+if(isblank(BF68),0,BG68*vlookup(BF68,Ores[],3,FALSE)))/BH68)</f>
        <v>0</v>
      </c>
      <c r="BU68" s="21">
        <f>ifs(isblank(AX68),0,BH68="NR","NR",BH68="?","?",1,(AY68*vlookup(AX68,Ores[],5,FALSE)+if(isblank(AZ68),0,BA68*vlookup(AZ68,Ores[],5,FALSE))+if(isblank(BB68),0,BC68*vlookup(BB68,Ores[],5,FALSE))+if(isblank(BD68),0,BE68*vlookup(BD68,Ores[],5,FALSE))+if(isblank(BF68),0,BG68*vlookup(BF68,Ores[],5,FALSE)))/BH68)</f>
        <v>0.1</v>
      </c>
      <c r="BV68" s="22" t="str">
        <f t="shared" si="26"/>
        <v>NR</v>
      </c>
      <c r="BW68" s="40">
        <v>90.0</v>
      </c>
      <c r="BX68" s="41">
        <v>46.0</v>
      </c>
      <c r="BY68" s="47"/>
      <c r="BZ68" s="56">
        <f t="shared" si="27"/>
        <v>11.71428571</v>
      </c>
      <c r="CA68" s="53">
        <f t="shared" si="28"/>
        <v>5.857142857</v>
      </c>
      <c r="CB68" s="43" t="s">
        <v>430</v>
      </c>
      <c r="CC68" s="43" t="s">
        <v>678</v>
      </c>
      <c r="CD68" s="28">
        <f t="shared" si="10"/>
        <v>5.857142857</v>
      </c>
      <c r="CE68" s="43">
        <f t="shared" si="29"/>
        <v>164</v>
      </c>
      <c r="CF68" s="41"/>
      <c r="CG68" s="43"/>
      <c r="CH68" s="43">
        <v>65.0</v>
      </c>
      <c r="CI68" s="43">
        <v>229.0</v>
      </c>
      <c r="CJ68" s="43" t="s">
        <v>116</v>
      </c>
      <c r="CK68" s="43">
        <v>14.0</v>
      </c>
      <c r="CL68" s="43">
        <v>10.0</v>
      </c>
      <c r="CM68" s="43">
        <v>5.0</v>
      </c>
      <c r="CN68" s="43">
        <v>28.0</v>
      </c>
      <c r="CO68" s="43">
        <v>14.0</v>
      </c>
      <c r="CP68" s="43">
        <v>4.0</v>
      </c>
      <c r="CQ68" s="43">
        <v>2.0</v>
      </c>
      <c r="CR68" s="41" t="s">
        <v>257</v>
      </c>
      <c r="CS68" s="53">
        <v>5.8</v>
      </c>
      <c r="CT68" s="43" t="s">
        <v>216</v>
      </c>
      <c r="CU68" s="30"/>
      <c r="CV68" s="29"/>
      <c r="CW68" s="30">
        <f t="shared" si="12"/>
        <v>0.1933333333</v>
      </c>
      <c r="CX68" s="31" t="str">
        <f t="shared" si="19"/>
        <v>?</v>
      </c>
      <c r="CY68" s="41"/>
      <c r="CZ68" s="41"/>
      <c r="DA68" s="41"/>
      <c r="DB68" s="41" t="s">
        <v>679</v>
      </c>
      <c r="DC68" s="41" t="s">
        <v>440</v>
      </c>
      <c r="DD68" s="41"/>
      <c r="DE68" s="41"/>
      <c r="DF68" s="41"/>
      <c r="DG68" s="41"/>
      <c r="DH68" s="41"/>
      <c r="DI68" s="41"/>
      <c r="DJ68" s="41"/>
      <c r="DK68" s="41"/>
      <c r="DL68" s="41"/>
      <c r="DM68" s="45"/>
    </row>
    <row r="69" ht="21.75" customHeight="1">
      <c r="A69" s="33">
        <v>65.0</v>
      </c>
      <c r="B69" s="79" t="s">
        <v>680</v>
      </c>
      <c r="C69" s="79" t="s">
        <v>672</v>
      </c>
      <c r="D69" s="79" t="s">
        <v>673</v>
      </c>
      <c r="E69" s="35">
        <v>42624.0</v>
      </c>
      <c r="F69" s="34" t="s">
        <v>109</v>
      </c>
      <c r="G69" s="36" t="s">
        <v>123</v>
      </c>
      <c r="H69" s="34"/>
      <c r="I69" s="36" t="s">
        <v>681</v>
      </c>
      <c r="J69" s="34" t="s">
        <v>459</v>
      </c>
      <c r="K69" s="34"/>
      <c r="L69" s="34"/>
      <c r="M69" s="36" t="s">
        <v>150</v>
      </c>
      <c r="N69" s="36" t="s">
        <v>151</v>
      </c>
      <c r="O69" s="34">
        <f t="shared" si="23"/>
        <v>60</v>
      </c>
      <c r="P69" s="34">
        <f t="shared" si="21"/>
        <v>60</v>
      </c>
      <c r="Q69" s="36">
        <v>60.0</v>
      </c>
      <c r="R69" s="34"/>
      <c r="S69" s="36">
        <v>42.0</v>
      </c>
      <c r="T69" s="34" t="s">
        <v>682</v>
      </c>
      <c r="U69" s="36">
        <v>30.0</v>
      </c>
      <c r="V69" s="36">
        <v>22.0</v>
      </c>
      <c r="W69" s="36"/>
      <c r="X69" s="36">
        <v>28.0</v>
      </c>
      <c r="Y69" s="36"/>
      <c r="Z69" s="36" t="s">
        <v>123</v>
      </c>
      <c r="AA69" s="37">
        <f>Calcs!O69</f>
        <v>615.8</v>
      </c>
      <c r="AB69" s="34" t="s">
        <v>683</v>
      </c>
      <c r="AC69" s="34" t="s">
        <v>684</v>
      </c>
      <c r="AD69" s="34" t="s">
        <v>253</v>
      </c>
      <c r="AE69" s="36">
        <v>2.5</v>
      </c>
      <c r="AF69" s="36" t="s">
        <v>123</v>
      </c>
      <c r="AG69" s="36">
        <v>20.0</v>
      </c>
      <c r="AH69" s="36" t="s">
        <v>170</v>
      </c>
      <c r="AI69" s="36" t="s">
        <v>123</v>
      </c>
      <c r="AJ69" s="34">
        <v>5.0</v>
      </c>
      <c r="AK69" s="34"/>
      <c r="AL69" s="34" t="s">
        <v>184</v>
      </c>
      <c r="AM69" s="34"/>
      <c r="AN69" s="36" t="s">
        <v>116</v>
      </c>
      <c r="AO69" s="34">
        <v>15.0</v>
      </c>
      <c r="AP69" s="34"/>
      <c r="AQ69" s="36" t="s">
        <v>402</v>
      </c>
      <c r="AR69" s="34"/>
      <c r="AS69" s="34" t="s">
        <v>140</v>
      </c>
      <c r="AT69" s="14" t="str">
        <f t="shared" si="3"/>
        <v/>
      </c>
      <c r="AU69" s="12"/>
      <c r="AV69" s="38"/>
      <c r="AW69" s="17">
        <f t="shared" si="4"/>
        <v>738.96</v>
      </c>
      <c r="AX69" s="39" t="s">
        <v>677</v>
      </c>
      <c r="AY69" s="84">
        <v>20.5</v>
      </c>
      <c r="AZ69" s="84" t="s">
        <v>403</v>
      </c>
      <c r="BA69" s="84">
        <v>20.5</v>
      </c>
      <c r="BB69" s="79"/>
      <c r="BC69" s="79"/>
      <c r="BD69" s="34"/>
      <c r="BE69" s="34"/>
      <c r="BF69" s="34"/>
      <c r="BG69" s="34"/>
      <c r="BH69" s="18">
        <f t="shared" si="25"/>
        <v>41</v>
      </c>
      <c r="BI69" s="19" t="str">
        <f>ifs(BH69=0,"na",BH69="NR","NR",BH69="?","?",BK69&gt;0,"?",iserror(Calcs!AB69),"?",1,Calcs!AB69)</f>
        <v>?</v>
      </c>
      <c r="BJ69" s="34" t="s">
        <v>282</v>
      </c>
      <c r="BK69" s="34"/>
      <c r="BL69" s="18">
        <f t="shared" si="6"/>
        <v>41</v>
      </c>
      <c r="BM69" s="34">
        <v>2.0</v>
      </c>
      <c r="BN69" s="34"/>
      <c r="BO69" s="34" t="s">
        <v>382</v>
      </c>
      <c r="BP69" s="20">
        <f>ifs(isblank(AX69),0,BH69="NR","NR",BH69="?","?",1,(AY69*vlookup(AX69,Ores[],2,FALSE)+if(isblank(AZ69),0,BA69*vlookup(AZ69,Ores[],2,FALSE))+if(isblank(BB69),0,BC69*vlookup(BB69,Ores[],2,FALSE))+if(isblank(BD69),0,BE69*vlookup(BD69,Ores[],2,FALSE))+if(isblank(BF69),0,BG69*vlookup(BF69,Ores[],2,FALSE)))/BH69)</f>
        <v>7.6</v>
      </c>
      <c r="BQ69" s="20">
        <f>ifs(isblank(AX69),0,BH69="NR","NR",BH69="?","?",1,(AY69*vlookup(AX69,Ores[],4,FALSE)+if(isblank(AZ69),0,BA69*vlookup(AZ69,Ores[],4,FALSE))+if(isblank(BB69),0,BC69*vlookup(BB69,Ores[],4,FALSE))+if(isblank(BD69),0,BE69*vlookup(BD69,Ores[],4,FALSE))+if(isblank(BF69),0,BG69*vlookup(BF69,Ores[],4,FALSE)))/BH69)</f>
        <v>0.5</v>
      </c>
      <c r="BR69" s="21">
        <f>ifs(isblank(AX69),0,BH69="NR","NR",BH69="?","?",1,(AY69*vlookup(AX69,Ores[],8,FALSE)+if(isblank(AZ69),0,BA69*vlookup(AZ69,Ores[],8,FALSE))+if(isblank(BB69),0,BC69*vlookup(BB69,Ores[],8,FALSE))+if(isblank(BD69),0,BE69*vlookup(BD69,Ores[],8,FALSE))+if(isblank(BF69),0,BG69*vlookup(BF69,Ores[],8,FALSE)))/BH69)</f>
        <v>0</v>
      </c>
      <c r="BS69" s="21">
        <f>ifs(isblank(AX69),0,BH69="NR","NR",BH69="?","?",1,(AY69*vlookup(AX69,Ores[],7,FALSE)+if(isblank(AZ69),0,BA69*vlookup(AZ69,Ores[],7,FALSE))+if(isblank(BB69),0,BC69*vlookup(BB69,Ores[],7,FALSE))+if(isblank(BD69),0,BE69*vlookup(BD69,Ores[],7,FALSE))+if(isblank(BF69),0,BG69*vlookup(BF69,Ores[],7,FALSE)))/BH69)</f>
        <v>0</v>
      </c>
      <c r="BT69" s="21">
        <f>ifs(isblank(AX69),0,BH69="NR","NR",BH69="?","?",1,(AY69*vlookup(AX69,Ores[],3,FALSE)+if(isblank(AZ69),0,BA69*vlookup(AZ69,Ores[],3,FALSE))+if(isblank(BB69),0,BC69*vlookup(BB69,Ores[],3,FALSE))+if(isblank(BD69),0,BE69*vlookup(BD69,Ores[],3,FALSE))+if(isblank(BF69),0,BG69*vlookup(BF69,Ores[],3,FALSE)))/BH69)</f>
        <v>0</v>
      </c>
      <c r="BU69" s="21">
        <f>ifs(isblank(AX69),0,BH69="NR","NR",BH69="?","?",1,(AY69*vlookup(AX69,Ores[],5,FALSE)+if(isblank(AZ69),0,BA69*vlookup(AZ69,Ores[],5,FALSE))+if(isblank(BB69),0,BC69*vlookup(BB69,Ores[],5,FALSE))+if(isblank(BD69),0,BE69*vlookup(BD69,Ores[],5,FALSE))+if(isblank(BF69),0,BG69*vlookup(BF69,Ores[],5,FALSE)))/BH69)</f>
        <v>0.1</v>
      </c>
      <c r="BV69" s="22" t="str">
        <f t="shared" si="26"/>
        <v>NR</v>
      </c>
      <c r="BW69" s="40">
        <v>80.0</v>
      </c>
      <c r="BX69" s="43">
        <v>70.5</v>
      </c>
      <c r="BY69" s="47"/>
      <c r="BZ69" s="56">
        <f t="shared" si="27"/>
        <v>11.61904762</v>
      </c>
      <c r="CA69" s="53">
        <f t="shared" si="28"/>
        <v>5.80952381</v>
      </c>
      <c r="CB69" s="43" t="s">
        <v>430</v>
      </c>
      <c r="CC69" s="43" t="s">
        <v>678</v>
      </c>
      <c r="CD69" s="28">
        <f t="shared" si="10"/>
        <v>5.80952381</v>
      </c>
      <c r="CE69" s="43">
        <f t="shared" si="29"/>
        <v>244</v>
      </c>
      <c r="CF69" s="41"/>
      <c r="CG69" s="43">
        <v>73.0</v>
      </c>
      <c r="CH69" s="43">
        <v>103.0</v>
      </c>
      <c r="CI69" s="43">
        <v>347.0</v>
      </c>
      <c r="CJ69" s="43" t="s">
        <v>116</v>
      </c>
      <c r="CK69" s="43">
        <v>21.0</v>
      </c>
      <c r="CL69" s="43">
        <v>16.0</v>
      </c>
      <c r="CM69" s="43">
        <v>8.0</v>
      </c>
      <c r="CN69" s="43">
        <v>42.0</v>
      </c>
      <c r="CO69" s="43">
        <v>21.0</v>
      </c>
      <c r="CP69" s="43">
        <v>4.0</v>
      </c>
      <c r="CQ69" s="43">
        <v>2.0</v>
      </c>
      <c r="CR69" s="41" t="s">
        <v>257</v>
      </c>
      <c r="CS69" s="53">
        <v>8.2</v>
      </c>
      <c r="CT69" s="43" t="s">
        <v>216</v>
      </c>
      <c r="CU69" s="30"/>
      <c r="CV69" s="29"/>
      <c r="CW69" s="30">
        <f t="shared" si="12"/>
        <v>0.2</v>
      </c>
      <c r="CX69" s="31" t="str">
        <f t="shared" si="19"/>
        <v>?</v>
      </c>
      <c r="CY69" s="41"/>
      <c r="CZ69" s="41"/>
      <c r="DA69" s="41"/>
      <c r="DB69" s="41" t="s">
        <v>679</v>
      </c>
      <c r="DC69" s="41" t="s">
        <v>440</v>
      </c>
      <c r="DD69" s="41"/>
      <c r="DE69" s="41"/>
      <c r="DF69" s="41"/>
      <c r="DG69" s="41"/>
      <c r="DH69" s="41"/>
      <c r="DI69" s="41"/>
      <c r="DJ69" s="41"/>
      <c r="DK69" s="41"/>
      <c r="DL69" s="41"/>
      <c r="DM69" s="45"/>
    </row>
    <row r="70" ht="21.75" customHeight="1">
      <c r="A70" s="33">
        <v>66.0</v>
      </c>
      <c r="B70" s="34" t="s">
        <v>685</v>
      </c>
      <c r="C70" s="34" t="s">
        <v>617</v>
      </c>
      <c r="D70" s="34" t="s">
        <v>618</v>
      </c>
      <c r="E70" s="35">
        <v>42630.0</v>
      </c>
      <c r="F70" s="34" t="s">
        <v>604</v>
      </c>
      <c r="G70" s="36" t="s">
        <v>110</v>
      </c>
      <c r="H70" s="36" t="s">
        <v>605</v>
      </c>
      <c r="I70" s="36" t="s">
        <v>606</v>
      </c>
      <c r="J70" s="36" t="s">
        <v>590</v>
      </c>
      <c r="K70" s="36">
        <v>1.0</v>
      </c>
      <c r="L70" s="36"/>
      <c r="M70" s="36" t="s">
        <v>150</v>
      </c>
      <c r="N70" s="36" t="s">
        <v>151</v>
      </c>
      <c r="O70" s="34">
        <f t="shared" si="23"/>
        <v>68</v>
      </c>
      <c r="P70" s="34">
        <f t="shared" si="21"/>
        <v>68</v>
      </c>
      <c r="Q70" s="36">
        <v>68.0</v>
      </c>
      <c r="R70" s="34"/>
      <c r="S70" s="34">
        <v>49.0</v>
      </c>
      <c r="T70" s="34" t="s">
        <v>686</v>
      </c>
      <c r="U70" s="36">
        <v>30.0</v>
      </c>
      <c r="V70" s="36">
        <v>20.0</v>
      </c>
      <c r="W70" s="34"/>
      <c r="X70" s="34">
        <v>25.0</v>
      </c>
      <c r="Y70" s="34"/>
      <c r="Z70" s="34"/>
      <c r="AA70" s="37">
        <f>Calcs!O70</f>
        <v>490.9</v>
      </c>
      <c r="AB70" s="34" t="s">
        <v>687</v>
      </c>
      <c r="AC70" s="34" t="s">
        <v>476</v>
      </c>
      <c r="AD70" s="34" t="s">
        <v>253</v>
      </c>
      <c r="AE70" s="36">
        <v>2.5</v>
      </c>
      <c r="AF70" s="36" t="s">
        <v>123</v>
      </c>
      <c r="AG70" s="36">
        <v>20.0</v>
      </c>
      <c r="AH70" s="36" t="s">
        <v>170</v>
      </c>
      <c r="AI70" s="36" t="s">
        <v>123</v>
      </c>
      <c r="AJ70" s="34">
        <v>5.0</v>
      </c>
      <c r="AK70" s="34"/>
      <c r="AL70" s="36" t="s">
        <v>184</v>
      </c>
      <c r="AM70" s="36"/>
      <c r="AN70" s="36">
        <v>14.0</v>
      </c>
      <c r="AO70" s="34">
        <v>16.0</v>
      </c>
      <c r="AP70" s="34"/>
      <c r="AQ70" s="34" t="s">
        <v>635</v>
      </c>
      <c r="AR70" s="34"/>
      <c r="AS70" s="34" t="s">
        <v>140</v>
      </c>
      <c r="AT70" s="14" t="str">
        <f t="shared" si="3"/>
        <v/>
      </c>
      <c r="AU70" s="12"/>
      <c r="AV70" s="38"/>
      <c r="AW70" s="17">
        <f t="shared" si="4"/>
        <v>589.08</v>
      </c>
      <c r="AX70" s="39" t="s">
        <v>688</v>
      </c>
      <c r="AY70" s="36">
        <v>36.5</v>
      </c>
      <c r="AZ70" s="36"/>
      <c r="BA70" s="36"/>
      <c r="BB70" s="36"/>
      <c r="BC70" s="36"/>
      <c r="BD70" s="34"/>
      <c r="BE70" s="34"/>
      <c r="BF70" s="34"/>
      <c r="BG70" s="34"/>
      <c r="BH70" s="18">
        <f t="shared" si="25"/>
        <v>36.5</v>
      </c>
      <c r="BI70" s="19" t="str">
        <f>ifs(BH70=0,"na",BH70="NR","NR",BH70="?","?",BK70&gt;0,"?",iserror(Calcs!AB70),"?",1,Calcs!AB70)</f>
        <v>?</v>
      </c>
      <c r="BJ70" s="34" t="s">
        <v>125</v>
      </c>
      <c r="BK70" s="34"/>
      <c r="BL70" s="18">
        <f t="shared" si="6"/>
        <v>36.5</v>
      </c>
      <c r="BM70" s="34"/>
      <c r="BN70" s="34"/>
      <c r="BO70" s="34" t="s">
        <v>689</v>
      </c>
      <c r="BP70" s="20">
        <f>ifs(isblank(AX70),0,BH70="NR","NR",BH70="?","?",1,(AY70*vlookup(AX70,Ores[],2,FALSE)+if(isblank(AZ70),0,BA70*vlookup(AZ70,Ores[],2,FALSE))+if(isblank(BB70),0,BC70*vlookup(BB70,Ores[],2,FALSE))+if(isblank(BD70),0,BE70*vlookup(BD70,Ores[],2,FALSE))+if(isblank(BF70),0,BG70*vlookup(BF70,Ores[],2,FALSE)))/BH70)</f>
        <v>0</v>
      </c>
      <c r="BQ70" s="20">
        <f>ifs(isblank(AX70),0,BH70="NR","NR",BH70="?","?",1,(AY70*vlookup(AX70,Ores[],4,FALSE)+if(isblank(AZ70),0,BA70*vlookup(AZ70,Ores[],4,FALSE))+if(isblank(BB70),0,BC70*vlookup(BB70,Ores[],4,FALSE))+if(isblank(BD70),0,BE70*vlookup(BD70,Ores[],4,FALSE))+if(isblank(BF70),0,BG70*vlookup(BF70,Ores[],4,FALSE)))/BH70)</f>
        <v>0</v>
      </c>
      <c r="BR70" s="21">
        <f>ifs(isblank(AX70),0,BH70="NR","NR",BH70="?","?",1,(AY70*vlookup(AX70,Ores[],8,FALSE)+if(isblank(AZ70),0,BA70*vlookup(AZ70,Ores[],8,FALSE))+if(isblank(BB70),0,BC70*vlookup(BB70,Ores[],8,FALSE))+if(isblank(BD70),0,BE70*vlookup(BD70,Ores[],8,FALSE))+if(isblank(BF70),0,BG70*vlookup(BF70,Ores[],8,FALSE)))/BH70)</f>
        <v>0</v>
      </c>
      <c r="BS70" s="21">
        <f>ifs(isblank(AX70),0,BH70="NR","NR",BH70="?","?",1,(AY70*vlookup(AX70,Ores[],7,FALSE)+if(isblank(AZ70),0,BA70*vlookup(AZ70,Ores[],7,FALSE))+if(isblank(BB70),0,BC70*vlookup(BB70,Ores[],7,FALSE))+if(isblank(BD70),0,BE70*vlookup(BD70,Ores[],7,FALSE))+if(isblank(BF70),0,BG70*vlookup(BF70,Ores[],7,FALSE)))/BH70)</f>
        <v>0</v>
      </c>
      <c r="BT70" s="21">
        <f>ifs(isblank(AX70),0,BH70="NR","NR",BH70="?","?",1,(AY70*vlookup(AX70,Ores[],3,FALSE)+if(isblank(AZ70),0,BA70*vlookup(AZ70,Ores[],3,FALSE))+if(isblank(BB70),0,BC70*vlookup(BB70,Ores[],3,FALSE))+if(isblank(BD70),0,BE70*vlookup(BD70,Ores[],3,FALSE))+if(isblank(BF70),0,BG70*vlookup(BF70,Ores[],3,FALSE)))/BH70)</f>
        <v>0</v>
      </c>
      <c r="BU70" s="21">
        <f>ifs(isblank(AX70),0,BH70="NR","NR",BH70="?","?",1,(AY70*vlookup(AX70,Ores[],5,FALSE)+if(isblank(AZ70),0,BA70*vlookup(AZ70,Ores[],5,FALSE))+if(isblank(BB70),0,BC70*vlookup(BB70,Ores[],5,FALSE))+if(isblank(BD70),0,BE70*vlookup(BD70,Ores[],5,FALSE))+if(isblank(BF70),0,BG70*vlookup(BF70,Ores[],5,FALSE)))/BH70)</f>
        <v>0</v>
      </c>
      <c r="BV70" s="22">
        <f t="shared" si="26"/>
        <v>7.882352941</v>
      </c>
      <c r="BW70" s="40">
        <v>130.0</v>
      </c>
      <c r="BX70" s="41">
        <v>42.5</v>
      </c>
      <c r="BY70" s="47"/>
      <c r="BZ70" s="56">
        <f t="shared" si="27"/>
        <v>11.14285714</v>
      </c>
      <c r="CA70" s="53">
        <f t="shared" si="28"/>
        <v>8.253968254</v>
      </c>
      <c r="CB70" s="41" t="s">
        <v>625</v>
      </c>
      <c r="CC70" s="41" t="s">
        <v>626</v>
      </c>
      <c r="CD70" s="28">
        <f t="shared" si="10"/>
        <v>8.253968254</v>
      </c>
      <c r="CE70" s="43">
        <f t="shared" si="29"/>
        <v>234</v>
      </c>
      <c r="CF70" s="41"/>
      <c r="CG70" s="43"/>
      <c r="CH70" s="43">
        <v>60.0</v>
      </c>
      <c r="CI70" s="43">
        <v>294.0</v>
      </c>
      <c r="CJ70" s="43">
        <v>335.0</v>
      </c>
      <c r="CK70" s="43">
        <v>21.0</v>
      </c>
      <c r="CL70" s="43">
        <v>5.4</v>
      </c>
      <c r="CM70" s="43">
        <v>4.0</v>
      </c>
      <c r="CN70" s="43">
        <v>28.35</v>
      </c>
      <c r="CO70" s="43">
        <v>21.0</v>
      </c>
      <c r="CP70" s="43">
        <v>2.7</v>
      </c>
      <c r="CQ70" s="43">
        <v>2.0</v>
      </c>
      <c r="CR70" s="41" t="s">
        <v>257</v>
      </c>
      <c r="CS70" s="53">
        <v>3.5</v>
      </c>
      <c r="CT70" s="43" t="s">
        <v>431</v>
      </c>
      <c r="CU70" s="30"/>
      <c r="CV70" s="29"/>
      <c r="CW70" s="30">
        <f t="shared" si="12"/>
        <v>0.09589041096</v>
      </c>
      <c r="CX70" s="31" t="str">
        <f t="shared" si="19"/>
        <v>?</v>
      </c>
      <c r="CY70" s="41"/>
      <c r="CZ70" s="41"/>
      <c r="DA70" s="41" t="s">
        <v>613</v>
      </c>
      <c r="DB70" s="41" t="s">
        <v>690</v>
      </c>
      <c r="DC70" s="41" t="s">
        <v>629</v>
      </c>
      <c r="DD70" s="41"/>
      <c r="DE70" s="41"/>
      <c r="DF70" s="41"/>
      <c r="DG70" s="41"/>
      <c r="DH70" s="41"/>
      <c r="DI70" s="41"/>
      <c r="DJ70" s="41"/>
      <c r="DK70" s="41"/>
      <c r="DL70" s="41"/>
      <c r="DM70" s="45"/>
    </row>
    <row r="71" ht="21.75" customHeight="1">
      <c r="A71" s="33">
        <v>67.0</v>
      </c>
      <c r="B71" s="34" t="s">
        <v>691</v>
      </c>
      <c r="C71" s="34" t="s">
        <v>617</v>
      </c>
      <c r="D71" s="34" t="s">
        <v>618</v>
      </c>
      <c r="E71" s="35">
        <v>42637.0</v>
      </c>
      <c r="F71" s="34" t="s">
        <v>604</v>
      </c>
      <c r="G71" s="36" t="s">
        <v>110</v>
      </c>
      <c r="H71" s="36" t="s">
        <v>605</v>
      </c>
      <c r="I71" s="36" t="s">
        <v>606</v>
      </c>
      <c r="J71" s="36" t="s">
        <v>590</v>
      </c>
      <c r="K71" s="36">
        <v>2.0</v>
      </c>
      <c r="L71" s="36">
        <v>66.0</v>
      </c>
      <c r="M71" s="36" t="s">
        <v>150</v>
      </c>
      <c r="N71" s="36" t="s">
        <v>151</v>
      </c>
      <c r="O71" s="34">
        <f t="shared" si="23"/>
        <v>68</v>
      </c>
      <c r="P71" s="34">
        <f t="shared" si="21"/>
        <v>68</v>
      </c>
      <c r="Q71" s="36">
        <v>68.0</v>
      </c>
      <c r="R71" s="34"/>
      <c r="S71" s="34">
        <v>49.0</v>
      </c>
      <c r="T71" s="34" t="s">
        <v>686</v>
      </c>
      <c r="U71" s="36">
        <v>30.0</v>
      </c>
      <c r="V71" s="36">
        <v>20.0</v>
      </c>
      <c r="W71" s="34"/>
      <c r="X71" s="34">
        <v>25.0</v>
      </c>
      <c r="Y71" s="34"/>
      <c r="Z71" s="34"/>
      <c r="AA71" s="37">
        <f>Calcs!O71</f>
        <v>490.9</v>
      </c>
      <c r="AB71" s="34" t="s">
        <v>687</v>
      </c>
      <c r="AC71" s="34" t="s">
        <v>476</v>
      </c>
      <c r="AD71" s="34" t="s">
        <v>253</v>
      </c>
      <c r="AE71" s="36">
        <v>2.5</v>
      </c>
      <c r="AF71" s="36" t="s">
        <v>123</v>
      </c>
      <c r="AG71" s="36">
        <v>20.0</v>
      </c>
      <c r="AH71" s="36" t="s">
        <v>170</v>
      </c>
      <c r="AI71" s="36" t="s">
        <v>123</v>
      </c>
      <c r="AJ71" s="34">
        <v>5.0</v>
      </c>
      <c r="AK71" s="34"/>
      <c r="AL71" s="36" t="s">
        <v>184</v>
      </c>
      <c r="AM71" s="36"/>
      <c r="AN71" s="36">
        <v>14.0</v>
      </c>
      <c r="AO71" s="34">
        <v>19.0</v>
      </c>
      <c r="AP71" s="34"/>
      <c r="AQ71" s="34" t="s">
        <v>635</v>
      </c>
      <c r="AR71" s="34"/>
      <c r="AS71" s="34" t="s">
        <v>140</v>
      </c>
      <c r="AT71" s="14" t="str">
        <f t="shared" si="3"/>
        <v/>
      </c>
      <c r="AU71" s="12"/>
      <c r="AV71" s="38"/>
      <c r="AW71" s="17">
        <f t="shared" si="4"/>
        <v>589.08</v>
      </c>
      <c r="AX71" s="39" t="s">
        <v>624</v>
      </c>
      <c r="AY71" s="36">
        <v>36.4</v>
      </c>
      <c r="AZ71" s="34"/>
      <c r="BA71" s="34"/>
      <c r="BB71" s="34"/>
      <c r="BC71" s="34"/>
      <c r="BD71" s="34"/>
      <c r="BE71" s="34"/>
      <c r="BF71" s="34"/>
      <c r="BG71" s="34"/>
      <c r="BH71" s="18">
        <f t="shared" si="25"/>
        <v>36.4</v>
      </c>
      <c r="BI71" s="19">
        <f>ifs(BH71=0,"na",BH71="NR","NR",BH71="?","?",BK71&gt;0,"?",iserror(Calcs!AB71),"?",1,Calcs!AB71)</f>
        <v>0.5482634678</v>
      </c>
      <c r="BJ71" s="34" t="s">
        <v>125</v>
      </c>
      <c r="BK71" s="34"/>
      <c r="BL71" s="18">
        <f t="shared" si="6"/>
        <v>36.4</v>
      </c>
      <c r="BM71" s="34">
        <v>3.0</v>
      </c>
      <c r="BN71" s="34"/>
      <c r="BO71" s="34" t="s">
        <v>382</v>
      </c>
      <c r="BP71" s="20">
        <f>ifs(isblank(AX71),0,BH71="NR","NR",BH71="?","?",1,(AY71*vlookup(AX71,Ores[],2,FALSE)+if(isblank(AZ71),0,BA71*vlookup(AZ71,Ores[],2,FALSE))+if(isblank(BB71),0,BC71*vlookup(BB71,Ores[],2,FALSE))+if(isblank(BD71),0,BE71*vlookup(BD71,Ores[],2,FALSE))+if(isblank(BF71),0,BG71*vlookup(BF71,Ores[],2,FALSE)))/BH71)</f>
        <v>7.975</v>
      </c>
      <c r="BQ71" s="20">
        <f>ifs(isblank(AX71),0,BH71="NR","NR",BH71="?","?",1,(AY71*vlookup(AX71,Ores[],4,FALSE)+if(isblank(AZ71),0,BA71*vlookup(AZ71,Ores[],4,FALSE))+if(isblank(BB71),0,BC71*vlookup(BB71,Ores[],4,FALSE))+if(isblank(BD71),0,BE71*vlookup(BD71,Ores[],4,FALSE))+if(isblank(BF71),0,BG71*vlookup(BF71,Ores[],4,FALSE)))/BH71)</f>
        <v>2.975</v>
      </c>
      <c r="BR71" s="21">
        <f>ifs(isblank(AX71),0,BH71="NR","NR",BH71="?","?",1,(AY71*vlookup(AX71,Ores[],8,FALSE)+if(isblank(AZ71),0,BA71*vlookup(AZ71,Ores[],8,FALSE))+if(isblank(BB71),0,BC71*vlookup(BB71,Ores[],8,FALSE))+if(isblank(BD71),0,BE71*vlookup(BD71,Ores[],8,FALSE))+if(isblank(BF71),0,BG71*vlookup(BF71,Ores[],8,FALSE)))/BH71)</f>
        <v>0</v>
      </c>
      <c r="BS71" s="21">
        <f>ifs(isblank(AX71),0,BH71="NR","NR",BH71="?","?",1,(AY71*vlookup(AX71,Ores[],7,FALSE)+if(isblank(AZ71),0,BA71*vlookup(AZ71,Ores[],7,FALSE))+if(isblank(BB71),0,BC71*vlookup(BB71,Ores[],7,FALSE))+if(isblank(BD71),0,BE71*vlookup(BD71,Ores[],7,FALSE))+if(isblank(BF71),0,BG71*vlookup(BF71,Ores[],7,FALSE)))/BH71)</f>
        <v>0</v>
      </c>
      <c r="BT71" s="21">
        <f>ifs(isblank(AX71),0,BH71="NR","NR",BH71="?","?",1,(AY71*vlookup(AX71,Ores[],3,FALSE)+if(isblank(AZ71),0,BA71*vlookup(AZ71,Ores[],3,FALSE))+if(isblank(BB71),0,BC71*vlookup(BB71,Ores[],3,FALSE))+if(isblank(BD71),0,BE71*vlookup(BD71,Ores[],3,FALSE))+if(isblank(BF71),0,BG71*vlookup(BF71,Ores[],3,FALSE)))/BH71)</f>
        <v>0</v>
      </c>
      <c r="BU71" s="21">
        <f>ifs(isblank(AX71),0,BH71="NR","NR",BH71="?","?",1,(AY71*vlookup(AX71,Ores[],5,FALSE)+if(isblank(AZ71),0,BA71*vlookup(AZ71,Ores[],5,FALSE))+if(isblank(BB71),0,BC71*vlookup(BB71,Ores[],5,FALSE))+if(isblank(BD71),0,BE71*vlookup(BD71,Ores[],5,FALSE))+if(isblank(BF71),0,BG71*vlookup(BF71,Ores[],5,FALSE)))/BH71)</f>
        <v>0</v>
      </c>
      <c r="BV71" s="22">
        <f t="shared" si="26"/>
        <v>5.576470588</v>
      </c>
      <c r="BW71" s="40">
        <v>85.0</v>
      </c>
      <c r="BX71" s="41">
        <v>42.5</v>
      </c>
      <c r="BY71" s="47"/>
      <c r="BZ71" s="56">
        <f t="shared" si="27"/>
        <v>6.111111111</v>
      </c>
      <c r="CA71" s="53">
        <f t="shared" si="28"/>
        <v>4.700854701</v>
      </c>
      <c r="CB71" s="41" t="s">
        <v>625</v>
      </c>
      <c r="CC71" s="41" t="s">
        <v>626</v>
      </c>
      <c r="CD71" s="28">
        <f t="shared" si="10"/>
        <v>4.700854701</v>
      </c>
      <c r="CE71" s="43">
        <f t="shared" si="29"/>
        <v>110</v>
      </c>
      <c r="CF71" s="41"/>
      <c r="CG71" s="43">
        <v>53.0</v>
      </c>
      <c r="CH71" s="43">
        <v>73.0</v>
      </c>
      <c r="CI71" s="43">
        <v>183.0</v>
      </c>
      <c r="CJ71" s="43">
        <v>237.0</v>
      </c>
      <c r="CK71" s="43">
        <v>18.0</v>
      </c>
      <c r="CL71" s="43">
        <v>14.4</v>
      </c>
      <c r="CM71" s="43">
        <v>11.0</v>
      </c>
      <c r="CN71" s="43">
        <v>23.4</v>
      </c>
      <c r="CO71" s="43">
        <v>18.0</v>
      </c>
      <c r="CP71" s="43">
        <v>1.3</v>
      </c>
      <c r="CQ71" s="43">
        <v>1.0</v>
      </c>
      <c r="CR71" s="41" t="s">
        <v>257</v>
      </c>
      <c r="CS71" s="53">
        <v>1.5</v>
      </c>
      <c r="CT71" s="43" t="s">
        <v>199</v>
      </c>
      <c r="CU71" s="30"/>
      <c r="CV71" s="29"/>
      <c r="CW71" s="30">
        <f t="shared" si="12"/>
        <v>0.04120879121</v>
      </c>
      <c r="CX71" s="31">
        <f t="shared" si="19"/>
        <v>0.07516238748</v>
      </c>
      <c r="CY71" s="41"/>
      <c r="CZ71" s="41"/>
      <c r="DA71" s="41" t="s">
        <v>613</v>
      </c>
      <c r="DB71" s="41" t="s">
        <v>642</v>
      </c>
      <c r="DC71" s="41" t="s">
        <v>632</v>
      </c>
      <c r="DD71" s="41"/>
      <c r="DE71" s="41"/>
      <c r="DF71" s="41"/>
      <c r="DG71" s="41"/>
      <c r="DH71" s="41"/>
      <c r="DI71" s="41"/>
      <c r="DJ71" s="41"/>
      <c r="DK71" s="41"/>
      <c r="DL71" s="41"/>
      <c r="DM71" s="45"/>
    </row>
    <row r="72" ht="21.75" customHeight="1">
      <c r="A72" s="33">
        <v>68.0</v>
      </c>
      <c r="B72" s="34" t="s">
        <v>692</v>
      </c>
      <c r="C72" s="34" t="s">
        <v>617</v>
      </c>
      <c r="D72" s="34" t="s">
        <v>618</v>
      </c>
      <c r="E72" s="35">
        <v>42640.0</v>
      </c>
      <c r="F72" s="34" t="s">
        <v>604</v>
      </c>
      <c r="G72" s="36" t="s">
        <v>123</v>
      </c>
      <c r="H72" s="36" t="s">
        <v>605</v>
      </c>
      <c r="I72" s="36" t="s">
        <v>606</v>
      </c>
      <c r="J72" s="36" t="s">
        <v>590</v>
      </c>
      <c r="K72" s="36">
        <v>3.0</v>
      </c>
      <c r="L72" s="36">
        <v>66.0</v>
      </c>
      <c r="M72" s="36" t="s">
        <v>150</v>
      </c>
      <c r="N72" s="36" t="s">
        <v>151</v>
      </c>
      <c r="O72" s="34">
        <f t="shared" si="23"/>
        <v>68</v>
      </c>
      <c r="P72" s="34">
        <f t="shared" si="21"/>
        <v>68</v>
      </c>
      <c r="Q72" s="36">
        <v>68.0</v>
      </c>
      <c r="R72" s="34"/>
      <c r="S72" s="34">
        <v>49.0</v>
      </c>
      <c r="T72" s="34" t="s">
        <v>686</v>
      </c>
      <c r="U72" s="36">
        <v>30.0</v>
      </c>
      <c r="V72" s="36">
        <v>20.0</v>
      </c>
      <c r="W72" s="34"/>
      <c r="X72" s="34">
        <v>25.0</v>
      </c>
      <c r="Y72" s="34"/>
      <c r="Z72" s="34"/>
      <c r="AA72" s="37">
        <f>Calcs!O72</f>
        <v>490.9</v>
      </c>
      <c r="AB72" s="34" t="s">
        <v>687</v>
      </c>
      <c r="AC72" s="34" t="s">
        <v>476</v>
      </c>
      <c r="AD72" s="34" t="s">
        <v>253</v>
      </c>
      <c r="AE72" s="36">
        <v>2.5</v>
      </c>
      <c r="AF72" s="36" t="s">
        <v>123</v>
      </c>
      <c r="AG72" s="36">
        <v>20.0</v>
      </c>
      <c r="AH72" s="36" t="s">
        <v>170</v>
      </c>
      <c r="AI72" s="36" t="s">
        <v>123</v>
      </c>
      <c r="AJ72" s="34">
        <v>5.0</v>
      </c>
      <c r="AK72" s="34"/>
      <c r="AL72" s="36" t="s">
        <v>184</v>
      </c>
      <c r="AM72" s="36"/>
      <c r="AN72" s="36">
        <v>14.0</v>
      </c>
      <c r="AO72" s="34">
        <v>19.0</v>
      </c>
      <c r="AP72" s="34"/>
      <c r="AQ72" s="34" t="s">
        <v>635</v>
      </c>
      <c r="AR72" s="34"/>
      <c r="AS72" s="34" t="s">
        <v>140</v>
      </c>
      <c r="AT72" s="14" t="str">
        <f t="shared" si="3"/>
        <v/>
      </c>
      <c r="AU72" s="12"/>
      <c r="AV72" s="38"/>
      <c r="AW72" s="17">
        <f t="shared" si="4"/>
        <v>589.08</v>
      </c>
      <c r="AX72" s="39" t="s">
        <v>623</v>
      </c>
      <c r="AY72" s="36">
        <v>22.0</v>
      </c>
      <c r="AZ72" s="39" t="s">
        <v>688</v>
      </c>
      <c r="BA72" s="36">
        <v>6.0</v>
      </c>
      <c r="BB72" s="36"/>
      <c r="BC72" s="36"/>
      <c r="BD72" s="34"/>
      <c r="BE72" s="34"/>
      <c r="BF72" s="34"/>
      <c r="BG72" s="34"/>
      <c r="BH72" s="18">
        <f t="shared" si="25"/>
        <v>28</v>
      </c>
      <c r="BI72" s="19" t="str">
        <f>ifs(BH72=0,"na",BH72="NR","NR",BH72="?","?",BK72&gt;0,"?",iserror(Calcs!AB72),"?",1,Calcs!AB72)</f>
        <v>?</v>
      </c>
      <c r="BJ72" s="34" t="s">
        <v>125</v>
      </c>
      <c r="BK72" s="36">
        <v>6.0</v>
      </c>
      <c r="BL72" s="18">
        <f t="shared" si="6"/>
        <v>34</v>
      </c>
      <c r="BM72" s="34">
        <v>3.0</v>
      </c>
      <c r="BN72" s="34"/>
      <c r="BO72" s="34" t="s">
        <v>382</v>
      </c>
      <c r="BP72" s="20">
        <f>ifs(isblank(AX72),0,BH72="NR","NR",BH72="?","?",1,(AY72*vlookup(AX72,Ores[],2,FALSE)+if(isblank(AZ72),0,BA72*vlookup(AZ72,Ores[],2,FALSE))+if(isblank(BB72),0,BC72*vlookup(BB72,Ores[],2,FALSE))+if(isblank(BD72),0,BE72*vlookup(BD72,Ores[],2,FALSE))+if(isblank(BF72),0,BG72*vlookup(BF72,Ores[],2,FALSE)))/BH72)</f>
        <v>3.826428571</v>
      </c>
      <c r="BQ72" s="20">
        <f>ifs(isblank(AX72),0,BH72="NR","NR",BH72="?","?",1,(AY72*vlookup(AX72,Ores[],4,FALSE)+if(isblank(AZ72),0,BA72*vlookup(AZ72,Ores[],4,FALSE))+if(isblank(BB72),0,BC72*vlookup(BB72,Ores[],4,FALSE))+if(isblank(BD72),0,BE72*vlookup(BD72,Ores[],4,FALSE))+if(isblank(BF72),0,BG72*vlookup(BF72,Ores[],4,FALSE)))/BH72)</f>
        <v>0.1728571429</v>
      </c>
      <c r="BR72" s="21">
        <f>ifs(isblank(AX72),0,BH72="NR","NR",BH72="?","?",1,(AY72*vlookup(AX72,Ores[],8,FALSE)+if(isblank(AZ72),0,BA72*vlookup(AZ72,Ores[],8,FALSE))+if(isblank(BB72),0,BC72*vlookup(BB72,Ores[],8,FALSE))+if(isblank(BD72),0,BE72*vlookup(BD72,Ores[],8,FALSE))+if(isblank(BF72),0,BG72*vlookup(BF72,Ores[],8,FALSE)))/BH72)</f>
        <v>0</v>
      </c>
      <c r="BS72" s="21">
        <f>ifs(isblank(AX72),0,BH72="NR","NR",BH72="?","?",1,(AY72*vlookup(AX72,Ores[],7,FALSE)+if(isblank(AZ72),0,BA72*vlookup(AZ72,Ores[],7,FALSE))+if(isblank(BB72),0,BC72*vlookup(BB72,Ores[],7,FALSE))+if(isblank(BD72),0,BE72*vlookup(BD72,Ores[],7,FALSE))+if(isblank(BF72),0,BG72*vlookup(BF72,Ores[],7,FALSE)))/BH72)</f>
        <v>0</v>
      </c>
      <c r="BT72" s="21">
        <f>ifs(isblank(AX72),0,BH72="NR","NR",BH72="?","?",1,(AY72*vlookup(AX72,Ores[],3,FALSE)+if(isblank(AZ72),0,BA72*vlookup(AZ72,Ores[],3,FALSE))+if(isblank(BB72),0,BC72*vlookup(BB72,Ores[],3,FALSE))+if(isblank(BD72),0,BE72*vlookup(BD72,Ores[],3,FALSE))+if(isblank(BF72),0,BG72*vlookup(BF72,Ores[],3,FALSE)))/BH72)</f>
        <v>0.2828571429</v>
      </c>
      <c r="BU72" s="21">
        <f>ifs(isblank(AX72),0,BH72="NR","NR",BH72="?","?",1,(AY72*vlookup(AX72,Ores[],5,FALSE)+if(isblank(AZ72),0,BA72*vlookup(AZ72,Ores[],5,FALSE))+if(isblank(BB72),0,BC72*vlookup(BB72,Ores[],5,FALSE))+if(isblank(BD72),0,BE72*vlookup(BD72,Ores[],5,FALSE))+if(isblank(BF72),0,BG72*vlookup(BF72,Ores[],5,FALSE)))/BH72)</f>
        <v>0.1492857143</v>
      </c>
      <c r="BV72" s="22" t="str">
        <f t="shared" si="26"/>
        <v>NR</v>
      </c>
      <c r="BW72" s="40">
        <v>47.0</v>
      </c>
      <c r="BX72" s="41">
        <v>51.0</v>
      </c>
      <c r="BY72" s="47"/>
      <c r="BZ72" s="56">
        <f t="shared" si="27"/>
        <v>8.611111111</v>
      </c>
      <c r="CA72" s="53">
        <f t="shared" si="28"/>
        <v>4.84375</v>
      </c>
      <c r="CB72" s="41" t="s">
        <v>625</v>
      </c>
      <c r="CC72" s="41" t="s">
        <v>626</v>
      </c>
      <c r="CD72" s="28">
        <f t="shared" si="10"/>
        <v>4.84375</v>
      </c>
      <c r="CE72" s="43">
        <f t="shared" si="29"/>
        <v>155</v>
      </c>
      <c r="CF72" s="41"/>
      <c r="CG72" s="43">
        <v>23.0</v>
      </c>
      <c r="CH72" s="43">
        <v>43.0</v>
      </c>
      <c r="CI72" s="43">
        <v>198.0</v>
      </c>
      <c r="CJ72" s="43" t="s">
        <v>116</v>
      </c>
      <c r="CK72" s="43">
        <v>18.0</v>
      </c>
      <c r="CL72" s="43">
        <v>9.0</v>
      </c>
      <c r="CM72" s="43">
        <v>6.0</v>
      </c>
      <c r="CN72" s="43">
        <v>32.0</v>
      </c>
      <c r="CO72" s="43">
        <v>18.0</v>
      </c>
      <c r="CP72" s="43">
        <v>4.0</v>
      </c>
      <c r="CQ72" s="43">
        <v>2.0</v>
      </c>
      <c r="CR72" s="41" t="s">
        <v>257</v>
      </c>
      <c r="CS72" s="53">
        <v>9.0</v>
      </c>
      <c r="CT72" s="43" t="s">
        <v>199</v>
      </c>
      <c r="CU72" s="30"/>
      <c r="CV72" s="29"/>
      <c r="CW72" s="30">
        <f t="shared" si="12"/>
        <v>0.2647058824</v>
      </c>
      <c r="CX72" s="31" t="str">
        <f t="shared" si="19"/>
        <v>?</v>
      </c>
      <c r="CY72" s="41"/>
      <c r="CZ72" s="41"/>
      <c r="DA72" s="41" t="s">
        <v>613</v>
      </c>
      <c r="DB72" s="41" t="s">
        <v>535</v>
      </c>
      <c r="DC72" s="41" t="s">
        <v>440</v>
      </c>
      <c r="DD72" s="41"/>
      <c r="DE72" s="41"/>
      <c r="DF72" s="41"/>
      <c r="DG72" s="41"/>
      <c r="DH72" s="41"/>
      <c r="DI72" s="41"/>
      <c r="DJ72" s="41"/>
      <c r="DK72" s="41"/>
      <c r="DL72" s="41"/>
      <c r="DM72" s="45"/>
    </row>
    <row r="73" ht="21.75" customHeight="1">
      <c r="A73" s="33">
        <v>69.0</v>
      </c>
      <c r="B73" s="34" t="s">
        <v>693</v>
      </c>
      <c r="C73" s="34" t="s">
        <v>694</v>
      </c>
      <c r="D73" s="34" t="s">
        <v>695</v>
      </c>
      <c r="E73" s="35">
        <v>42622.0</v>
      </c>
      <c r="F73" s="34" t="s">
        <v>540</v>
      </c>
      <c r="G73" s="36" t="s">
        <v>110</v>
      </c>
      <c r="H73" s="36" t="s">
        <v>249</v>
      </c>
      <c r="I73" s="34" t="s">
        <v>181</v>
      </c>
      <c r="J73" s="36" t="s">
        <v>437</v>
      </c>
      <c r="K73" s="34"/>
      <c r="L73" s="34"/>
      <c r="M73" s="36" t="s">
        <v>150</v>
      </c>
      <c r="N73" s="36" t="s">
        <v>151</v>
      </c>
      <c r="O73" s="34">
        <f t="shared" si="23"/>
        <v>56</v>
      </c>
      <c r="P73" s="34">
        <f t="shared" si="21"/>
        <v>56</v>
      </c>
      <c r="Q73" s="36">
        <v>56.0</v>
      </c>
      <c r="R73" s="34"/>
      <c r="S73" s="34">
        <v>41.0</v>
      </c>
      <c r="T73" s="34" t="s">
        <v>116</v>
      </c>
      <c r="U73" s="51">
        <v>40.0</v>
      </c>
      <c r="V73" s="51">
        <v>20.0</v>
      </c>
      <c r="W73" s="34"/>
      <c r="X73" s="34">
        <v>35.0</v>
      </c>
      <c r="Y73" s="34"/>
      <c r="Z73" s="34"/>
      <c r="AA73" s="37">
        <f>Calcs!O73</f>
        <v>962.1</v>
      </c>
      <c r="AB73" s="34" t="s">
        <v>116</v>
      </c>
      <c r="AC73" s="34" t="s">
        <v>696</v>
      </c>
      <c r="AD73" s="34" t="s">
        <v>119</v>
      </c>
      <c r="AE73" s="34">
        <v>2.5</v>
      </c>
      <c r="AF73" s="36"/>
      <c r="AG73" s="36">
        <v>20.0</v>
      </c>
      <c r="AH73" s="36" t="s">
        <v>170</v>
      </c>
      <c r="AI73" s="34"/>
      <c r="AJ73" s="34">
        <v>4.5</v>
      </c>
      <c r="AK73" s="34"/>
      <c r="AL73" s="34" t="s">
        <v>184</v>
      </c>
      <c r="AM73" s="34"/>
      <c r="AN73" s="36">
        <v>15.0</v>
      </c>
      <c r="AO73" s="34">
        <v>15.0</v>
      </c>
      <c r="AP73" s="34"/>
      <c r="AQ73" s="34" t="s">
        <v>697</v>
      </c>
      <c r="AR73" s="34"/>
      <c r="AS73" s="34" t="s">
        <v>140</v>
      </c>
      <c r="AT73" s="14" t="str">
        <f t="shared" si="3"/>
        <v/>
      </c>
      <c r="AU73" s="12"/>
      <c r="AV73" s="38"/>
      <c r="AW73" s="17">
        <f t="shared" si="4"/>
        <v>1154.52</v>
      </c>
      <c r="AX73" s="36"/>
      <c r="AY73" s="36"/>
      <c r="AZ73" s="34"/>
      <c r="BA73" s="34"/>
      <c r="BB73" s="34"/>
      <c r="BC73" s="34"/>
      <c r="BD73" s="34"/>
      <c r="BE73" s="34"/>
      <c r="BF73" s="34"/>
      <c r="BG73" s="34"/>
      <c r="BH73" s="18">
        <f t="shared" si="25"/>
        <v>0</v>
      </c>
      <c r="BI73" s="19" t="str">
        <f>ifs(BH73=0,"na",BH73="NR","NR",BH73="?","?",BK73&gt;0,"?",iserror(Calcs!AB73),"?",1,Calcs!AB73)</f>
        <v>na</v>
      </c>
      <c r="BJ73" s="34"/>
      <c r="BK73" s="34"/>
      <c r="BL73" s="18">
        <f t="shared" si="6"/>
        <v>0</v>
      </c>
      <c r="BM73" s="34"/>
      <c r="BN73" s="34"/>
      <c r="BO73" s="34"/>
      <c r="BP73" s="20">
        <f>ifs(isblank(AX73),0,BH73="NR","NR",BH73="?","?",1,(AY73*vlookup(AX73,Ores[],2,FALSE)+if(isblank(AZ73),0,BA73*vlookup(AZ73,Ores[],2,FALSE))+if(isblank(BB73),0,BC73*vlookup(BB73,Ores[],2,FALSE))+if(isblank(BD73),0,BE73*vlookup(BD73,Ores[],2,FALSE))+if(isblank(BF73),0,BG73*vlookup(BF73,Ores[],2,FALSE)))/BH73)</f>
        <v>0</v>
      </c>
      <c r="BQ73" s="20">
        <f>ifs(isblank(AX73),0,BH73="NR","NR",BH73="?","?",1,(AY73*vlookup(AX73,Ores[],4,FALSE)+if(isblank(AZ73),0,BA73*vlookup(AZ73,Ores[],4,FALSE))+if(isblank(BB73),0,BC73*vlookup(BB73,Ores[],4,FALSE))+if(isblank(BD73),0,BE73*vlookup(BD73,Ores[],4,FALSE))+if(isblank(BF73),0,BG73*vlookup(BF73,Ores[],4,FALSE)))/BH73)</f>
        <v>0</v>
      </c>
      <c r="BR73" s="21">
        <f>ifs(isblank(AX73),0,BH73="NR","NR",BH73="?","?",1,(AY73*vlookup(AX73,Ores[],8,FALSE)+if(isblank(AZ73),0,BA73*vlookup(AZ73,Ores[],8,FALSE))+if(isblank(BB73),0,BC73*vlookup(BB73,Ores[],8,FALSE))+if(isblank(BD73),0,BE73*vlookup(BD73,Ores[],8,FALSE))+if(isblank(BF73),0,BG73*vlookup(BF73,Ores[],8,FALSE)))/BH73)</f>
        <v>0</v>
      </c>
      <c r="BS73" s="21">
        <f>ifs(isblank(AX73),0,BH73="NR","NR",BH73="?","?",1,(AY73*vlookup(AX73,Ores[],7,FALSE)+if(isblank(AZ73),0,BA73*vlookup(AZ73,Ores[],7,FALSE))+if(isblank(BB73),0,BC73*vlookup(BB73,Ores[],7,FALSE))+if(isblank(BD73),0,BE73*vlookup(BD73,Ores[],7,FALSE))+if(isblank(BF73),0,BG73*vlookup(BF73,Ores[],7,FALSE)))/BH73)</f>
        <v>0</v>
      </c>
      <c r="BT73" s="21">
        <f>ifs(isblank(AX73),0,BH73="NR","NR",BH73="?","?",1,(AY73*vlookup(AX73,Ores[],3,FALSE)+if(isblank(AZ73),0,BA73*vlookup(AZ73,Ores[],3,FALSE))+if(isblank(BB73),0,BC73*vlookup(BB73,Ores[],3,FALSE))+if(isblank(BD73),0,BE73*vlookup(BD73,Ores[],3,FALSE))+if(isblank(BF73),0,BG73*vlookup(BF73,Ores[],3,FALSE)))/BH73)</f>
        <v>0</v>
      </c>
      <c r="BU73" s="21">
        <f>ifs(isblank(AX73),0,BH73="NR","NR",BH73="?","?",1,(AY73*vlookup(AX73,Ores[],5,FALSE)+if(isblank(AZ73),0,BA73*vlookup(AZ73,Ores[],5,FALSE))+if(isblank(BB73),0,BC73*vlookup(BB73,Ores[],5,FALSE))+if(isblank(BD73),0,BE73*vlookup(BD73,Ores[],5,FALSE))+if(isblank(BF73),0,BG73*vlookup(BF73,Ores[],5,FALSE)))/BH73)</f>
        <v>0</v>
      </c>
      <c r="BV73" s="43" t="s">
        <v>117</v>
      </c>
      <c r="BW73" s="40">
        <v>14.0</v>
      </c>
      <c r="BX73" s="41">
        <v>16.3</v>
      </c>
      <c r="BY73" s="47"/>
      <c r="BZ73" s="60" t="s">
        <v>117</v>
      </c>
      <c r="CA73" s="44" t="s">
        <v>117</v>
      </c>
      <c r="CB73" s="41" t="s">
        <v>185</v>
      </c>
      <c r="CC73" s="41" t="s">
        <v>626</v>
      </c>
      <c r="CD73" s="28" t="s">
        <v>117</v>
      </c>
      <c r="CE73" s="43" t="s">
        <v>117</v>
      </c>
      <c r="CF73" s="41"/>
      <c r="CG73" s="43"/>
      <c r="CH73" s="43" t="s">
        <v>117</v>
      </c>
      <c r="CI73" s="43" t="s">
        <v>117</v>
      </c>
      <c r="CJ73" s="43" t="s">
        <v>117</v>
      </c>
      <c r="CK73" s="43" t="s">
        <v>117</v>
      </c>
      <c r="CL73" s="43" t="s">
        <v>117</v>
      </c>
      <c r="CM73" s="43" t="s">
        <v>117</v>
      </c>
      <c r="CN73" s="43" t="s">
        <v>117</v>
      </c>
      <c r="CO73" s="43" t="s">
        <v>117</v>
      </c>
      <c r="CP73" s="43" t="s">
        <v>117</v>
      </c>
      <c r="CQ73" s="43" t="s">
        <v>117</v>
      </c>
      <c r="CR73" s="43" t="s">
        <v>117</v>
      </c>
      <c r="CS73" s="44" t="s">
        <v>117</v>
      </c>
      <c r="CT73" s="43" t="s">
        <v>117</v>
      </c>
      <c r="CU73" s="30"/>
      <c r="CV73" s="29"/>
      <c r="CW73" s="30" t="str">
        <f t="shared" si="12"/>
        <v>na</v>
      </c>
      <c r="CX73" s="31" t="str">
        <f t="shared" si="19"/>
        <v>?</v>
      </c>
      <c r="CY73" s="41"/>
      <c r="CZ73" s="41"/>
      <c r="DA73" s="41" t="s">
        <v>698</v>
      </c>
      <c r="DB73" s="41" t="s">
        <v>699</v>
      </c>
      <c r="DC73" s="41" t="s">
        <v>700</v>
      </c>
      <c r="DD73" s="41"/>
      <c r="DE73" s="41"/>
      <c r="DF73" s="41"/>
      <c r="DG73" s="41"/>
      <c r="DH73" s="41"/>
      <c r="DI73" s="41"/>
      <c r="DJ73" s="41"/>
      <c r="DK73" s="41"/>
      <c r="DL73" s="41"/>
      <c r="DM73" s="45"/>
    </row>
    <row r="74" ht="21.75" customHeight="1">
      <c r="A74" s="33" t="s">
        <v>701</v>
      </c>
      <c r="B74" s="34" t="s">
        <v>702</v>
      </c>
      <c r="C74" s="34" t="s">
        <v>137</v>
      </c>
      <c r="D74" s="36" t="s">
        <v>703</v>
      </c>
      <c r="E74" s="35">
        <v>42672.0</v>
      </c>
      <c r="F74" s="34" t="s">
        <v>347</v>
      </c>
      <c r="G74" s="36" t="s">
        <v>110</v>
      </c>
      <c r="H74" s="36" t="s">
        <v>348</v>
      </c>
      <c r="I74" s="34" t="s">
        <v>704</v>
      </c>
      <c r="J74" s="36" t="s">
        <v>656</v>
      </c>
      <c r="K74" s="36"/>
      <c r="L74" s="36"/>
      <c r="M74" s="36" t="s">
        <v>705</v>
      </c>
      <c r="N74" s="36" t="s">
        <v>168</v>
      </c>
      <c r="O74" s="34">
        <f t="shared" si="23"/>
        <v>75</v>
      </c>
      <c r="P74" s="34">
        <f t="shared" si="21"/>
        <v>75</v>
      </c>
      <c r="Q74" s="36">
        <v>75.0</v>
      </c>
      <c r="R74" s="34"/>
      <c r="S74" s="34">
        <v>55.0</v>
      </c>
      <c r="T74" s="34" t="s">
        <v>647</v>
      </c>
      <c r="U74" s="36">
        <v>33.0</v>
      </c>
      <c r="V74" s="36">
        <v>26.0</v>
      </c>
      <c r="W74" s="36">
        <v>13.0</v>
      </c>
      <c r="X74" s="34"/>
      <c r="Y74" s="34"/>
      <c r="Z74" s="34"/>
      <c r="AA74" s="37">
        <f>Calcs!O74</f>
        <v>785.4645792</v>
      </c>
      <c r="AB74" s="34" t="s">
        <v>469</v>
      </c>
      <c r="AC74" s="34" t="s">
        <v>706</v>
      </c>
      <c r="AD74" s="34" t="s">
        <v>253</v>
      </c>
      <c r="AE74" s="36">
        <v>2.5</v>
      </c>
      <c r="AF74" s="36" t="s">
        <v>123</v>
      </c>
      <c r="AG74" s="36">
        <v>25.0</v>
      </c>
      <c r="AH74" s="36" t="s">
        <v>170</v>
      </c>
      <c r="AI74" s="34"/>
      <c r="AJ74" s="34">
        <v>4.0</v>
      </c>
      <c r="AK74" s="34"/>
      <c r="AL74" s="36" t="s">
        <v>707</v>
      </c>
      <c r="AM74" s="36" t="s">
        <v>568</v>
      </c>
      <c r="AN74" s="36">
        <v>2.5</v>
      </c>
      <c r="AO74" s="34">
        <v>11.0</v>
      </c>
      <c r="AP74" s="34"/>
      <c r="AQ74" s="34" t="s">
        <v>254</v>
      </c>
      <c r="AR74" s="34"/>
      <c r="AS74" s="36">
        <v>1400.0</v>
      </c>
      <c r="AT74" s="14" t="str">
        <f t="shared" si="3"/>
        <v/>
      </c>
      <c r="AU74" s="14" t="s">
        <v>650</v>
      </c>
      <c r="AV74" s="74">
        <v>1008.0</v>
      </c>
      <c r="AW74" s="17">
        <f t="shared" si="4"/>
        <v>942.5574951</v>
      </c>
      <c r="AX74" s="36" t="s">
        <v>544</v>
      </c>
      <c r="AY74" s="36">
        <v>25.0</v>
      </c>
      <c r="AZ74" s="34"/>
      <c r="BA74" s="34"/>
      <c r="BB74" s="34"/>
      <c r="BC74" s="34"/>
      <c r="BD74" s="34"/>
      <c r="BE74" s="34"/>
      <c r="BF74" s="34"/>
      <c r="BG74" s="34"/>
      <c r="BH74" s="18">
        <f t="shared" si="25"/>
        <v>25</v>
      </c>
      <c r="BI74" s="19">
        <f>ifs(BH74=0,"na",BH74="NR","NR",BH74="?","?",BK74&gt;0,"?",iserror(Calcs!AB74),"?",1,Calcs!AB74)</f>
        <v>0.5482634678</v>
      </c>
      <c r="BJ74" s="34" t="s">
        <v>282</v>
      </c>
      <c r="BK74" s="34"/>
      <c r="BL74" s="18">
        <f t="shared" si="6"/>
        <v>25</v>
      </c>
      <c r="BM74" s="34"/>
      <c r="BN74" s="34"/>
      <c r="BO74" s="34" t="s">
        <v>382</v>
      </c>
      <c r="BP74" s="20">
        <f>ifs(isblank(AX74),0,BH74="NR","NR",BH74="?","?",1,(AY74*vlookup(AX74,Ores[],2,FALSE)+if(isblank(AZ74),0,BA74*vlookup(AZ74,Ores[],2,FALSE))+if(isblank(BB74),0,BC74*vlookup(BB74,Ores[],2,FALSE))+if(isblank(BD74),0,BE74*vlookup(BD74,Ores[],2,FALSE))+if(isblank(BF74),0,BG74*vlookup(BF74,Ores[],2,FALSE)))/BH74)</f>
        <v>4.838709677</v>
      </c>
      <c r="BQ74" s="20">
        <f>ifs(isblank(AX74),0,BH74="NR","NR",BH74="?","?",1,(AY74*vlookup(AX74,Ores[],4,FALSE)+if(isblank(AZ74),0,BA74*vlookup(AZ74,Ores[],4,FALSE))+if(isblank(BB74),0,BC74*vlookup(BB74,Ores[],4,FALSE))+if(isblank(BD74),0,BE74*vlookup(BD74,Ores[],4,FALSE))+if(isblank(BF74),0,BG74*vlookup(BF74,Ores[],4,FALSE)))/BH74)</f>
        <v>2.516129032</v>
      </c>
      <c r="BR74" s="21">
        <f>ifs(isblank(AX74),0,BH74="NR","NR",BH74="?","?",1,(AY74*vlookup(AX74,Ores[],8,FALSE)+if(isblank(AZ74),0,BA74*vlookup(AZ74,Ores[],8,FALSE))+if(isblank(BB74),0,BC74*vlookup(BB74,Ores[],8,FALSE))+if(isblank(BD74),0,BE74*vlookup(BD74,Ores[],8,FALSE))+if(isblank(BF74),0,BG74*vlookup(BF74,Ores[],8,FALSE)))/BH74)</f>
        <v>0</v>
      </c>
      <c r="BS74" s="21">
        <f>ifs(isblank(AX74),0,BH74="NR","NR",BH74="?","?",1,(AY74*vlookup(AX74,Ores[],7,FALSE)+if(isblank(AZ74),0,BA74*vlookup(AZ74,Ores[],7,FALSE))+if(isblank(BB74),0,BC74*vlookup(BB74,Ores[],7,FALSE))+if(isblank(BD74),0,BE74*vlookup(BD74,Ores[],7,FALSE))+if(isblank(BF74),0,BG74*vlookup(BF74,Ores[],7,FALSE)))/BH74)</f>
        <v>0</v>
      </c>
      <c r="BT74" s="21">
        <f>ifs(isblank(AX74),0,BH74="NR","NR",BH74="?","?",1,(AY74*vlookup(AX74,Ores[],3,FALSE)+if(isblank(AZ74),0,BA74*vlookup(AZ74,Ores[],3,FALSE))+if(isblank(BB74),0,BC74*vlookup(BB74,Ores[],3,FALSE))+if(isblank(BD74),0,BE74*vlookup(BD74,Ores[],3,FALSE))+if(isblank(BF74),0,BG74*vlookup(BF74,Ores[],3,FALSE)))/BH74)</f>
        <v>1.935483871</v>
      </c>
      <c r="BU74" s="21">
        <f>ifs(isblank(AX74),0,BH74="NR","NR",BH74="?","?",1,(AY74*vlookup(AX74,Ores[],5,FALSE)+if(isblank(AZ74),0,BA74*vlookup(AZ74,Ores[],5,FALSE))+if(isblank(BB74),0,BC74*vlookup(BB74,Ores[],5,FALSE))+if(isblank(BD74),0,BE74*vlookup(BD74,Ores[],5,FALSE))+if(isblank(BF74),0,BG74*vlookup(BF74,Ores[],5,FALSE)))/BH74)</f>
        <v>0</v>
      </c>
      <c r="BV74" s="22">
        <f t="shared" ref="BV74:BV103" si="30">ifs(OR(CJ74="NR",BX74="NR"),"NR",OR(CJ74="?",BX74="?"),"?",1,CJ74/BX74)</f>
        <v>5.634920635</v>
      </c>
      <c r="BW74" s="40">
        <v>55.0</v>
      </c>
      <c r="BX74" s="41">
        <v>63.0</v>
      </c>
      <c r="BY74" s="47"/>
      <c r="BZ74" s="56">
        <f t="shared" ref="BZ74:BZ103" si="31">ifs(AND(CO74=0,CK74&gt;0),"Slug",OR(CO74="NR",CE74="NR"),"NR",OR(CO74="?",CE74="?"),"?",1,CE74/CO74)</f>
        <v>13.05882353</v>
      </c>
      <c r="CA74" s="53">
        <f t="shared" ref="CA74:CA103" si="32">ifs(AND(CN74=0,CK74&gt;0),"Slug",OR(CN74="NR",CE74="NR"),"NR",OR(CN74="?",CE74="?"),"?",1,CE74/CN74)</f>
        <v>6.626865672</v>
      </c>
      <c r="CB74" s="41" t="s">
        <v>461</v>
      </c>
      <c r="CC74" s="41" t="s">
        <v>489</v>
      </c>
      <c r="CD74" s="28">
        <f t="shared" ref="CD74:CD103" si="33">ifs(AND(CN74=0,CK74&gt;0),"Slug",OR(CN74="NR",CE74="NR"),"NR",OR(CN74="?",CE74="?"),"?",1,CE74/CN74)</f>
        <v>6.626865672</v>
      </c>
      <c r="CE74" s="43">
        <f t="shared" ref="CE74:CE103" si="34">ifs(OR(CI74="NR",CH74="NR"),"NR",OR(CI74="?",CH74="?"),"?",1,CI74-CH74)</f>
        <v>222</v>
      </c>
      <c r="CF74" s="41"/>
      <c r="CG74" s="43"/>
      <c r="CH74" s="43">
        <v>82.0</v>
      </c>
      <c r="CI74" s="43">
        <v>304.0</v>
      </c>
      <c r="CJ74" s="43">
        <v>355.0</v>
      </c>
      <c r="CK74" s="43">
        <v>17.0</v>
      </c>
      <c r="CL74" s="43">
        <v>15.8</v>
      </c>
      <c r="CM74" s="43">
        <v>8.0</v>
      </c>
      <c r="CN74" s="43">
        <v>33.5</v>
      </c>
      <c r="CO74" s="43">
        <v>17.0</v>
      </c>
      <c r="CP74" s="43">
        <v>1.9</v>
      </c>
      <c r="CQ74" s="43">
        <v>1.0</v>
      </c>
      <c r="CR74" s="41" t="s">
        <v>257</v>
      </c>
      <c r="CS74" s="53">
        <v>2.5</v>
      </c>
      <c r="CT74" s="43" t="s">
        <v>431</v>
      </c>
      <c r="CU74" s="30"/>
      <c r="CV74" s="29"/>
      <c r="CW74" s="30">
        <f t="shared" si="12"/>
        <v>0.1</v>
      </c>
      <c r="CX74" s="31">
        <f t="shared" si="19"/>
        <v>0.1823940603</v>
      </c>
      <c r="CY74" s="41"/>
      <c r="CZ74" s="41"/>
      <c r="DA74" s="41" t="s">
        <v>447</v>
      </c>
      <c r="DB74" s="41" t="s">
        <v>708</v>
      </c>
      <c r="DC74" s="41" t="s">
        <v>709</v>
      </c>
      <c r="DD74" s="41"/>
      <c r="DE74" s="41"/>
      <c r="DF74" s="41"/>
      <c r="DG74" s="41"/>
      <c r="DH74" s="41"/>
      <c r="DI74" s="41"/>
      <c r="DJ74" s="41"/>
      <c r="DK74" s="41"/>
      <c r="DL74" s="41"/>
      <c r="DM74" s="45"/>
    </row>
    <row r="75" ht="21.75" customHeight="1">
      <c r="A75" s="33">
        <v>71.0</v>
      </c>
      <c r="B75" s="34" t="s">
        <v>710</v>
      </c>
      <c r="C75" s="34" t="s">
        <v>711</v>
      </c>
      <c r="D75" s="34" t="s">
        <v>712</v>
      </c>
      <c r="E75" s="35">
        <v>42693.0</v>
      </c>
      <c r="F75" s="34" t="s">
        <v>109</v>
      </c>
      <c r="G75" s="36" t="s">
        <v>123</v>
      </c>
      <c r="H75" s="36" t="s">
        <v>249</v>
      </c>
      <c r="I75" s="36" t="s">
        <v>366</v>
      </c>
      <c r="J75" s="36" t="s">
        <v>437</v>
      </c>
      <c r="K75" s="34"/>
      <c r="L75" s="34"/>
      <c r="M75" s="36" t="s">
        <v>150</v>
      </c>
      <c r="N75" s="36" t="s">
        <v>168</v>
      </c>
      <c r="O75" s="34">
        <f t="shared" si="23"/>
        <v>65</v>
      </c>
      <c r="P75" s="34">
        <f t="shared" si="21"/>
        <v>65</v>
      </c>
      <c r="Q75" s="36">
        <v>65.0</v>
      </c>
      <c r="R75" s="34"/>
      <c r="S75" s="34">
        <v>45.0</v>
      </c>
      <c r="T75" s="34" t="s">
        <v>713</v>
      </c>
      <c r="U75" s="34">
        <v>25.0</v>
      </c>
      <c r="V75" s="34"/>
      <c r="W75" s="34"/>
      <c r="X75" s="34"/>
      <c r="Y75" s="34"/>
      <c r="Z75" s="34"/>
      <c r="AA75" s="37">
        <f>Calcs!O75</f>
        <v>490.9</v>
      </c>
      <c r="AB75" s="34" t="s">
        <v>714</v>
      </c>
      <c r="AC75" s="34" t="s">
        <v>715</v>
      </c>
      <c r="AD75" s="34" t="s">
        <v>253</v>
      </c>
      <c r="AE75" s="36">
        <v>2.5</v>
      </c>
      <c r="AF75" s="36" t="s">
        <v>123</v>
      </c>
      <c r="AG75" s="36">
        <v>20.0</v>
      </c>
      <c r="AH75" s="36" t="s">
        <v>170</v>
      </c>
      <c r="AI75" s="34"/>
      <c r="AJ75" s="34">
        <v>5.0</v>
      </c>
      <c r="AK75" s="34"/>
      <c r="AL75" s="34" t="s">
        <v>184</v>
      </c>
      <c r="AM75" s="34"/>
      <c r="AN75" s="36" t="s">
        <v>116</v>
      </c>
      <c r="AO75" s="34">
        <v>20.0</v>
      </c>
      <c r="AP75" s="34"/>
      <c r="AQ75" s="34" t="s">
        <v>478</v>
      </c>
      <c r="AR75" s="36"/>
      <c r="AS75" s="36"/>
      <c r="AT75" s="36">
        <v>400.0</v>
      </c>
      <c r="AU75" s="16" t="s">
        <v>123</v>
      </c>
      <c r="AV75" s="38"/>
      <c r="AW75" s="17">
        <f t="shared" si="4"/>
        <v>589.08</v>
      </c>
      <c r="AX75" s="36" t="s">
        <v>544</v>
      </c>
      <c r="AY75" s="36">
        <v>4.0</v>
      </c>
      <c r="AZ75" s="34"/>
      <c r="BA75" s="34"/>
      <c r="BB75" s="34"/>
      <c r="BC75" s="34"/>
      <c r="BD75" s="34"/>
      <c r="BE75" s="34"/>
      <c r="BF75" s="34"/>
      <c r="BG75" s="34"/>
      <c r="BH75" s="18">
        <f t="shared" si="25"/>
        <v>4</v>
      </c>
      <c r="BI75" s="19">
        <f>ifs(BH75=0,"na",BH75="NR","NR",BH75="?","?",BK75&gt;0,"?",iserror(Calcs!AB75),"?",1,Calcs!AB75)</f>
        <v>0.5482634678</v>
      </c>
      <c r="BJ75" s="34" t="s">
        <v>282</v>
      </c>
      <c r="BK75" s="34"/>
      <c r="BL75" s="18">
        <f t="shared" si="6"/>
        <v>4</v>
      </c>
      <c r="BM75" s="34">
        <v>2.0</v>
      </c>
      <c r="BN75" s="34"/>
      <c r="BO75" s="34" t="s">
        <v>382</v>
      </c>
      <c r="BP75" s="20">
        <f>ifs(isblank(AX75),0,BH75="NR","NR",BH75="?","?",1,(AY75*vlookup(AX75,Ores[],2,FALSE)+if(isblank(AZ75),0,BA75*vlookup(AZ75,Ores[],2,FALSE))+if(isblank(BB75),0,BC75*vlookup(BB75,Ores[],2,FALSE))+if(isblank(BD75),0,BE75*vlookup(BD75,Ores[],2,FALSE))+if(isblank(BF75),0,BG75*vlookup(BF75,Ores[],2,FALSE)))/BH75)</f>
        <v>4.838709677</v>
      </c>
      <c r="BQ75" s="20">
        <f>ifs(isblank(AX75),0,BH75="NR","NR",BH75="?","?",1,(AY75*vlookup(AX75,Ores[],4,FALSE)+if(isblank(AZ75),0,BA75*vlookup(AZ75,Ores[],4,FALSE))+if(isblank(BB75),0,BC75*vlookup(BB75,Ores[],4,FALSE))+if(isblank(BD75),0,BE75*vlookup(BD75,Ores[],4,FALSE))+if(isblank(BF75),0,BG75*vlookup(BF75,Ores[],4,FALSE)))/BH75)</f>
        <v>2.516129032</v>
      </c>
      <c r="BR75" s="21">
        <f>ifs(isblank(AX75),0,BH75="NR","NR",BH75="?","?",1,(AY75*vlookup(AX75,Ores[],8,FALSE)+if(isblank(AZ75),0,BA75*vlookup(AZ75,Ores[],8,FALSE))+if(isblank(BB75),0,BC75*vlookup(BB75,Ores[],8,FALSE))+if(isblank(BD75),0,BE75*vlookup(BD75,Ores[],8,FALSE))+if(isblank(BF75),0,BG75*vlookup(BF75,Ores[],8,FALSE)))/BH75)</f>
        <v>0</v>
      </c>
      <c r="BS75" s="21">
        <f>ifs(isblank(AX75),0,BH75="NR","NR",BH75="?","?",1,(AY75*vlookup(AX75,Ores[],7,FALSE)+if(isblank(AZ75),0,BA75*vlookup(AZ75,Ores[],7,FALSE))+if(isblank(BB75),0,BC75*vlookup(BB75,Ores[],7,FALSE))+if(isblank(BD75),0,BE75*vlookup(BD75,Ores[],7,FALSE))+if(isblank(BF75),0,BG75*vlookup(BF75,Ores[],7,FALSE)))/BH75)</f>
        <v>0</v>
      </c>
      <c r="BT75" s="21">
        <f>ifs(isblank(AX75),0,BH75="NR","NR",BH75="?","?",1,(AY75*vlookup(AX75,Ores[],3,FALSE)+if(isblank(AZ75),0,BA75*vlookup(AZ75,Ores[],3,FALSE))+if(isblank(BB75),0,BC75*vlookup(BB75,Ores[],3,FALSE))+if(isblank(BD75),0,BE75*vlookup(BD75,Ores[],3,FALSE))+if(isblank(BF75),0,BG75*vlookup(BF75,Ores[],3,FALSE)))/BH75)</f>
        <v>1.935483871</v>
      </c>
      <c r="BU75" s="21">
        <f>ifs(isblank(AX75),0,BH75="NR","NR",BH75="?","?",1,(AY75*vlookup(AX75,Ores[],5,FALSE)+if(isblank(AZ75),0,BA75*vlookup(AZ75,Ores[],5,FALSE))+if(isblank(BB75),0,BC75*vlookup(BB75,Ores[],5,FALSE))+if(isblank(BD75),0,BE75*vlookup(BD75,Ores[],5,FALSE))+if(isblank(BF75),0,BG75*vlookup(BF75,Ores[],5,FALSE)))/BH75)</f>
        <v>0</v>
      </c>
      <c r="BV75" s="22" t="str">
        <f t="shared" si="30"/>
        <v>NR</v>
      </c>
      <c r="BW75" s="40">
        <v>176.0</v>
      </c>
      <c r="BX75" s="43">
        <v>18.0</v>
      </c>
      <c r="BY75" s="47"/>
      <c r="BZ75" s="56">
        <f t="shared" si="31"/>
        <v>17.5</v>
      </c>
      <c r="CA75" s="53">
        <f t="shared" si="32"/>
        <v>9.722222222</v>
      </c>
      <c r="CB75" s="43" t="s">
        <v>185</v>
      </c>
      <c r="CC75" s="43" t="s">
        <v>716</v>
      </c>
      <c r="CD75" s="28">
        <f t="shared" si="33"/>
        <v>9.722222222</v>
      </c>
      <c r="CE75" s="43">
        <f t="shared" si="34"/>
        <v>70</v>
      </c>
      <c r="CF75" s="41"/>
      <c r="CG75" s="43">
        <v>82.0</v>
      </c>
      <c r="CH75" s="43">
        <v>176.0</v>
      </c>
      <c r="CI75" s="43">
        <v>246.0</v>
      </c>
      <c r="CJ75" s="43" t="s">
        <v>116</v>
      </c>
      <c r="CK75" s="43">
        <v>4.0</v>
      </c>
      <c r="CL75" s="43">
        <v>10.8</v>
      </c>
      <c r="CM75" s="43">
        <v>6.0</v>
      </c>
      <c r="CN75" s="43">
        <v>7.2</v>
      </c>
      <c r="CO75" s="43">
        <v>4.0</v>
      </c>
      <c r="CP75" s="43">
        <v>0.0</v>
      </c>
      <c r="CQ75" s="43">
        <v>0.0</v>
      </c>
      <c r="CR75" s="41" t="s">
        <v>257</v>
      </c>
      <c r="CS75" s="44">
        <v>0.0</v>
      </c>
      <c r="CT75" s="41" t="s">
        <v>414</v>
      </c>
      <c r="CU75" s="30"/>
      <c r="CV75" s="29"/>
      <c r="CW75" s="30" t="str">
        <f t="shared" si="12"/>
        <v>na</v>
      </c>
      <c r="CX75" s="31" t="str">
        <f t="shared" si="19"/>
        <v>na</v>
      </c>
      <c r="CY75" s="41"/>
      <c r="CZ75" s="41"/>
      <c r="DA75" s="41"/>
      <c r="DB75" s="41" t="s">
        <v>717</v>
      </c>
      <c r="DC75" s="41" t="s">
        <v>718</v>
      </c>
      <c r="DD75" s="41"/>
      <c r="DE75" s="41"/>
      <c r="DF75" s="41"/>
      <c r="DG75" s="41"/>
      <c r="DH75" s="41"/>
      <c r="DI75" s="41"/>
      <c r="DJ75" s="41"/>
      <c r="DK75" s="41"/>
      <c r="DL75" s="41"/>
      <c r="DM75" s="45"/>
    </row>
    <row r="76" ht="21.75" customHeight="1">
      <c r="A76" s="33">
        <v>72.0</v>
      </c>
      <c r="B76" s="34" t="s">
        <v>330</v>
      </c>
      <c r="C76" s="79" t="s">
        <v>719</v>
      </c>
      <c r="D76" s="34" t="s">
        <v>138</v>
      </c>
      <c r="E76" s="35">
        <v>42704.0</v>
      </c>
      <c r="F76" s="34" t="s">
        <v>109</v>
      </c>
      <c r="G76" s="36" t="s">
        <v>110</v>
      </c>
      <c r="H76" s="36" t="s">
        <v>249</v>
      </c>
      <c r="I76" s="36" t="s">
        <v>286</v>
      </c>
      <c r="J76" s="36" t="s">
        <v>590</v>
      </c>
      <c r="K76" s="34"/>
      <c r="L76" s="34"/>
      <c r="M76" s="36" t="s">
        <v>150</v>
      </c>
      <c r="N76" s="36" t="s">
        <v>168</v>
      </c>
      <c r="O76" s="34">
        <f t="shared" si="23"/>
        <v>65</v>
      </c>
      <c r="P76" s="34">
        <f t="shared" si="21"/>
        <v>65</v>
      </c>
      <c r="Q76" s="36">
        <v>65.0</v>
      </c>
      <c r="R76" s="34"/>
      <c r="S76" s="34">
        <v>50.0</v>
      </c>
      <c r="T76" s="34" t="s">
        <v>713</v>
      </c>
      <c r="U76" s="34">
        <v>25.0</v>
      </c>
      <c r="V76" s="34"/>
      <c r="W76" s="34"/>
      <c r="X76" s="34"/>
      <c r="Y76" s="34"/>
      <c r="Z76" s="34"/>
      <c r="AA76" s="37">
        <f>Calcs!O76</f>
        <v>490.9</v>
      </c>
      <c r="AB76" s="34" t="s">
        <v>714</v>
      </c>
      <c r="AC76" s="34" t="s">
        <v>720</v>
      </c>
      <c r="AD76" s="34" t="s">
        <v>253</v>
      </c>
      <c r="AE76" s="36">
        <v>2.5</v>
      </c>
      <c r="AF76" s="36" t="s">
        <v>123</v>
      </c>
      <c r="AG76" s="36">
        <v>23.5</v>
      </c>
      <c r="AH76" s="36" t="s">
        <v>170</v>
      </c>
      <c r="AI76" s="34"/>
      <c r="AJ76" s="34">
        <v>5.0</v>
      </c>
      <c r="AK76" s="34"/>
      <c r="AL76" s="34" t="s">
        <v>184</v>
      </c>
      <c r="AM76" s="34"/>
      <c r="AN76" s="36">
        <v>18.5</v>
      </c>
      <c r="AO76" s="34">
        <v>15.0</v>
      </c>
      <c r="AP76" s="34"/>
      <c r="AQ76" s="34" t="s">
        <v>254</v>
      </c>
      <c r="AR76" s="34"/>
      <c r="AS76" s="34">
        <v>465.0</v>
      </c>
      <c r="AT76" s="14" t="str">
        <f>if(AND(AR76&gt;0,AS76&gt;0),(AR76+AS76)/2,)</f>
        <v/>
      </c>
      <c r="AU76" s="85"/>
      <c r="AV76" s="38"/>
      <c r="AW76" s="17">
        <f t="shared" si="4"/>
        <v>589.08</v>
      </c>
      <c r="AX76" s="36" t="s">
        <v>651</v>
      </c>
      <c r="AY76" s="36">
        <v>25.2</v>
      </c>
      <c r="AZ76" s="36" t="s">
        <v>155</v>
      </c>
      <c r="BA76" s="36">
        <v>6.5</v>
      </c>
      <c r="BB76" s="36"/>
      <c r="BC76" s="36"/>
      <c r="BD76" s="34"/>
      <c r="BE76" s="34"/>
      <c r="BF76" s="34"/>
      <c r="BG76" s="34"/>
      <c r="BH76" s="18">
        <f t="shared" si="25"/>
        <v>31.7</v>
      </c>
      <c r="BI76" s="19">
        <f>ifs(BH76=0,"na",BH76="NR","NR",BH76="?","?",BK76&gt;0,"?",iserror(Calcs!AB76),"?",1,Calcs!AB76)</f>
        <v>0.5655454716</v>
      </c>
      <c r="BJ76" s="34" t="s">
        <v>125</v>
      </c>
      <c r="BK76" s="34"/>
      <c r="BL76" s="18">
        <f t="shared" si="6"/>
        <v>31.7</v>
      </c>
      <c r="BM76" s="34"/>
      <c r="BN76" s="34"/>
      <c r="BO76" s="34" t="s">
        <v>668</v>
      </c>
      <c r="BP76" s="20">
        <f>ifs(isblank(AX76),0,BH76="NR","NR",BH76="?","?",1,(AY76*vlookup(AX76,Ores[],2,FALSE)+if(isblank(AZ76),0,BA76*vlookup(AZ76,Ores[],2,FALSE))+if(isblank(BB76),0,BC76*vlookup(BB76,Ores[],2,FALSE))+if(isblank(BD76),0,BE76*vlookup(BD76,Ores[],2,FALSE))+if(isblank(BF76),0,BG76*vlookup(BF76,Ores[],2,FALSE)))/BH76)</f>
        <v>5.251953801</v>
      </c>
      <c r="BQ76" s="20">
        <f>ifs(isblank(AX76),0,BH76="NR","NR",BH76="?","?",1,(AY76*vlookup(AX76,Ores[],4,FALSE)+if(isblank(AZ76),0,BA76*vlookup(AZ76,Ores[],4,FALSE))+if(isblank(BB76),0,BC76*vlookup(BB76,Ores[],4,FALSE))+if(isblank(BD76),0,BE76*vlookup(BD76,Ores[],4,FALSE))+if(isblank(BF76),0,BG76*vlookup(BF76,Ores[],4,FALSE)))/BH76)</f>
        <v>2.218479699</v>
      </c>
      <c r="BR76" s="21">
        <f>ifs(isblank(AX76),0,BH76="NR","NR",BH76="?","?",1,(AY76*vlookup(AX76,Ores[],8,FALSE)+if(isblank(AZ76),0,BA76*vlookup(AZ76,Ores[],8,FALSE))+if(isblank(BB76),0,BC76*vlookup(BB76,Ores[],8,FALSE))+if(isblank(BD76),0,BE76*vlookup(BD76,Ores[],8,FALSE))+if(isblank(BF76),0,BG76*vlookup(BF76,Ores[],8,FALSE)))/BH76)</f>
        <v>0.8242902208</v>
      </c>
      <c r="BS76" s="21">
        <f>ifs(isblank(AX76),0,BH76="NR","NR",BH76="?","?",1,(AY76*vlookup(AX76,Ores[],7,FALSE)+if(isblank(AZ76),0,BA76*vlookup(AZ76,Ores[],7,FALSE))+if(isblank(BB76),0,BC76*vlookup(BB76,Ores[],7,FALSE))+if(isblank(BD76),0,BE76*vlookup(BD76,Ores[],7,FALSE))+if(isblank(BF76),0,BG76*vlookup(BF76,Ores[],7,FALSE)))/BH76)</f>
        <v>0</v>
      </c>
      <c r="BT76" s="21">
        <f>ifs(isblank(AX76),0,BH76="NR","NR",BH76="?","?",1,(AY76*vlookup(AX76,Ores[],3,FALSE)+if(isblank(AZ76),0,BA76*vlookup(AZ76,Ores[],3,FALSE))+if(isblank(BB76),0,BC76*vlookup(BB76,Ores[],3,FALSE))+if(isblank(BD76),0,BE76*vlookup(BD76,Ores[],3,FALSE))+if(isblank(BF76),0,BG76*vlookup(BF76,Ores[],3,FALSE)))/BH76)</f>
        <v>1.384756284</v>
      </c>
      <c r="BU76" s="21">
        <f>ifs(isblank(AX76),0,BH76="NR","NR",BH76="?","?",1,(AY76*vlookup(AX76,Ores[],5,FALSE)+if(isblank(AZ76),0,BA76*vlookup(AZ76,Ores[],5,FALSE))+if(isblank(BB76),0,BC76*vlookup(BB76,Ores[],5,FALSE))+if(isblank(BD76),0,BE76*vlookup(BD76,Ores[],5,FALSE))+if(isblank(BF76),0,BG76*vlookup(BF76,Ores[],5,FALSE)))/BH76)</f>
        <v>0.08201892744</v>
      </c>
      <c r="BV76" s="22">
        <f t="shared" si="30"/>
        <v>7.589285714</v>
      </c>
      <c r="BW76" s="40">
        <v>190.0</v>
      </c>
      <c r="BX76" s="41">
        <v>56.0</v>
      </c>
      <c r="BY76" s="47"/>
      <c r="BZ76" s="56">
        <f t="shared" si="31"/>
        <v>14.26315789</v>
      </c>
      <c r="CA76" s="53">
        <f t="shared" si="32"/>
        <v>7.42872807</v>
      </c>
      <c r="CB76" s="41" t="s">
        <v>461</v>
      </c>
      <c r="CC76" s="41" t="s">
        <v>489</v>
      </c>
      <c r="CD76" s="28">
        <f t="shared" si="33"/>
        <v>7.42872807</v>
      </c>
      <c r="CE76" s="43">
        <f t="shared" si="34"/>
        <v>271</v>
      </c>
      <c r="CF76" s="41"/>
      <c r="CG76" s="43"/>
      <c r="CH76" s="43">
        <v>110.0</v>
      </c>
      <c r="CI76" s="43">
        <v>381.0</v>
      </c>
      <c r="CJ76" s="43">
        <v>425.0</v>
      </c>
      <c r="CK76" s="43">
        <v>19.0</v>
      </c>
      <c r="CL76" s="43">
        <v>11.52</v>
      </c>
      <c r="CM76" s="43">
        <v>6.0</v>
      </c>
      <c r="CN76" s="43">
        <v>36.48</v>
      </c>
      <c r="CO76" s="43">
        <v>19.0</v>
      </c>
      <c r="CP76" s="43">
        <v>1.98</v>
      </c>
      <c r="CQ76" s="43">
        <v>1.0</v>
      </c>
      <c r="CR76" s="41" t="s">
        <v>257</v>
      </c>
      <c r="CS76" s="53">
        <v>7.8</v>
      </c>
      <c r="CT76" s="43" t="s">
        <v>431</v>
      </c>
      <c r="CU76" s="86" t="s">
        <v>721</v>
      </c>
      <c r="CV76" s="29"/>
      <c r="CW76" s="30">
        <f t="shared" si="12"/>
        <v>0.2460567823</v>
      </c>
      <c r="CX76" s="31">
        <f t="shared" si="19"/>
        <v>0.435078689</v>
      </c>
      <c r="CY76" s="41"/>
      <c r="CZ76" s="41"/>
      <c r="DA76" s="41"/>
      <c r="DB76" s="41" t="s">
        <v>258</v>
      </c>
      <c r="DC76" s="41"/>
      <c r="DD76" s="41"/>
      <c r="DE76" s="41"/>
      <c r="DF76" s="41"/>
      <c r="DG76" s="41"/>
      <c r="DH76" s="41"/>
      <c r="DI76" s="41"/>
      <c r="DJ76" s="41"/>
      <c r="DK76" s="41"/>
      <c r="DL76" s="41"/>
      <c r="DM76" s="45"/>
    </row>
    <row r="77" ht="21.75" customHeight="1">
      <c r="A77" s="33">
        <v>73.0</v>
      </c>
      <c r="B77" s="34" t="s">
        <v>330</v>
      </c>
      <c r="C77" s="34" t="s">
        <v>662</v>
      </c>
      <c r="D77" s="34" t="s">
        <v>722</v>
      </c>
      <c r="E77" s="35">
        <v>42907.0</v>
      </c>
      <c r="F77" s="34" t="s">
        <v>109</v>
      </c>
      <c r="G77" s="36" t="s">
        <v>110</v>
      </c>
      <c r="H77" s="36" t="s">
        <v>249</v>
      </c>
      <c r="I77" s="36" t="s">
        <v>606</v>
      </c>
      <c r="J77" s="36" t="s">
        <v>437</v>
      </c>
      <c r="K77" s="34"/>
      <c r="L77" s="34"/>
      <c r="M77" s="36" t="s">
        <v>150</v>
      </c>
      <c r="N77" s="36" t="s">
        <v>168</v>
      </c>
      <c r="O77" s="34">
        <f t="shared" si="23"/>
        <v>77</v>
      </c>
      <c r="P77" s="34">
        <f t="shared" si="21"/>
        <v>77</v>
      </c>
      <c r="Q77" s="36">
        <v>77.0</v>
      </c>
      <c r="R77" s="34"/>
      <c r="S77" s="34">
        <v>61.0</v>
      </c>
      <c r="T77" s="34" t="s">
        <v>723</v>
      </c>
      <c r="U77" s="34">
        <v>25.0</v>
      </c>
      <c r="V77" s="34"/>
      <c r="W77" s="34"/>
      <c r="X77" s="34"/>
      <c r="Y77" s="34"/>
      <c r="Z77" s="34"/>
      <c r="AA77" s="37">
        <f>Calcs!O77</f>
        <v>490.9</v>
      </c>
      <c r="AB77" s="34" t="s">
        <v>609</v>
      </c>
      <c r="AC77" s="34" t="s">
        <v>724</v>
      </c>
      <c r="AD77" s="34" t="s">
        <v>253</v>
      </c>
      <c r="AE77" s="36">
        <v>2.5</v>
      </c>
      <c r="AF77" s="36" t="s">
        <v>123</v>
      </c>
      <c r="AG77" s="36">
        <v>23.0</v>
      </c>
      <c r="AH77" s="36" t="s">
        <v>170</v>
      </c>
      <c r="AI77" s="34"/>
      <c r="AJ77" s="34">
        <v>5.0</v>
      </c>
      <c r="AK77" s="34"/>
      <c r="AL77" s="34" t="s">
        <v>184</v>
      </c>
      <c r="AM77" s="34"/>
      <c r="AN77" s="36">
        <v>12.0</v>
      </c>
      <c r="AO77" s="34">
        <v>16.0</v>
      </c>
      <c r="AP77" s="34"/>
      <c r="AQ77" s="34" t="s">
        <v>478</v>
      </c>
      <c r="AR77" s="34"/>
      <c r="AS77" s="34"/>
      <c r="AT77" s="36">
        <v>480.0</v>
      </c>
      <c r="AU77" s="12"/>
      <c r="AV77" s="38"/>
      <c r="AW77" s="17">
        <f t="shared" si="4"/>
        <v>589.08</v>
      </c>
      <c r="AX77" s="36" t="s">
        <v>651</v>
      </c>
      <c r="AY77" s="36">
        <v>26.9</v>
      </c>
      <c r="AZ77" s="36"/>
      <c r="BA77" s="36"/>
      <c r="BB77" s="36"/>
      <c r="BC77" s="36"/>
      <c r="BD77" s="34"/>
      <c r="BE77" s="34"/>
      <c r="BF77" s="34"/>
      <c r="BG77" s="34"/>
      <c r="BH77" s="18">
        <f t="shared" si="25"/>
        <v>26.9</v>
      </c>
      <c r="BI77" s="19">
        <f>ifs(BH77=0,"na",BH77="NR","NR",BH77="?","?",BK77&gt;0,"?",iserror(Calcs!AB77),"?",1,Calcs!AB77)</f>
        <v>0.561817121</v>
      </c>
      <c r="BJ77" s="34" t="s">
        <v>282</v>
      </c>
      <c r="BK77" s="34"/>
      <c r="BL77" s="18">
        <f t="shared" si="6"/>
        <v>26.9</v>
      </c>
      <c r="BM77" s="34">
        <v>3.0</v>
      </c>
      <c r="BN77" s="34"/>
      <c r="BO77" s="34" t="s">
        <v>382</v>
      </c>
      <c r="BP77" s="20">
        <f>ifs(isblank(AX77),0,BH77="NR","NR",BH77="?","?",1,(AY77*vlookup(AX77,Ores[],2,FALSE)+if(isblank(AZ77),0,BA77*vlookup(AZ77,Ores[],2,FALSE))+if(isblank(BB77),0,BC77*vlookup(BB77,Ores[],2,FALSE))+if(isblank(BD77),0,BE77*vlookup(BD77,Ores[],2,FALSE))+if(isblank(BF77),0,BG77*vlookup(BF77,Ores[],2,FALSE)))/BH77)</f>
        <v>4.35483871</v>
      </c>
      <c r="BQ77" s="20">
        <f>ifs(isblank(AX77),0,BH77="NR","NR",BH77="?","?",1,(AY77*vlookup(AX77,Ores[],4,FALSE)+if(isblank(AZ77),0,BA77*vlookup(AZ77,Ores[],4,FALSE))+if(isblank(BB77),0,BC77*vlookup(BB77,Ores[],4,FALSE))+if(isblank(BD77),0,BE77*vlookup(BD77,Ores[],4,FALSE))+if(isblank(BF77),0,BG77*vlookup(BF77,Ores[],4,FALSE)))/BH77)</f>
        <v>2.264516129</v>
      </c>
      <c r="BR77" s="21">
        <f>ifs(isblank(AX77),0,BH77="NR","NR",BH77="?","?",1,(AY77*vlookup(AX77,Ores[],8,FALSE)+if(isblank(AZ77),0,BA77*vlookup(AZ77,Ores[],8,FALSE))+if(isblank(BB77),0,BC77*vlookup(BB77,Ores[],8,FALSE))+if(isblank(BD77),0,BE77*vlookup(BD77,Ores[],8,FALSE))+if(isblank(BF77),0,BG77*vlookup(BF77,Ores[],8,FALSE)))/BH77)</f>
        <v>0</v>
      </c>
      <c r="BS77" s="21">
        <f>ifs(isblank(AX77),0,BH77="NR","NR",BH77="?","?",1,(AY77*vlookup(AX77,Ores[],7,FALSE)+if(isblank(AZ77),0,BA77*vlookup(AZ77,Ores[],7,FALSE))+if(isblank(BB77),0,BC77*vlookup(BB77,Ores[],7,FALSE))+if(isblank(BD77),0,BE77*vlookup(BD77,Ores[],7,FALSE))+if(isblank(BF77),0,BG77*vlookup(BF77,Ores[],7,FALSE)))/BH77)</f>
        <v>0</v>
      </c>
      <c r="BT77" s="21">
        <f>ifs(isblank(AX77),0,BH77="NR","NR",BH77="?","?",1,(AY77*vlookup(AX77,Ores[],3,FALSE)+if(isblank(AZ77),0,BA77*vlookup(AZ77,Ores[],3,FALSE))+if(isblank(BB77),0,BC77*vlookup(BB77,Ores[],3,FALSE))+if(isblank(BD77),0,BE77*vlookup(BD77,Ores[],3,FALSE))+if(isblank(BF77),0,BG77*vlookup(BF77,Ores[],3,FALSE)))/BH77)</f>
        <v>1.741935484</v>
      </c>
      <c r="BU77" s="21">
        <f>ifs(isblank(AX77),0,BH77="NR","NR",BH77="?","?",1,(AY77*vlookup(AX77,Ores[],5,FALSE)+if(isblank(AZ77),0,BA77*vlookup(AZ77,Ores[],5,FALSE))+if(isblank(BB77),0,BC77*vlookup(BB77,Ores[],5,FALSE))+if(isblank(BD77),0,BE77*vlookup(BD77,Ores[],5,FALSE))+if(isblank(BF77),0,BG77*vlookup(BF77,Ores[],5,FALSE)))/BH77)</f>
        <v>0</v>
      </c>
      <c r="BV77" s="22" t="str">
        <f t="shared" si="30"/>
        <v>NR</v>
      </c>
      <c r="BW77" s="40">
        <v>125.0</v>
      </c>
      <c r="BX77" s="41">
        <v>61.0</v>
      </c>
      <c r="BY77" s="47"/>
      <c r="BZ77" s="56">
        <f t="shared" si="31"/>
        <v>26.66666667</v>
      </c>
      <c r="CA77" s="53">
        <f t="shared" si="32"/>
        <v>12.2324159</v>
      </c>
      <c r="CB77" s="41" t="s">
        <v>461</v>
      </c>
      <c r="CC77" s="41" t="s">
        <v>489</v>
      </c>
      <c r="CD77" s="28">
        <f t="shared" si="33"/>
        <v>12.2324159</v>
      </c>
      <c r="CE77" s="43">
        <f t="shared" si="34"/>
        <v>400</v>
      </c>
      <c r="CF77" s="41"/>
      <c r="CG77" s="43">
        <v>83.0</v>
      </c>
      <c r="CH77" s="43">
        <v>159.0</v>
      </c>
      <c r="CI77" s="43">
        <v>559.0</v>
      </c>
      <c r="CJ77" s="43" t="s">
        <v>116</v>
      </c>
      <c r="CK77" s="43">
        <v>15.0</v>
      </c>
      <c r="CL77" s="43">
        <v>18.6</v>
      </c>
      <c r="CM77" s="43">
        <v>9.0</v>
      </c>
      <c r="CN77" s="43">
        <v>32.7</v>
      </c>
      <c r="CO77" s="43">
        <v>15.0</v>
      </c>
      <c r="CP77" s="43" t="s">
        <v>116</v>
      </c>
      <c r="CQ77" s="43" t="s">
        <v>116</v>
      </c>
      <c r="CR77" s="41" t="s">
        <v>257</v>
      </c>
      <c r="CS77" s="53">
        <v>4.9</v>
      </c>
      <c r="CT77" s="43" t="s">
        <v>431</v>
      </c>
      <c r="CU77" s="27" t="s">
        <v>725</v>
      </c>
      <c r="CV77" s="29"/>
      <c r="CW77" s="30">
        <f t="shared" si="12"/>
        <v>0.1821561338</v>
      </c>
      <c r="CX77" s="31">
        <f t="shared" si="19"/>
        <v>0.3242267403</v>
      </c>
      <c r="CY77" s="41"/>
      <c r="CZ77" s="41"/>
      <c r="DA77" s="41" t="s">
        <v>111</v>
      </c>
      <c r="DB77" s="41" t="s">
        <v>258</v>
      </c>
      <c r="DC77" s="41" t="s">
        <v>726</v>
      </c>
      <c r="DD77" s="41"/>
      <c r="DE77" s="41"/>
      <c r="DF77" s="41"/>
      <c r="DG77" s="41"/>
      <c r="DH77" s="41"/>
      <c r="DI77" s="41"/>
      <c r="DJ77" s="41"/>
      <c r="DK77" s="41"/>
      <c r="DL77" s="41"/>
      <c r="DM77" s="45"/>
    </row>
    <row r="78" ht="21.75" customHeight="1">
      <c r="A78" s="33">
        <v>74.0</v>
      </c>
      <c r="B78" s="34" t="s">
        <v>727</v>
      </c>
      <c r="C78" s="34" t="s">
        <v>495</v>
      </c>
      <c r="D78" s="34" t="s">
        <v>108</v>
      </c>
      <c r="E78" s="35">
        <v>42932.0</v>
      </c>
      <c r="F78" s="34" t="s">
        <v>458</v>
      </c>
      <c r="G78" s="36" t="s">
        <v>123</v>
      </c>
      <c r="H78" s="36" t="s">
        <v>111</v>
      </c>
      <c r="I78" s="34" t="s">
        <v>181</v>
      </c>
      <c r="J78" s="36" t="s">
        <v>728</v>
      </c>
      <c r="K78" s="34"/>
      <c r="L78" s="34"/>
      <c r="M78" s="36" t="s">
        <v>150</v>
      </c>
      <c r="N78" s="36" t="s">
        <v>168</v>
      </c>
      <c r="O78" s="34">
        <f t="shared" si="23"/>
        <v>64.5</v>
      </c>
      <c r="P78" s="34">
        <f t="shared" si="21"/>
        <v>64.5</v>
      </c>
      <c r="Q78" s="36">
        <v>64.5</v>
      </c>
      <c r="R78" s="34"/>
      <c r="S78" s="34">
        <v>42.5</v>
      </c>
      <c r="T78" s="34" t="s">
        <v>116</v>
      </c>
      <c r="U78" s="34">
        <v>23.5</v>
      </c>
      <c r="V78" s="34"/>
      <c r="W78" s="34"/>
      <c r="X78" s="34"/>
      <c r="Y78" s="34"/>
      <c r="Z78" s="34"/>
      <c r="AA78" s="37">
        <f>Calcs!O78</f>
        <v>433.7</v>
      </c>
      <c r="AB78" s="34" t="s">
        <v>116</v>
      </c>
      <c r="AC78" s="34" t="s">
        <v>729</v>
      </c>
      <c r="AD78" s="34" t="s">
        <v>262</v>
      </c>
      <c r="AE78" s="34">
        <v>2.5</v>
      </c>
      <c r="AF78" s="36"/>
      <c r="AG78" s="36">
        <v>23.0</v>
      </c>
      <c r="AH78" s="36" t="s">
        <v>170</v>
      </c>
      <c r="AI78" s="34"/>
      <c r="AJ78" s="34">
        <v>5.0</v>
      </c>
      <c r="AK78" s="34"/>
      <c r="AL78" s="36" t="s">
        <v>567</v>
      </c>
      <c r="AM78" s="36"/>
      <c r="AN78" s="36" t="s">
        <v>116</v>
      </c>
      <c r="AO78" s="34">
        <v>19.0</v>
      </c>
      <c r="AP78" s="34"/>
      <c r="AQ78" s="34" t="s">
        <v>478</v>
      </c>
      <c r="AR78" s="34"/>
      <c r="AS78" s="34">
        <v>500.0</v>
      </c>
      <c r="AT78" s="14" t="str">
        <f t="shared" ref="AT78:AT98" si="35">if(AND(AR78&gt;0,AS78&gt;0),(AR78+AS78)/2,)</f>
        <v/>
      </c>
      <c r="AU78" s="12"/>
      <c r="AV78" s="74" t="s">
        <v>730</v>
      </c>
      <c r="AW78" s="17">
        <f t="shared" si="4"/>
        <v>520.44</v>
      </c>
      <c r="AX78" s="36" t="s">
        <v>544</v>
      </c>
      <c r="AY78" s="36">
        <v>27.5</v>
      </c>
      <c r="AZ78" s="34"/>
      <c r="BA78" s="34"/>
      <c r="BB78" s="34"/>
      <c r="BC78" s="34"/>
      <c r="BD78" s="34"/>
      <c r="BE78" s="34"/>
      <c r="BF78" s="34"/>
      <c r="BG78" s="34"/>
      <c r="BH78" s="18">
        <f t="shared" si="25"/>
        <v>27.5</v>
      </c>
      <c r="BI78" s="19">
        <f>ifs(BH78=0,"na",BH78="NR","NR",BH78="?","?",BK78&gt;0,"?",iserror(Calcs!AB78),"?",1,Calcs!AB78)</f>
        <v>0.5482634678</v>
      </c>
      <c r="BJ78" s="34" t="s">
        <v>282</v>
      </c>
      <c r="BK78" s="34"/>
      <c r="BL78" s="18">
        <f t="shared" si="6"/>
        <v>27.5</v>
      </c>
      <c r="BM78" s="34"/>
      <c r="BN78" s="34"/>
      <c r="BO78" s="34" t="s">
        <v>382</v>
      </c>
      <c r="BP78" s="20">
        <f>ifs(isblank(AX78),0,BH78="NR","NR",BH78="?","?",1,(AY78*vlookup(AX78,Ores[],2,FALSE)+if(isblank(AZ78),0,BA78*vlookup(AZ78,Ores[],2,FALSE))+if(isblank(BB78),0,BC78*vlookup(BB78,Ores[],2,FALSE))+if(isblank(BD78),0,BE78*vlookup(BD78,Ores[],2,FALSE))+if(isblank(BF78),0,BG78*vlookup(BF78,Ores[],2,FALSE)))/BH78)</f>
        <v>4.838709677</v>
      </c>
      <c r="BQ78" s="20">
        <f>ifs(isblank(AX78),0,BH78="NR","NR",BH78="?","?",1,(AY78*vlookup(AX78,Ores[],4,FALSE)+if(isblank(AZ78),0,BA78*vlookup(AZ78,Ores[],4,FALSE))+if(isblank(BB78),0,BC78*vlookup(BB78,Ores[],4,FALSE))+if(isblank(BD78),0,BE78*vlookup(BD78,Ores[],4,FALSE))+if(isblank(BF78),0,BG78*vlookup(BF78,Ores[],4,FALSE)))/BH78)</f>
        <v>2.516129032</v>
      </c>
      <c r="BR78" s="21">
        <f>ifs(isblank(AX78),0,BH78="NR","NR",BH78="?","?",1,(AY78*vlookup(AX78,Ores[],8,FALSE)+if(isblank(AZ78),0,BA78*vlookup(AZ78,Ores[],8,FALSE))+if(isblank(BB78),0,BC78*vlookup(BB78,Ores[],8,FALSE))+if(isblank(BD78),0,BE78*vlookup(BD78,Ores[],8,FALSE))+if(isblank(BF78),0,BG78*vlookup(BF78,Ores[],8,FALSE)))/BH78)</f>
        <v>0</v>
      </c>
      <c r="BS78" s="21">
        <f>ifs(isblank(AX78),0,BH78="NR","NR",BH78="?","?",1,(AY78*vlookup(AX78,Ores[],7,FALSE)+if(isblank(AZ78),0,BA78*vlookup(AZ78,Ores[],7,FALSE))+if(isblank(BB78),0,BC78*vlookup(BB78,Ores[],7,FALSE))+if(isblank(BD78),0,BE78*vlookup(BD78,Ores[],7,FALSE))+if(isblank(BF78),0,BG78*vlookup(BF78,Ores[],7,FALSE)))/BH78)</f>
        <v>0</v>
      </c>
      <c r="BT78" s="21">
        <f>ifs(isblank(AX78),0,BH78="NR","NR",BH78="?","?",1,(AY78*vlookup(AX78,Ores[],3,FALSE)+if(isblank(AZ78),0,BA78*vlookup(AZ78,Ores[],3,FALSE))+if(isblank(BB78),0,BC78*vlookup(BB78,Ores[],3,FALSE))+if(isblank(BD78),0,BE78*vlookup(BD78,Ores[],3,FALSE))+if(isblank(BF78),0,BG78*vlookup(BF78,Ores[],3,FALSE)))/BH78)</f>
        <v>1.935483871</v>
      </c>
      <c r="BU78" s="21">
        <f>ifs(isblank(AX78),0,BH78="NR","NR",BH78="?","?",1,(AY78*vlookup(AX78,Ores[],5,FALSE)+if(isblank(AZ78),0,BA78*vlookup(AZ78,Ores[],5,FALSE))+if(isblank(BB78),0,BC78*vlookup(BB78,Ores[],5,FALSE))+if(isblank(BD78),0,BE78*vlookup(BD78,Ores[],5,FALSE))+if(isblank(BF78),0,BG78*vlookup(BF78,Ores[],5,FALSE)))/BH78)</f>
        <v>0</v>
      </c>
      <c r="BV78" s="22">
        <f t="shared" si="30"/>
        <v>8.862068966</v>
      </c>
      <c r="BW78" s="40">
        <v>191.0</v>
      </c>
      <c r="BX78" s="41">
        <v>58.0</v>
      </c>
      <c r="BY78" s="47"/>
      <c r="BZ78" s="56">
        <f t="shared" si="31"/>
        <v>17</v>
      </c>
      <c r="CA78" s="53">
        <f t="shared" si="32"/>
        <v>8.5</v>
      </c>
      <c r="CB78" s="43" t="s">
        <v>461</v>
      </c>
      <c r="CC78" s="43" t="s">
        <v>489</v>
      </c>
      <c r="CD78" s="28">
        <f t="shared" si="33"/>
        <v>8.5</v>
      </c>
      <c r="CE78" s="43">
        <f t="shared" si="34"/>
        <v>323</v>
      </c>
      <c r="CF78" s="41"/>
      <c r="CG78" s="43"/>
      <c r="CH78" s="43">
        <v>78.0</v>
      </c>
      <c r="CI78" s="43">
        <v>401.0</v>
      </c>
      <c r="CJ78" s="43">
        <v>514.0</v>
      </c>
      <c r="CK78" s="43">
        <v>19.0</v>
      </c>
      <c r="CL78" s="43">
        <v>8.0</v>
      </c>
      <c r="CM78" s="43">
        <v>4.0</v>
      </c>
      <c r="CN78" s="43">
        <v>38.0</v>
      </c>
      <c r="CO78" s="43">
        <v>19.0</v>
      </c>
      <c r="CP78" s="43">
        <v>6.0</v>
      </c>
      <c r="CQ78" s="43">
        <v>3.0</v>
      </c>
      <c r="CR78" s="41" t="s">
        <v>157</v>
      </c>
      <c r="CS78" s="53">
        <v>5.5</v>
      </c>
      <c r="CT78" s="43" t="s">
        <v>216</v>
      </c>
      <c r="CU78" s="30"/>
      <c r="CV78" s="29"/>
      <c r="CW78" s="30">
        <f t="shared" si="12"/>
        <v>0.2</v>
      </c>
      <c r="CX78" s="31">
        <f t="shared" si="19"/>
        <v>0.3647881206</v>
      </c>
      <c r="CY78" s="41"/>
      <c r="CZ78" s="41"/>
      <c r="DA78" s="41" t="s">
        <v>111</v>
      </c>
      <c r="DB78" s="41" t="s">
        <v>500</v>
      </c>
      <c r="DC78" s="41" t="s">
        <v>731</v>
      </c>
      <c r="DD78" s="41"/>
      <c r="DE78" s="41"/>
      <c r="DF78" s="41"/>
      <c r="DG78" s="41"/>
      <c r="DH78" s="41"/>
      <c r="DI78" s="41"/>
      <c r="DJ78" s="41"/>
      <c r="DK78" s="41"/>
      <c r="DL78" s="41"/>
      <c r="DM78" s="45"/>
    </row>
    <row r="79" ht="21.75" customHeight="1">
      <c r="A79" s="33">
        <v>75.0</v>
      </c>
      <c r="B79" s="34" t="s">
        <v>693</v>
      </c>
      <c r="C79" s="34" t="s">
        <v>694</v>
      </c>
      <c r="D79" s="34" t="s">
        <v>695</v>
      </c>
      <c r="E79" s="35">
        <v>42953.0</v>
      </c>
      <c r="F79" s="34" t="s">
        <v>540</v>
      </c>
      <c r="G79" s="36" t="s">
        <v>123</v>
      </c>
      <c r="H79" s="34"/>
      <c r="I79" s="34" t="s">
        <v>541</v>
      </c>
      <c r="J79" s="36" t="s">
        <v>590</v>
      </c>
      <c r="K79" s="34"/>
      <c r="L79" s="34"/>
      <c r="M79" s="36" t="s">
        <v>150</v>
      </c>
      <c r="N79" s="36" t="s">
        <v>151</v>
      </c>
      <c r="O79" s="34">
        <f t="shared" si="23"/>
        <v>62</v>
      </c>
      <c r="P79" s="34">
        <f t="shared" si="21"/>
        <v>62</v>
      </c>
      <c r="Q79" s="36">
        <v>62.0</v>
      </c>
      <c r="R79" s="34"/>
      <c r="S79" s="34">
        <v>46.0</v>
      </c>
      <c r="T79" s="34" t="s">
        <v>732</v>
      </c>
      <c r="U79" s="36">
        <v>30.0</v>
      </c>
      <c r="V79" s="36">
        <v>22.0</v>
      </c>
      <c r="W79" s="34"/>
      <c r="X79" s="34">
        <v>25.0</v>
      </c>
      <c r="Y79" s="34"/>
      <c r="Z79" s="36" t="s">
        <v>123</v>
      </c>
      <c r="AA79" s="37">
        <f>Calcs!O79</f>
        <v>490.9</v>
      </c>
      <c r="AB79" s="34" t="s">
        <v>714</v>
      </c>
      <c r="AC79" s="34" t="s">
        <v>733</v>
      </c>
      <c r="AD79" s="36" t="s">
        <v>262</v>
      </c>
      <c r="AE79" s="36">
        <v>2.5</v>
      </c>
      <c r="AF79" s="36" t="s">
        <v>123</v>
      </c>
      <c r="AG79" s="36">
        <v>23.0</v>
      </c>
      <c r="AH79" s="36" t="s">
        <v>170</v>
      </c>
      <c r="AI79" s="34"/>
      <c r="AJ79" s="34">
        <v>4.0</v>
      </c>
      <c r="AK79" s="34"/>
      <c r="AL79" s="34" t="s">
        <v>734</v>
      </c>
      <c r="AM79" s="36" t="s">
        <v>543</v>
      </c>
      <c r="AN79" s="36">
        <v>6.0</v>
      </c>
      <c r="AO79" s="34">
        <v>16.0</v>
      </c>
      <c r="AP79" s="34"/>
      <c r="AQ79" s="34" t="s">
        <v>697</v>
      </c>
      <c r="AR79" s="34"/>
      <c r="AS79" s="34" t="s">
        <v>116</v>
      </c>
      <c r="AT79" s="14" t="str">
        <f t="shared" si="35"/>
        <v/>
      </c>
      <c r="AU79" s="12"/>
      <c r="AV79" s="38"/>
      <c r="AW79" s="17">
        <f t="shared" si="4"/>
        <v>589.08</v>
      </c>
      <c r="AX79" s="36" t="s">
        <v>544</v>
      </c>
      <c r="AY79" s="36">
        <v>20.0</v>
      </c>
      <c r="AZ79" s="34"/>
      <c r="BA79" s="34"/>
      <c r="BB79" s="34"/>
      <c r="BC79" s="34"/>
      <c r="BD79" s="34"/>
      <c r="BE79" s="34"/>
      <c r="BF79" s="34"/>
      <c r="BG79" s="34"/>
      <c r="BH79" s="18">
        <f t="shared" si="25"/>
        <v>20</v>
      </c>
      <c r="BI79" s="19">
        <f>ifs(BH79=0,"na",BH79="NR","NR",BH79="?","?",BK79&gt;0,"?",iserror(Calcs!AB79),"?",1,Calcs!AB79)</f>
        <v>0.5482634678</v>
      </c>
      <c r="BJ79" s="34" t="s">
        <v>282</v>
      </c>
      <c r="BK79" s="34"/>
      <c r="BL79" s="18">
        <f t="shared" si="6"/>
        <v>20</v>
      </c>
      <c r="BM79" s="36"/>
      <c r="BN79" s="34"/>
      <c r="BO79" s="34" t="s">
        <v>382</v>
      </c>
      <c r="BP79" s="20">
        <f>ifs(isblank(AX79),0,BH79="NR","NR",BH79="?","?",1,(AY79*vlookup(AX79,Ores[],2,FALSE)+if(isblank(AZ79),0,BA79*vlookup(AZ79,Ores[],2,FALSE))+if(isblank(BB79),0,BC79*vlookup(BB79,Ores[],2,FALSE))+if(isblank(BD79),0,BE79*vlookup(BD79,Ores[],2,FALSE))+if(isblank(BF79),0,BG79*vlookup(BF79,Ores[],2,FALSE)))/BH79)</f>
        <v>4.838709677</v>
      </c>
      <c r="BQ79" s="20">
        <f>ifs(isblank(AX79),0,BH79="NR","NR",BH79="?","?",1,(AY79*vlookup(AX79,Ores[],4,FALSE)+if(isblank(AZ79),0,BA79*vlookup(AZ79,Ores[],4,FALSE))+if(isblank(BB79),0,BC79*vlookup(BB79,Ores[],4,FALSE))+if(isblank(BD79),0,BE79*vlookup(BD79,Ores[],4,FALSE))+if(isblank(BF79),0,BG79*vlookup(BF79,Ores[],4,FALSE)))/BH79)</f>
        <v>2.516129032</v>
      </c>
      <c r="BR79" s="21">
        <f>ifs(isblank(AX79),0,BH79="NR","NR",BH79="?","?",1,(AY79*vlookup(AX79,Ores[],8,FALSE)+if(isblank(AZ79),0,BA79*vlookup(AZ79,Ores[],8,FALSE))+if(isblank(BB79),0,BC79*vlookup(BB79,Ores[],8,FALSE))+if(isblank(BD79),0,BE79*vlookup(BD79,Ores[],8,FALSE))+if(isblank(BF79),0,BG79*vlookup(BF79,Ores[],8,FALSE)))/BH79)</f>
        <v>0</v>
      </c>
      <c r="BS79" s="21">
        <f>ifs(isblank(AX79),0,BH79="NR","NR",BH79="?","?",1,(AY79*vlookup(AX79,Ores[],7,FALSE)+if(isblank(AZ79),0,BA79*vlookup(AZ79,Ores[],7,FALSE))+if(isblank(BB79),0,BC79*vlookup(BB79,Ores[],7,FALSE))+if(isblank(BD79),0,BE79*vlookup(BD79,Ores[],7,FALSE))+if(isblank(BF79),0,BG79*vlookup(BF79,Ores[],7,FALSE)))/BH79)</f>
        <v>0</v>
      </c>
      <c r="BT79" s="21">
        <f>ifs(isblank(AX79),0,BH79="NR","NR",BH79="?","?",1,(AY79*vlookup(AX79,Ores[],3,FALSE)+if(isblank(AZ79),0,BA79*vlookup(AZ79,Ores[],3,FALSE))+if(isblank(BB79),0,BC79*vlookup(BB79,Ores[],3,FALSE))+if(isblank(BD79),0,BE79*vlookup(BD79,Ores[],3,FALSE))+if(isblank(BF79),0,BG79*vlookup(BF79,Ores[],3,FALSE)))/BH79)</f>
        <v>1.935483871</v>
      </c>
      <c r="BU79" s="21">
        <f>ifs(isblank(AX79),0,BH79="NR","NR",BH79="?","?",1,(AY79*vlookup(AX79,Ores[],5,FALSE)+if(isblank(AZ79),0,BA79*vlookup(AZ79,Ores[],5,FALSE))+if(isblank(BB79),0,BC79*vlookup(BB79,Ores[],5,FALSE))+if(isblank(BD79),0,BE79*vlookup(BD79,Ores[],5,FALSE))+if(isblank(BF79),0,BG79*vlookup(BF79,Ores[],5,FALSE)))/BH79)</f>
        <v>0</v>
      </c>
      <c r="BV79" s="22" t="str">
        <f t="shared" si="30"/>
        <v>NR</v>
      </c>
      <c r="BW79" s="40">
        <v>120.0</v>
      </c>
      <c r="BX79" s="41">
        <v>45.5</v>
      </c>
      <c r="BY79" s="47"/>
      <c r="BZ79" s="56">
        <f t="shared" si="31"/>
        <v>8.571428571</v>
      </c>
      <c r="CA79" s="53">
        <f t="shared" si="32"/>
        <v>5.263157895</v>
      </c>
      <c r="CB79" s="41" t="s">
        <v>185</v>
      </c>
      <c r="CC79" s="41" t="s">
        <v>626</v>
      </c>
      <c r="CD79" s="28">
        <f t="shared" si="33"/>
        <v>5.263157895</v>
      </c>
      <c r="CE79" s="43">
        <f t="shared" si="34"/>
        <v>120</v>
      </c>
      <c r="CF79" s="41"/>
      <c r="CG79" s="43"/>
      <c r="CH79" s="43">
        <v>67.0</v>
      </c>
      <c r="CI79" s="43">
        <v>187.0</v>
      </c>
      <c r="CJ79" s="43" t="s">
        <v>116</v>
      </c>
      <c r="CK79" s="43">
        <v>14.0</v>
      </c>
      <c r="CL79" s="43">
        <v>14.5</v>
      </c>
      <c r="CM79" s="43">
        <v>9.0</v>
      </c>
      <c r="CN79" s="43">
        <v>22.8</v>
      </c>
      <c r="CO79" s="43">
        <v>14.0</v>
      </c>
      <c r="CP79" s="43">
        <v>1.7</v>
      </c>
      <c r="CQ79" s="43">
        <v>1.0</v>
      </c>
      <c r="CR79" s="41" t="s">
        <v>157</v>
      </c>
      <c r="CS79" s="53">
        <v>2.9</v>
      </c>
      <c r="CT79" s="41" t="s">
        <v>414</v>
      </c>
      <c r="CU79" s="30"/>
      <c r="CV79" s="29"/>
      <c r="CW79" s="30">
        <f t="shared" si="12"/>
        <v>0.145</v>
      </c>
      <c r="CX79" s="31">
        <f t="shared" si="19"/>
        <v>0.2644713874</v>
      </c>
      <c r="CY79" s="41"/>
      <c r="CZ79" s="41"/>
      <c r="DA79" s="41" t="s">
        <v>698</v>
      </c>
      <c r="DB79" s="41" t="s">
        <v>500</v>
      </c>
      <c r="DC79" s="41" t="s">
        <v>735</v>
      </c>
      <c r="DD79" s="41"/>
      <c r="DE79" s="41"/>
      <c r="DF79" s="41"/>
      <c r="DG79" s="41"/>
      <c r="DH79" s="41"/>
      <c r="DI79" s="41"/>
      <c r="DJ79" s="41"/>
      <c r="DK79" s="41"/>
      <c r="DL79" s="41"/>
      <c r="DM79" s="45"/>
    </row>
    <row r="80" ht="21.75" customHeight="1">
      <c r="A80" s="33">
        <v>76.0</v>
      </c>
      <c r="B80" s="34" t="s">
        <v>736</v>
      </c>
      <c r="C80" s="34" t="s">
        <v>603</v>
      </c>
      <c r="D80" s="34" t="s">
        <v>138</v>
      </c>
      <c r="E80" s="35">
        <v>43274.0</v>
      </c>
      <c r="F80" s="34" t="s">
        <v>540</v>
      </c>
      <c r="G80" s="36" t="s">
        <v>110</v>
      </c>
      <c r="H80" s="34"/>
      <c r="I80" s="36" t="s">
        <v>737</v>
      </c>
      <c r="J80" s="36" t="s">
        <v>553</v>
      </c>
      <c r="K80" s="36">
        <v>3.0</v>
      </c>
      <c r="L80" s="36">
        <v>50.0</v>
      </c>
      <c r="M80" s="36" t="s">
        <v>150</v>
      </c>
      <c r="N80" s="36" t="s">
        <v>151</v>
      </c>
      <c r="O80" s="34">
        <f t="shared" si="23"/>
        <v>77</v>
      </c>
      <c r="P80" s="34">
        <f t="shared" si="21"/>
        <v>77</v>
      </c>
      <c r="Q80" s="36">
        <v>77.0</v>
      </c>
      <c r="R80" s="34"/>
      <c r="S80" s="36">
        <v>48.0</v>
      </c>
      <c r="T80" s="34" t="s">
        <v>554</v>
      </c>
      <c r="U80" s="36">
        <v>29.0</v>
      </c>
      <c r="V80" s="36">
        <v>25.5</v>
      </c>
      <c r="W80" s="36"/>
      <c r="X80" s="34">
        <v>28.0</v>
      </c>
      <c r="Y80" s="34"/>
      <c r="Z80" s="34"/>
      <c r="AA80" s="37">
        <f>Calcs!O80</f>
        <v>615.8</v>
      </c>
      <c r="AB80" s="34" t="s">
        <v>555</v>
      </c>
      <c r="AC80" s="34" t="s">
        <v>738</v>
      </c>
      <c r="AD80" s="34" t="s">
        <v>253</v>
      </c>
      <c r="AE80" s="36">
        <v>2.5</v>
      </c>
      <c r="AF80" s="36" t="s">
        <v>123</v>
      </c>
      <c r="AG80" s="36">
        <v>20.0</v>
      </c>
      <c r="AH80" s="36" t="s">
        <v>170</v>
      </c>
      <c r="AI80" s="34"/>
      <c r="AJ80" s="34">
        <v>5.0</v>
      </c>
      <c r="AK80" s="34"/>
      <c r="AL80" s="34" t="s">
        <v>739</v>
      </c>
      <c r="AM80" s="36" t="s">
        <v>543</v>
      </c>
      <c r="AN80" s="34">
        <f>1.5*2.5</f>
        <v>3.75</v>
      </c>
      <c r="AO80" s="34">
        <v>12.0</v>
      </c>
      <c r="AP80" s="34"/>
      <c r="AQ80" s="34" t="s">
        <v>254</v>
      </c>
      <c r="AR80" s="36">
        <v>900.0</v>
      </c>
      <c r="AS80" s="36">
        <v>1000.0</v>
      </c>
      <c r="AT80" s="14">
        <f t="shared" si="35"/>
        <v>950</v>
      </c>
      <c r="AU80" s="12"/>
      <c r="AV80" s="74" t="s">
        <v>740</v>
      </c>
      <c r="AW80" s="17">
        <f t="shared" si="4"/>
        <v>738.96</v>
      </c>
      <c r="AX80" s="36" t="s">
        <v>651</v>
      </c>
      <c r="AY80" s="36">
        <v>28.2</v>
      </c>
      <c r="AZ80" s="36"/>
      <c r="BA80" s="36"/>
      <c r="BB80" s="36"/>
      <c r="BC80" s="36"/>
      <c r="BD80" s="34"/>
      <c r="BE80" s="34"/>
      <c r="BF80" s="34"/>
      <c r="BG80" s="34"/>
      <c r="BH80" s="18">
        <f t="shared" si="25"/>
        <v>28.2</v>
      </c>
      <c r="BI80" s="19" t="str">
        <f>ifs(BH80=0,"na",BH80="NR","NR",BH80="?","?",BK80&gt;0,"?",iserror(Calcs!AB80),"?",1,Calcs!AB80)</f>
        <v>?</v>
      </c>
      <c r="BJ80" s="34" t="s">
        <v>282</v>
      </c>
      <c r="BK80" s="36">
        <v>2.0</v>
      </c>
      <c r="BL80" s="18">
        <f t="shared" si="6"/>
        <v>30.2</v>
      </c>
      <c r="BM80" s="34">
        <v>2.0</v>
      </c>
      <c r="BN80" s="34"/>
      <c r="BO80" s="34" t="s">
        <v>382</v>
      </c>
      <c r="BP80" s="20">
        <f>ifs(isblank(AX80),0,BH80="NR","NR",BH80="?","?",1,(AY80*vlookup(AX80,Ores[],2,FALSE)+if(isblank(AZ80),0,BA80*vlookup(AZ80,Ores[],2,FALSE))+if(isblank(BB80),0,BC80*vlookup(BB80,Ores[],2,FALSE))+if(isblank(BD80),0,BE80*vlookup(BD80,Ores[],2,FALSE))+if(isblank(BF80),0,BG80*vlookup(BF80,Ores[],2,FALSE)))/BH80)</f>
        <v>4.35483871</v>
      </c>
      <c r="BQ80" s="20">
        <f>ifs(isblank(AX80),0,BH80="NR","NR",BH80="?","?",1,(AY80*vlookup(AX80,Ores[],4,FALSE)+if(isblank(AZ80),0,BA80*vlookup(AZ80,Ores[],4,FALSE))+if(isblank(BB80),0,BC80*vlookup(BB80,Ores[],4,FALSE))+if(isblank(BD80),0,BE80*vlookup(BD80,Ores[],4,FALSE))+if(isblank(BF80),0,BG80*vlookup(BF80,Ores[],4,FALSE)))/BH80)</f>
        <v>2.264516129</v>
      </c>
      <c r="BR80" s="21">
        <f>ifs(isblank(AX80),0,BH80="NR","NR",BH80="?","?",1,(AY80*vlookup(AX80,Ores[],8,FALSE)+if(isblank(AZ80),0,BA80*vlookup(AZ80,Ores[],8,FALSE))+if(isblank(BB80),0,BC80*vlookup(BB80,Ores[],8,FALSE))+if(isblank(BD80),0,BE80*vlookup(BD80,Ores[],8,FALSE))+if(isblank(BF80),0,BG80*vlookup(BF80,Ores[],8,FALSE)))/BH80)</f>
        <v>0</v>
      </c>
      <c r="BS80" s="21">
        <f>ifs(isblank(AX80),0,BH80="NR","NR",BH80="?","?",1,(AY80*vlookup(AX80,Ores[],7,FALSE)+if(isblank(AZ80),0,BA80*vlookup(AZ80,Ores[],7,FALSE))+if(isblank(BB80),0,BC80*vlookup(BB80,Ores[],7,FALSE))+if(isblank(BD80),0,BE80*vlookup(BD80,Ores[],7,FALSE))+if(isblank(BF80),0,BG80*vlookup(BF80,Ores[],7,FALSE)))/BH80)</f>
        <v>0</v>
      </c>
      <c r="BT80" s="21">
        <f>ifs(isblank(AX80),0,BH80="NR","NR",BH80="?","?",1,(AY80*vlookup(AX80,Ores[],3,FALSE)+if(isblank(AZ80),0,BA80*vlookup(AZ80,Ores[],3,FALSE))+if(isblank(BB80),0,BC80*vlookup(BB80,Ores[],3,FALSE))+if(isblank(BD80),0,BE80*vlookup(BD80,Ores[],3,FALSE))+if(isblank(BF80),0,BG80*vlookup(BF80,Ores[],3,FALSE)))/BH80)</f>
        <v>1.741935484</v>
      </c>
      <c r="BU80" s="21">
        <f>ifs(isblank(AX80),0,BH80="NR","NR",BH80="?","?",1,(AY80*vlookup(AX80,Ores[],5,FALSE)+if(isblank(AZ80),0,BA80*vlookup(AZ80,Ores[],5,FALSE))+if(isblank(BB80),0,BC80*vlookup(BB80,Ores[],5,FALSE))+if(isblank(BD80),0,BE80*vlookup(BD80,Ores[],5,FALSE))+if(isblank(BF80),0,BG80*vlookup(BF80,Ores[],5,FALSE)))/BH80)</f>
        <v>0</v>
      </c>
      <c r="BV80" s="22" t="str">
        <f t="shared" si="30"/>
        <v>NR</v>
      </c>
      <c r="BW80" s="40">
        <v>60.0</v>
      </c>
      <c r="BX80" s="41">
        <v>58.0</v>
      </c>
      <c r="BY80" s="47"/>
      <c r="BZ80" s="56">
        <f t="shared" si="31"/>
        <v>12.05</v>
      </c>
      <c r="CA80" s="53">
        <f t="shared" si="32"/>
        <v>7.875816993</v>
      </c>
      <c r="CB80" s="41" t="s">
        <v>461</v>
      </c>
      <c r="CC80" s="41" t="s">
        <v>489</v>
      </c>
      <c r="CD80" s="28">
        <f t="shared" si="33"/>
        <v>7.875816993</v>
      </c>
      <c r="CE80" s="43">
        <f t="shared" si="34"/>
        <v>241</v>
      </c>
      <c r="CF80" s="41"/>
      <c r="CG80" s="43">
        <v>76.0</v>
      </c>
      <c r="CH80" s="43">
        <v>104.0</v>
      </c>
      <c r="CI80" s="43">
        <v>345.0</v>
      </c>
      <c r="CJ80" s="43" t="s">
        <v>116</v>
      </c>
      <c r="CK80" s="43">
        <v>20.0</v>
      </c>
      <c r="CL80" s="43">
        <v>16.2</v>
      </c>
      <c r="CM80" s="43">
        <v>9.0</v>
      </c>
      <c r="CN80" s="43">
        <v>30.6</v>
      </c>
      <c r="CO80" s="43">
        <v>20.0</v>
      </c>
      <c r="CP80" s="43">
        <v>3.6</v>
      </c>
      <c r="CQ80" s="43">
        <v>2.0</v>
      </c>
      <c r="CR80" s="41" t="s">
        <v>129</v>
      </c>
      <c r="CS80" s="53">
        <v>6.1</v>
      </c>
      <c r="CT80" s="43" t="s">
        <v>216</v>
      </c>
      <c r="CU80" s="30"/>
      <c r="CV80" s="58">
        <v>6.17</v>
      </c>
      <c r="CW80" s="30">
        <f t="shared" si="12"/>
        <v>0.201986755</v>
      </c>
      <c r="CX80" s="31" t="str">
        <f t="shared" si="19"/>
        <v>?</v>
      </c>
      <c r="CY80" s="41"/>
      <c r="CZ80" s="41"/>
      <c r="DA80" s="41" t="s">
        <v>698</v>
      </c>
      <c r="DB80" s="41"/>
      <c r="DC80" s="41"/>
      <c r="DD80" s="41"/>
      <c r="DE80" s="41"/>
      <c r="DF80" s="41"/>
      <c r="DG80" s="41"/>
      <c r="DH80" s="41"/>
      <c r="DI80" s="41"/>
      <c r="DJ80" s="41"/>
      <c r="DK80" s="41"/>
      <c r="DL80" s="41"/>
      <c r="DM80" s="45"/>
    </row>
    <row r="81" ht="21.75" customHeight="1">
      <c r="A81" s="33">
        <v>77.0</v>
      </c>
      <c r="B81" s="34" t="s">
        <v>741</v>
      </c>
      <c r="C81" s="34" t="s">
        <v>742</v>
      </c>
      <c r="D81" s="34" t="s">
        <v>138</v>
      </c>
      <c r="E81" s="35">
        <v>43281.0</v>
      </c>
      <c r="F81" s="34" t="s">
        <v>109</v>
      </c>
      <c r="G81" s="36" t="s">
        <v>110</v>
      </c>
      <c r="H81" s="36" t="s">
        <v>249</v>
      </c>
      <c r="I81" s="36" t="s">
        <v>366</v>
      </c>
      <c r="J81" s="36" t="s">
        <v>590</v>
      </c>
      <c r="K81" s="34"/>
      <c r="L81" s="34"/>
      <c r="M81" s="36" t="s">
        <v>150</v>
      </c>
      <c r="N81" s="36" t="s">
        <v>151</v>
      </c>
      <c r="O81" s="34">
        <f t="shared" si="23"/>
        <v>67</v>
      </c>
      <c r="P81" s="34">
        <f t="shared" si="21"/>
        <v>67</v>
      </c>
      <c r="Q81" s="36">
        <v>67.0</v>
      </c>
      <c r="R81" s="34"/>
      <c r="S81" s="36">
        <v>51.0</v>
      </c>
      <c r="T81" s="34" t="s">
        <v>743</v>
      </c>
      <c r="U81" s="36">
        <v>36.0</v>
      </c>
      <c r="V81" s="36">
        <v>19.0</v>
      </c>
      <c r="W81" s="34"/>
      <c r="X81" s="34">
        <v>33.0</v>
      </c>
      <c r="Y81" s="34"/>
      <c r="Z81" s="34"/>
      <c r="AA81" s="37">
        <f>Calcs!O81</f>
        <v>855.3</v>
      </c>
      <c r="AB81" s="34" t="s">
        <v>744</v>
      </c>
      <c r="AC81" s="34" t="s">
        <v>116</v>
      </c>
      <c r="AD81" s="34" t="s">
        <v>262</v>
      </c>
      <c r="AE81" s="34">
        <v>2.5</v>
      </c>
      <c r="AF81" s="65"/>
      <c r="AG81" s="65">
        <v>22.0</v>
      </c>
      <c r="AH81" s="36" t="s">
        <v>170</v>
      </c>
      <c r="AI81" s="34"/>
      <c r="AJ81" s="34">
        <v>5.0</v>
      </c>
      <c r="AK81" s="34"/>
      <c r="AL81" s="34" t="s">
        <v>184</v>
      </c>
      <c r="AM81" s="34"/>
      <c r="AN81" s="34">
        <f>3.5*2.54</f>
        <v>8.89</v>
      </c>
      <c r="AO81" s="34">
        <v>15.0</v>
      </c>
      <c r="AP81" s="34"/>
      <c r="AQ81" s="34" t="s">
        <v>254</v>
      </c>
      <c r="AR81" s="34"/>
      <c r="AS81" s="34">
        <v>900.0</v>
      </c>
      <c r="AT81" s="14" t="str">
        <f t="shared" si="35"/>
        <v/>
      </c>
      <c r="AU81" s="12"/>
      <c r="AV81" s="74">
        <v>756.0</v>
      </c>
      <c r="AW81" s="17">
        <f t="shared" si="4"/>
        <v>1026.36</v>
      </c>
      <c r="AX81" s="36" t="s">
        <v>651</v>
      </c>
      <c r="AY81" s="36">
        <v>29.3</v>
      </c>
      <c r="AZ81" s="36"/>
      <c r="BA81" s="36"/>
      <c r="BB81" s="36"/>
      <c r="BC81" s="36"/>
      <c r="BD81" s="34"/>
      <c r="BE81" s="34"/>
      <c r="BF81" s="34"/>
      <c r="BG81" s="34"/>
      <c r="BH81" s="18">
        <f t="shared" si="25"/>
        <v>29.3</v>
      </c>
      <c r="BI81" s="19" t="str">
        <f>ifs(BH81=0,"na",BH81="NR","NR",BH81="?","?",BK81&gt;0,"?",iserror(Calcs!AB81),"?",1,Calcs!AB81)</f>
        <v>?</v>
      </c>
      <c r="BJ81" s="34" t="s">
        <v>282</v>
      </c>
      <c r="BK81" s="36">
        <v>1.0</v>
      </c>
      <c r="BL81" s="18">
        <f t="shared" si="6"/>
        <v>30.3</v>
      </c>
      <c r="BM81" s="34">
        <v>5.0</v>
      </c>
      <c r="BN81" s="34"/>
      <c r="BO81" s="34" t="s">
        <v>382</v>
      </c>
      <c r="BP81" s="20">
        <f>ifs(isblank(AX81),0,BH81="NR","NR",BH81="?","?",1,(AY81*vlookup(AX81,Ores[],2,FALSE)+if(isblank(AZ81),0,BA81*vlookup(AZ81,Ores[],2,FALSE))+if(isblank(BB81),0,BC81*vlookup(BB81,Ores[],2,FALSE))+if(isblank(BD81),0,BE81*vlookup(BD81,Ores[],2,FALSE))+if(isblank(BF81),0,BG81*vlookup(BF81,Ores[],2,FALSE)))/BH81)</f>
        <v>4.35483871</v>
      </c>
      <c r="BQ81" s="20">
        <f>ifs(isblank(AX81),0,BH81="NR","NR",BH81="?","?",1,(AY81*vlookup(AX81,Ores[],4,FALSE)+if(isblank(AZ81),0,BA81*vlookup(AZ81,Ores[],4,FALSE))+if(isblank(BB81),0,BC81*vlookup(BB81,Ores[],4,FALSE))+if(isblank(BD81),0,BE81*vlookup(BD81,Ores[],4,FALSE))+if(isblank(BF81),0,BG81*vlookup(BF81,Ores[],4,FALSE)))/BH81)</f>
        <v>2.264516129</v>
      </c>
      <c r="BR81" s="21">
        <f>ifs(isblank(AX81),0,BH81="NR","NR",BH81="?","?",1,(AY81*vlookup(AX81,Ores[],8,FALSE)+if(isblank(AZ81),0,BA81*vlookup(AZ81,Ores[],8,FALSE))+if(isblank(BB81),0,BC81*vlookup(BB81,Ores[],8,FALSE))+if(isblank(BD81),0,BE81*vlookup(BD81,Ores[],8,FALSE))+if(isblank(BF81),0,BG81*vlookup(BF81,Ores[],8,FALSE)))/BH81)</f>
        <v>0</v>
      </c>
      <c r="BS81" s="21">
        <f>ifs(isblank(AX81),0,BH81="NR","NR",BH81="?","?",1,(AY81*vlookup(AX81,Ores[],7,FALSE)+if(isblank(AZ81),0,BA81*vlookup(AZ81,Ores[],7,FALSE))+if(isblank(BB81),0,BC81*vlookup(BB81,Ores[],7,FALSE))+if(isblank(BD81),0,BE81*vlookup(BD81,Ores[],7,FALSE))+if(isblank(BF81),0,BG81*vlookup(BF81,Ores[],7,FALSE)))/BH81)</f>
        <v>0</v>
      </c>
      <c r="BT81" s="21">
        <f>ifs(isblank(AX81),0,BH81="NR","NR",BH81="?","?",1,(AY81*vlookup(AX81,Ores[],3,FALSE)+if(isblank(AZ81),0,BA81*vlookup(AZ81,Ores[],3,FALSE))+if(isblank(BB81),0,BC81*vlookup(BB81,Ores[],3,FALSE))+if(isblank(BD81),0,BE81*vlookup(BD81,Ores[],3,FALSE))+if(isblank(BF81),0,BG81*vlookup(BF81,Ores[],3,FALSE)))/BH81)</f>
        <v>1.741935484</v>
      </c>
      <c r="BU81" s="21">
        <f>ifs(isblank(AX81),0,BH81="NR","NR",BH81="?","?",1,(AY81*vlookup(AX81,Ores[],5,FALSE)+if(isblank(AZ81),0,BA81*vlookup(AZ81,Ores[],5,FALSE))+if(isblank(BB81),0,BC81*vlookup(BB81,Ores[],5,FALSE))+if(isblank(BD81),0,BE81*vlookup(BD81,Ores[],5,FALSE))+if(isblank(BF81),0,BG81*vlookup(BF81,Ores[],5,FALSE)))/BH81)</f>
        <v>0</v>
      </c>
      <c r="BV81" s="22" t="str">
        <f t="shared" si="30"/>
        <v>NR</v>
      </c>
      <c r="BW81" s="40">
        <v>78.0</v>
      </c>
      <c r="BX81" s="41">
        <v>65.0</v>
      </c>
      <c r="BY81" s="47"/>
      <c r="BZ81" s="56">
        <f t="shared" si="31"/>
        <v>12.05263158</v>
      </c>
      <c r="CA81" s="53">
        <f t="shared" si="32"/>
        <v>6.695906433</v>
      </c>
      <c r="CB81" s="43" t="s">
        <v>557</v>
      </c>
      <c r="CC81" s="41" t="s">
        <v>558</v>
      </c>
      <c r="CD81" s="28">
        <f t="shared" si="33"/>
        <v>6.695906433</v>
      </c>
      <c r="CE81" s="43">
        <f t="shared" si="34"/>
        <v>229</v>
      </c>
      <c r="CF81" s="41"/>
      <c r="CG81" s="43">
        <v>59.0</v>
      </c>
      <c r="CH81" s="43">
        <v>121.0</v>
      </c>
      <c r="CI81" s="43">
        <v>350.0</v>
      </c>
      <c r="CJ81" s="43" t="s">
        <v>116</v>
      </c>
      <c r="CK81" s="43">
        <v>18.0</v>
      </c>
      <c r="CL81" s="43">
        <v>18.0</v>
      </c>
      <c r="CM81" s="43">
        <v>10.0</v>
      </c>
      <c r="CN81" s="43">
        <v>34.2</v>
      </c>
      <c r="CO81" s="43">
        <v>19.0</v>
      </c>
      <c r="CP81" s="43">
        <v>1.8</v>
      </c>
      <c r="CQ81" s="43">
        <v>1.0</v>
      </c>
      <c r="CR81" s="41" t="s">
        <v>257</v>
      </c>
      <c r="CS81" s="53">
        <v>11.0</v>
      </c>
      <c r="CT81" s="43" t="s">
        <v>216</v>
      </c>
      <c r="CU81" s="27" t="s">
        <v>116</v>
      </c>
      <c r="CV81" s="29"/>
      <c r="CW81" s="30">
        <f t="shared" si="12"/>
        <v>0.3630363036</v>
      </c>
      <c r="CX81" s="31" t="str">
        <f t="shared" si="19"/>
        <v>?</v>
      </c>
      <c r="CY81" s="41"/>
      <c r="CZ81" s="41"/>
      <c r="DA81" s="41" t="s">
        <v>745</v>
      </c>
      <c r="DB81" s="41" t="s">
        <v>258</v>
      </c>
      <c r="DC81" s="41" t="s">
        <v>746</v>
      </c>
      <c r="DD81" s="41"/>
      <c r="DE81" s="41"/>
      <c r="DF81" s="41"/>
      <c r="DG81" s="41"/>
      <c r="DH81" s="41"/>
      <c r="DI81" s="41"/>
      <c r="DJ81" s="41"/>
      <c r="DK81" s="41"/>
      <c r="DL81" s="41"/>
      <c r="DM81" s="45"/>
    </row>
    <row r="82" ht="21.75" customHeight="1">
      <c r="A82" s="33">
        <v>78.0</v>
      </c>
      <c r="B82" s="34" t="s">
        <v>747</v>
      </c>
      <c r="C82" s="36" t="s">
        <v>748</v>
      </c>
      <c r="D82" s="34" t="s">
        <v>749</v>
      </c>
      <c r="E82" s="35">
        <v>43359.0</v>
      </c>
      <c r="F82" s="34" t="s">
        <v>109</v>
      </c>
      <c r="G82" s="36" t="s">
        <v>123</v>
      </c>
      <c r="H82" s="34"/>
      <c r="I82" s="36" t="s">
        <v>286</v>
      </c>
      <c r="J82" s="36" t="s">
        <v>590</v>
      </c>
      <c r="K82" s="34"/>
      <c r="L82" s="34"/>
      <c r="M82" s="36" t="s">
        <v>150</v>
      </c>
      <c r="N82" s="36" t="s">
        <v>168</v>
      </c>
      <c r="O82" s="34">
        <f t="shared" si="23"/>
        <v>60</v>
      </c>
      <c r="P82" s="34">
        <f t="shared" si="21"/>
        <v>60</v>
      </c>
      <c r="Q82" s="36">
        <v>60.0</v>
      </c>
      <c r="R82" s="34"/>
      <c r="S82" s="34">
        <v>41.0</v>
      </c>
      <c r="T82" s="87" t="s">
        <v>554</v>
      </c>
      <c r="U82" s="34">
        <v>26.0</v>
      </c>
      <c r="V82" s="34"/>
      <c r="W82" s="34"/>
      <c r="X82" s="34"/>
      <c r="Y82" s="34"/>
      <c r="Z82" s="34"/>
      <c r="AA82" s="37">
        <f>Calcs!O82</f>
        <v>530.9</v>
      </c>
      <c r="AB82" s="34" t="s">
        <v>750</v>
      </c>
      <c r="AC82" s="34" t="s">
        <v>116</v>
      </c>
      <c r="AD82" s="34" t="s">
        <v>253</v>
      </c>
      <c r="AE82" s="36">
        <v>2.5</v>
      </c>
      <c r="AF82" s="36" t="s">
        <v>123</v>
      </c>
      <c r="AG82" s="65">
        <v>22.0</v>
      </c>
      <c r="AH82" s="36" t="s">
        <v>170</v>
      </c>
      <c r="AI82" s="34"/>
      <c r="AJ82" s="34">
        <v>5.0</v>
      </c>
      <c r="AK82" s="34"/>
      <c r="AL82" s="34" t="s">
        <v>184</v>
      </c>
      <c r="AM82" s="34"/>
      <c r="AN82" s="36">
        <v>19.0</v>
      </c>
      <c r="AO82" s="34">
        <v>19.0</v>
      </c>
      <c r="AP82" s="34"/>
      <c r="AQ82" s="34" t="s">
        <v>254</v>
      </c>
      <c r="AR82" s="34"/>
      <c r="AS82" s="34">
        <v>900.0</v>
      </c>
      <c r="AT82" s="14" t="str">
        <f t="shared" si="35"/>
        <v/>
      </c>
      <c r="AU82" s="12"/>
      <c r="AV82" s="74">
        <v>756.0</v>
      </c>
      <c r="AW82" s="17">
        <f t="shared" si="4"/>
        <v>637.08</v>
      </c>
      <c r="AX82" s="36" t="s">
        <v>651</v>
      </c>
      <c r="AY82" s="36">
        <v>30.6</v>
      </c>
      <c r="AZ82" s="36"/>
      <c r="BA82" s="36"/>
      <c r="BB82" s="36"/>
      <c r="BC82" s="36"/>
      <c r="BD82" s="34"/>
      <c r="BE82" s="34"/>
      <c r="BF82" s="34"/>
      <c r="BG82" s="34"/>
      <c r="BH82" s="18">
        <f t="shared" si="25"/>
        <v>30.6</v>
      </c>
      <c r="BI82" s="19">
        <f>ifs(BH82=0,"na",BH82="NR","NR",BH82="?","?",BK82&gt;0,"?",iserror(Calcs!AB82),"?",1,Calcs!AB82)</f>
        <v>0.561817121</v>
      </c>
      <c r="BJ82" s="34" t="s">
        <v>282</v>
      </c>
      <c r="BK82" s="34"/>
      <c r="BL82" s="18">
        <f t="shared" si="6"/>
        <v>30.6</v>
      </c>
      <c r="BM82" s="34"/>
      <c r="BN82" s="34"/>
      <c r="BO82" s="34" t="s">
        <v>382</v>
      </c>
      <c r="BP82" s="20">
        <f>ifs(isblank(AX82),0,BH82="NR","NR",BH82="?","?",1,(AY82*vlookup(AX82,Ores[],2,FALSE)+if(isblank(AZ82),0,BA82*vlookup(AZ82,Ores[],2,FALSE))+if(isblank(BB82),0,BC82*vlookup(BB82,Ores[],2,FALSE))+if(isblank(BD82),0,BE82*vlookup(BD82,Ores[],2,FALSE))+if(isblank(BF82),0,BG82*vlookup(BF82,Ores[],2,FALSE)))/BH82)</f>
        <v>4.35483871</v>
      </c>
      <c r="BQ82" s="20">
        <f>ifs(isblank(AX82),0,BH82="NR","NR",BH82="?","?",1,(AY82*vlookup(AX82,Ores[],4,FALSE)+if(isblank(AZ82),0,BA82*vlookup(AZ82,Ores[],4,FALSE))+if(isblank(BB82),0,BC82*vlookup(BB82,Ores[],4,FALSE))+if(isblank(BD82),0,BE82*vlookup(BD82,Ores[],4,FALSE))+if(isblank(BF82),0,BG82*vlookup(BF82,Ores[],4,FALSE)))/BH82)</f>
        <v>2.264516129</v>
      </c>
      <c r="BR82" s="21">
        <f>ifs(isblank(AX82),0,BH82="NR","NR",BH82="?","?",1,(AY82*vlookup(AX82,Ores[],8,FALSE)+if(isblank(AZ82),0,BA82*vlookup(AZ82,Ores[],8,FALSE))+if(isblank(BB82),0,BC82*vlookup(BB82,Ores[],8,FALSE))+if(isblank(BD82),0,BE82*vlookup(BD82,Ores[],8,FALSE))+if(isblank(BF82),0,BG82*vlookup(BF82,Ores[],8,FALSE)))/BH82)</f>
        <v>0</v>
      </c>
      <c r="BS82" s="21">
        <f>ifs(isblank(AX82),0,BH82="NR","NR",BH82="?","?",1,(AY82*vlookup(AX82,Ores[],7,FALSE)+if(isblank(AZ82),0,BA82*vlookup(AZ82,Ores[],7,FALSE))+if(isblank(BB82),0,BC82*vlookup(BB82,Ores[],7,FALSE))+if(isblank(BD82),0,BE82*vlookup(BD82,Ores[],7,FALSE))+if(isblank(BF82),0,BG82*vlookup(BF82,Ores[],7,FALSE)))/BH82)</f>
        <v>0</v>
      </c>
      <c r="BT82" s="21">
        <f>ifs(isblank(AX82),0,BH82="NR","NR",BH82="?","?",1,(AY82*vlookup(AX82,Ores[],3,FALSE)+if(isblank(AZ82),0,BA82*vlookup(AZ82,Ores[],3,FALSE))+if(isblank(BB82),0,BC82*vlookup(BB82,Ores[],3,FALSE))+if(isblank(BD82),0,BE82*vlookup(BD82,Ores[],3,FALSE))+if(isblank(BF82),0,BG82*vlookup(BF82,Ores[],3,FALSE)))/BH82)</f>
        <v>1.741935484</v>
      </c>
      <c r="BU82" s="21">
        <f>ifs(isblank(AX82),0,BH82="NR","NR",BH82="?","?",1,(AY82*vlookup(AX82,Ores[],5,FALSE)+if(isblank(AZ82),0,BA82*vlookup(AZ82,Ores[],5,FALSE))+if(isblank(BB82),0,BC82*vlookup(BB82,Ores[],5,FALSE))+if(isblank(BD82),0,BE82*vlookup(BD82,Ores[],5,FALSE))+if(isblank(BF82),0,BG82*vlookup(BF82,Ores[],5,FALSE)))/BH82)</f>
        <v>0</v>
      </c>
      <c r="BV82" s="22">
        <f t="shared" si="30"/>
        <v>6.725490196</v>
      </c>
      <c r="BW82" s="40">
        <v>129.0</v>
      </c>
      <c r="BX82" s="41">
        <v>51.0</v>
      </c>
      <c r="BY82" s="47"/>
      <c r="BZ82" s="56">
        <f t="shared" si="31"/>
        <v>12.42105263</v>
      </c>
      <c r="CA82" s="53">
        <f t="shared" si="32"/>
        <v>6.900584795</v>
      </c>
      <c r="CB82" s="43" t="s">
        <v>127</v>
      </c>
      <c r="CC82" s="41" t="s">
        <v>128</v>
      </c>
      <c r="CD82" s="28">
        <f t="shared" si="33"/>
        <v>6.900584795</v>
      </c>
      <c r="CE82" s="43">
        <f t="shared" si="34"/>
        <v>236</v>
      </c>
      <c r="CF82" s="41"/>
      <c r="CG82" s="43"/>
      <c r="CH82" s="43">
        <v>86.0</v>
      </c>
      <c r="CI82" s="43">
        <v>322.0</v>
      </c>
      <c r="CJ82" s="43">
        <v>343.0</v>
      </c>
      <c r="CK82" s="43">
        <v>19.0</v>
      </c>
      <c r="CL82" s="43">
        <v>108.0</v>
      </c>
      <c r="CM82" s="43">
        <v>6.0</v>
      </c>
      <c r="CN82" s="43">
        <v>34.2</v>
      </c>
      <c r="CO82" s="43">
        <v>19.0</v>
      </c>
      <c r="CP82" s="43">
        <v>0.0</v>
      </c>
      <c r="CQ82" s="43">
        <v>0.0</v>
      </c>
      <c r="CR82" s="41" t="s">
        <v>257</v>
      </c>
      <c r="CS82" s="53">
        <v>5.4</v>
      </c>
      <c r="CT82" s="43" t="s">
        <v>216</v>
      </c>
      <c r="CU82" s="30"/>
      <c r="CV82" s="29"/>
      <c r="CW82" s="30">
        <f t="shared" si="12"/>
        <v>0.1764705882</v>
      </c>
      <c r="CX82" s="31">
        <f t="shared" si="19"/>
        <v>0.3141068181</v>
      </c>
      <c r="CY82" s="41"/>
      <c r="CZ82" s="41"/>
      <c r="DA82" s="41"/>
      <c r="DB82" s="41" t="s">
        <v>500</v>
      </c>
      <c r="DC82" s="41" t="s">
        <v>751</v>
      </c>
      <c r="DD82" s="41"/>
      <c r="DE82" s="41"/>
      <c r="DF82" s="41"/>
      <c r="DG82" s="41"/>
      <c r="DH82" s="41"/>
      <c r="DI82" s="41"/>
      <c r="DJ82" s="41"/>
      <c r="DK82" s="41"/>
      <c r="DL82" s="41"/>
      <c r="DM82" s="45"/>
    </row>
    <row r="83" ht="21.75" customHeight="1">
      <c r="A83" s="33">
        <v>79.0</v>
      </c>
      <c r="B83" s="34" t="s">
        <v>752</v>
      </c>
      <c r="C83" s="36" t="s">
        <v>753</v>
      </c>
      <c r="D83" s="34" t="s">
        <v>138</v>
      </c>
      <c r="E83" s="35">
        <v>43386.0</v>
      </c>
      <c r="F83" s="34" t="s">
        <v>109</v>
      </c>
      <c r="G83" s="36" t="s">
        <v>123</v>
      </c>
      <c r="H83" s="34"/>
      <c r="I83" s="36" t="s">
        <v>606</v>
      </c>
      <c r="J83" s="36" t="s">
        <v>590</v>
      </c>
      <c r="K83" s="34"/>
      <c r="L83" s="34"/>
      <c r="M83" s="36" t="s">
        <v>150</v>
      </c>
      <c r="N83" s="36" t="s">
        <v>168</v>
      </c>
      <c r="O83" s="34">
        <f t="shared" si="23"/>
        <v>73</v>
      </c>
      <c r="P83" s="34">
        <f t="shared" si="21"/>
        <v>73</v>
      </c>
      <c r="Q83" s="36">
        <v>73.0</v>
      </c>
      <c r="R83" s="34"/>
      <c r="S83" s="34">
        <v>50.0</v>
      </c>
      <c r="T83" s="34">
        <v>39.0</v>
      </c>
      <c r="U83" s="34">
        <v>27.0</v>
      </c>
      <c r="V83" s="34"/>
      <c r="W83" s="34"/>
      <c r="X83" s="34"/>
      <c r="Y83" s="34"/>
      <c r="Z83" s="34"/>
      <c r="AA83" s="37">
        <f>Calcs!O83</f>
        <v>572.6</v>
      </c>
      <c r="AB83" s="34" t="s">
        <v>754</v>
      </c>
      <c r="AC83" s="34" t="s">
        <v>755</v>
      </c>
      <c r="AD83" s="34" t="s">
        <v>253</v>
      </c>
      <c r="AE83" s="36">
        <v>2.5</v>
      </c>
      <c r="AF83" s="36" t="s">
        <v>123</v>
      </c>
      <c r="AG83" s="36">
        <v>20.0</v>
      </c>
      <c r="AH83" s="36" t="s">
        <v>170</v>
      </c>
      <c r="AI83" s="36" t="s">
        <v>123</v>
      </c>
      <c r="AJ83" s="34">
        <v>5.0</v>
      </c>
      <c r="AK83" s="34"/>
      <c r="AL83" s="34" t="s">
        <v>184</v>
      </c>
      <c r="AM83" s="34"/>
      <c r="AN83" s="36">
        <v>15.0</v>
      </c>
      <c r="AO83" s="34">
        <v>5.0</v>
      </c>
      <c r="AP83" s="34"/>
      <c r="AQ83" s="34" t="s">
        <v>254</v>
      </c>
      <c r="AR83" s="34"/>
      <c r="AS83" s="34">
        <v>1100.0</v>
      </c>
      <c r="AT83" s="14" t="str">
        <f t="shared" si="35"/>
        <v/>
      </c>
      <c r="AU83" s="12"/>
      <c r="AV83" s="74">
        <v>924.0</v>
      </c>
      <c r="AW83" s="17">
        <f t="shared" si="4"/>
        <v>687.12</v>
      </c>
      <c r="AX83" s="36" t="s">
        <v>651</v>
      </c>
      <c r="AY83" s="36">
        <v>24.0</v>
      </c>
      <c r="AZ83" s="36" t="s">
        <v>155</v>
      </c>
      <c r="BA83" s="36">
        <v>6.0</v>
      </c>
      <c r="BB83" s="36"/>
      <c r="BC83" s="36"/>
      <c r="BD83" s="34"/>
      <c r="BE83" s="34"/>
      <c r="BF83" s="34"/>
      <c r="BG83" s="34"/>
      <c r="BH83" s="18">
        <f t="shared" si="25"/>
        <v>30</v>
      </c>
      <c r="BI83" s="19">
        <f>ifs(BH83=0,"na",BH83="NR","NR",BH83="?","?",BK83&gt;0,"?",iserror(Calcs!AB83),"?",1,Calcs!AB83)</f>
        <v>0.5654536968</v>
      </c>
      <c r="BJ83" s="34" t="s">
        <v>125</v>
      </c>
      <c r="BK83" s="34"/>
      <c r="BL83" s="18">
        <f t="shared" si="6"/>
        <v>30</v>
      </c>
      <c r="BM83" s="34">
        <v>1.2</v>
      </c>
      <c r="BN83" s="34"/>
      <c r="BO83" s="34" t="s">
        <v>668</v>
      </c>
      <c r="BP83" s="20">
        <f>ifs(isblank(AX83),0,BH83="NR","NR",BH83="?","?",1,(AY83*vlookup(AX83,Ores[],2,FALSE)+if(isblank(AZ83),0,BA83*vlookup(AZ83,Ores[],2,FALSE))+if(isblank(BB83),0,BC83*vlookup(BB83,Ores[],2,FALSE))+if(isblank(BD83),0,BE83*vlookup(BD83,Ores[],2,FALSE))+if(isblank(BF83),0,BG83*vlookup(BF83,Ores[],2,FALSE)))/BH83)</f>
        <v>5.229870968</v>
      </c>
      <c r="BQ83" s="20">
        <f>ifs(isblank(AX83),0,BH83="NR","NR",BH83="?","?",1,(AY83*vlookup(AX83,Ores[],4,FALSE)+if(isblank(AZ83),0,BA83*vlookup(AZ83,Ores[],4,FALSE))+if(isblank(BB83),0,BC83*vlookup(BB83,Ores[],4,FALSE))+if(isblank(BD83),0,BE83*vlookup(BD83,Ores[],4,FALSE))+if(isblank(BF83),0,BG83*vlookup(BF83,Ores[],4,FALSE)))/BH83)</f>
        <v>2.219612903</v>
      </c>
      <c r="BR83" s="21">
        <f>ifs(isblank(AX83),0,BH83="NR","NR",BH83="?","?",1,(AY83*vlookup(AX83,Ores[],8,FALSE)+if(isblank(AZ83),0,BA83*vlookup(AZ83,Ores[],8,FALSE))+if(isblank(BB83),0,BC83*vlookup(BB83,Ores[],8,FALSE))+if(isblank(BD83),0,BE83*vlookup(BD83,Ores[],8,FALSE))+if(isblank(BF83),0,BG83*vlookup(BF83,Ores[],8,FALSE)))/BH83)</f>
        <v>0.804</v>
      </c>
      <c r="BS83" s="21">
        <f>ifs(isblank(AX83),0,BH83="NR","NR",BH83="?","?",1,(AY83*vlookup(AX83,Ores[],7,FALSE)+if(isblank(AZ83),0,BA83*vlookup(AZ83,Ores[],7,FALSE))+if(isblank(BB83),0,BC83*vlookup(BB83,Ores[],7,FALSE))+if(isblank(BD83),0,BE83*vlookup(BD83,Ores[],7,FALSE))+if(isblank(BF83),0,BG83*vlookup(BF83,Ores[],7,FALSE)))/BH83)</f>
        <v>0</v>
      </c>
      <c r="BT83" s="21">
        <f>ifs(isblank(AX83),0,BH83="NR","NR",BH83="?","?",1,(AY83*vlookup(AX83,Ores[],3,FALSE)+if(isblank(AZ83),0,BA83*vlookup(AZ83,Ores[],3,FALSE))+if(isblank(BB83),0,BC83*vlookup(BB83,Ores[],3,FALSE))+if(isblank(BD83),0,BE83*vlookup(BD83,Ores[],3,FALSE))+if(isblank(BF83),0,BG83*vlookup(BF83,Ores[],3,FALSE)))/BH83)</f>
        <v>1.393548387</v>
      </c>
      <c r="BU83" s="21">
        <f>ifs(isblank(AX83),0,BH83="NR","NR",BH83="?","?",1,(AY83*vlookup(AX83,Ores[],5,FALSE)+if(isblank(AZ83),0,BA83*vlookup(AZ83,Ores[],5,FALSE))+if(isblank(BB83),0,BC83*vlookup(BB83,Ores[],5,FALSE))+if(isblank(BD83),0,BE83*vlookup(BD83,Ores[],5,FALSE))+if(isblank(BF83),0,BG83*vlookup(BF83,Ores[],5,FALSE)))/BH83)</f>
        <v>0.08</v>
      </c>
      <c r="BV83" s="22" t="str">
        <f t="shared" si="30"/>
        <v>NR</v>
      </c>
      <c r="BW83" s="40">
        <v>115.0</v>
      </c>
      <c r="BX83" s="41">
        <v>58.0</v>
      </c>
      <c r="BY83" s="47"/>
      <c r="BZ83" s="56">
        <f t="shared" si="31"/>
        <v>14</v>
      </c>
      <c r="CA83" s="53">
        <f t="shared" si="32"/>
        <v>7.777777778</v>
      </c>
      <c r="CB83" s="43" t="s">
        <v>430</v>
      </c>
      <c r="CC83" s="43" t="s">
        <v>116</v>
      </c>
      <c r="CD83" s="28">
        <f t="shared" si="33"/>
        <v>7.777777778</v>
      </c>
      <c r="CE83" s="43">
        <f t="shared" si="34"/>
        <v>252</v>
      </c>
      <c r="CF83" s="41"/>
      <c r="CG83" s="43">
        <v>91.0</v>
      </c>
      <c r="CH83" s="43">
        <v>105.0</v>
      </c>
      <c r="CI83" s="43">
        <v>357.0</v>
      </c>
      <c r="CJ83" s="43" t="s">
        <v>116</v>
      </c>
      <c r="CK83" s="43">
        <v>18.0</v>
      </c>
      <c r="CL83" s="43">
        <v>16.2</v>
      </c>
      <c r="CM83" s="43">
        <v>9.0</v>
      </c>
      <c r="CN83" s="43">
        <v>32.4</v>
      </c>
      <c r="CO83" s="43">
        <v>18.0</v>
      </c>
      <c r="CP83" s="43">
        <v>1.8</v>
      </c>
      <c r="CQ83" s="43">
        <v>1.0</v>
      </c>
      <c r="CR83" s="41" t="s">
        <v>157</v>
      </c>
      <c r="CS83" s="53">
        <v>8.5</v>
      </c>
      <c r="CT83" s="43" t="s">
        <v>216</v>
      </c>
      <c r="CU83" s="30"/>
      <c r="CV83" s="58">
        <v>5.52</v>
      </c>
      <c r="CW83" s="30">
        <f t="shared" si="12"/>
        <v>0.2833333333</v>
      </c>
      <c r="CX83" s="31">
        <f t="shared" si="19"/>
        <v>0.5010725634</v>
      </c>
      <c r="CY83" s="41"/>
      <c r="CZ83" s="41"/>
      <c r="DA83" s="41"/>
      <c r="DB83" s="41"/>
      <c r="DC83" s="88" t="s">
        <v>756</v>
      </c>
      <c r="DD83" s="41"/>
      <c r="DE83" s="41"/>
      <c r="DF83" s="41"/>
      <c r="DG83" s="41"/>
      <c r="DH83" s="41"/>
      <c r="DI83" s="41"/>
      <c r="DJ83" s="41"/>
      <c r="DK83" s="41"/>
      <c r="DL83" s="41"/>
      <c r="DM83" s="45"/>
    </row>
    <row r="84" ht="21.75" customHeight="1">
      <c r="A84" s="33">
        <v>80.0</v>
      </c>
      <c r="B84" s="79" t="s">
        <v>757</v>
      </c>
      <c r="C84" s="34" t="s">
        <v>549</v>
      </c>
      <c r="D84" s="34" t="s">
        <v>138</v>
      </c>
      <c r="E84" s="35">
        <v>43391.0</v>
      </c>
      <c r="F84" s="34" t="s">
        <v>758</v>
      </c>
      <c r="G84" s="36" t="s">
        <v>110</v>
      </c>
      <c r="H84" s="34"/>
      <c r="I84" s="34" t="s">
        <v>759</v>
      </c>
      <c r="J84" s="36" t="s">
        <v>590</v>
      </c>
      <c r="K84" s="36">
        <v>1.0</v>
      </c>
      <c r="L84" s="36"/>
      <c r="M84" s="36" t="s">
        <v>150</v>
      </c>
      <c r="N84" s="36" t="s">
        <v>168</v>
      </c>
      <c r="O84" s="34">
        <f t="shared" si="23"/>
        <v>185</v>
      </c>
      <c r="P84" s="34">
        <f t="shared" si="21"/>
        <v>185</v>
      </c>
      <c r="Q84" s="36">
        <v>185.0</v>
      </c>
      <c r="R84" s="34"/>
      <c r="S84" s="34">
        <v>165.0</v>
      </c>
      <c r="T84" s="34" t="s">
        <v>760</v>
      </c>
      <c r="U84" s="34">
        <v>27.0</v>
      </c>
      <c r="V84" s="34"/>
      <c r="W84" s="34"/>
      <c r="X84" s="34"/>
      <c r="Y84" s="34"/>
      <c r="Z84" s="34"/>
      <c r="AA84" s="37">
        <f>Calcs!O84</f>
        <v>572.6</v>
      </c>
      <c r="AB84" s="34" t="s">
        <v>761</v>
      </c>
      <c r="AC84" s="34" t="s">
        <v>118</v>
      </c>
      <c r="AD84" s="34" t="s">
        <v>762</v>
      </c>
      <c r="AE84" s="34">
        <v>3.0</v>
      </c>
      <c r="AF84" s="36"/>
      <c r="AG84" s="36">
        <v>20.0</v>
      </c>
      <c r="AH84" s="36" t="s">
        <v>170</v>
      </c>
      <c r="AI84" s="34"/>
      <c r="AJ84" s="34">
        <v>8.0</v>
      </c>
      <c r="AK84" s="34"/>
      <c r="AL84" s="36" t="s">
        <v>707</v>
      </c>
      <c r="AM84" s="36"/>
      <c r="AN84" s="36">
        <v>9.0</v>
      </c>
      <c r="AO84" s="34">
        <v>20.0</v>
      </c>
      <c r="AP84" s="34"/>
      <c r="AQ84" s="34" t="s">
        <v>515</v>
      </c>
      <c r="AR84" s="34"/>
      <c r="AS84" s="34" t="s">
        <v>116</v>
      </c>
      <c r="AT84" s="14" t="str">
        <f t="shared" si="35"/>
        <v/>
      </c>
      <c r="AU84" s="12"/>
      <c r="AV84" s="38"/>
      <c r="AW84" s="17">
        <f t="shared" si="4"/>
        <v>687.12</v>
      </c>
      <c r="AX84" s="39" t="s">
        <v>295</v>
      </c>
      <c r="AY84" s="36">
        <v>13.0</v>
      </c>
      <c r="AZ84" s="36" t="s">
        <v>651</v>
      </c>
      <c r="BA84" s="36">
        <v>5.8</v>
      </c>
      <c r="BB84" s="36"/>
      <c r="BC84" s="36"/>
      <c r="BD84" s="34"/>
      <c r="BE84" s="34"/>
      <c r="BF84" s="34"/>
      <c r="BG84" s="34"/>
      <c r="BH84" s="18">
        <f t="shared" si="25"/>
        <v>18.8</v>
      </c>
      <c r="BI84" s="19">
        <f>ifs(BH84=0,"na",BH84="NR","NR",BH84="?","?",BK84&gt;0,"?",iserror(Calcs!AB84),"?",1,Calcs!AB84)</f>
        <v>0.4869245253</v>
      </c>
      <c r="BJ84" s="34" t="s">
        <v>125</v>
      </c>
      <c r="BK84" s="34"/>
      <c r="BL84" s="18">
        <f t="shared" si="6"/>
        <v>18.8</v>
      </c>
      <c r="BM84" s="34"/>
      <c r="BN84" s="34"/>
      <c r="BO84" s="34" t="s">
        <v>763</v>
      </c>
      <c r="BP84" s="20">
        <f>ifs(isblank(AX84),0,BH84="NR","NR",BH84="?","?",1,(AY84*vlookup(AX84,Ores[],2,FALSE)+if(isblank(AZ84),0,BA84*vlookup(AZ84,Ores[],2,FALSE))+if(isblank(BB84),0,BC84*vlookup(BB84,Ores[],2,FALSE))+if(isblank(BD84),0,BE84*vlookup(BD84,Ores[],2,FALSE))+if(isblank(BF84),0,BG84*vlookup(BF84,Ores[],2,FALSE)))/BH84)</f>
        <v>11.72276939</v>
      </c>
      <c r="BQ84" s="20">
        <f>ifs(isblank(AX84),0,BH84="NR","NR",BH84="?","?",1,(AY84*vlookup(AX84,Ores[],4,FALSE)+if(isblank(AZ84),0,BA84*vlookup(AZ84,Ores[],4,FALSE))+if(isblank(BB84),0,BC84*vlookup(BB84,Ores[],4,FALSE))+if(isblank(BD84),0,BE84*vlookup(BD84,Ores[],4,FALSE))+if(isblank(BF84),0,BG84*vlookup(BF84,Ores[],4,FALSE)))/BH84)</f>
        <v>4.10766987</v>
      </c>
      <c r="BR84" s="21">
        <f>ifs(isblank(AX84),0,BH84="NR","NR",BH84="?","?",1,(AY84*vlookup(AX84,Ores[],8,FALSE)+if(isblank(AZ84),0,BA84*vlookup(AZ84,Ores[],8,FALSE))+if(isblank(BB84),0,BC84*vlookup(BB84,Ores[],8,FALSE))+if(isblank(BD84),0,BE84*vlookup(BD84,Ores[],8,FALSE))+if(isblank(BF84),0,BG84*vlookup(BF84,Ores[],8,FALSE)))/BH84)</f>
        <v>1.625</v>
      </c>
      <c r="BS84" s="21">
        <f>ifs(isblank(AX84),0,BH84="NR","NR",BH84="?","?",1,(AY84*vlookup(AX84,Ores[],7,FALSE)+if(isblank(AZ84),0,BA84*vlookup(AZ84,Ores[],7,FALSE))+if(isblank(BB84),0,BC84*vlookup(BB84,Ores[],7,FALSE))+if(isblank(BD84),0,BE84*vlookup(BD84,Ores[],7,FALSE))+if(isblank(BF84),0,BG84*vlookup(BF84,Ores[],7,FALSE)))/BH84)</f>
        <v>0</v>
      </c>
      <c r="BT84" s="21">
        <f>ifs(isblank(AX84),0,BH84="NR","NR",BH84="?","?",1,(AY84*vlookup(AX84,Ores[],3,FALSE)+if(isblank(AZ84),0,BA84*vlookup(AZ84,Ores[],3,FALSE))+if(isblank(BB84),0,BC84*vlookup(BB84,Ores[],3,FALSE))+if(isblank(BD84),0,BE84*vlookup(BD84,Ores[],3,FALSE))+if(isblank(BF84),0,BG84*vlookup(BF84,Ores[],3,FALSE)))/BH84)</f>
        <v>0.7655971174</v>
      </c>
      <c r="BU84" s="21">
        <f>ifs(isblank(AX84),0,BH84="NR","NR",BH84="?","?",1,(AY84*vlookup(AX84,Ores[],5,FALSE)+if(isblank(AZ84),0,BA84*vlookup(AZ84,Ores[],5,FALSE))+if(isblank(BB84),0,BC84*vlookup(BB84,Ores[],5,FALSE))+if(isblank(BD84),0,BE84*vlookup(BD84,Ores[],5,FALSE))+if(isblank(BF84),0,BG84*vlookup(BF84,Ores[],5,FALSE)))/BH84)</f>
        <v>2.67606383</v>
      </c>
      <c r="BV84" s="22" t="str">
        <f t="shared" si="30"/>
        <v>NR</v>
      </c>
      <c r="BW84" s="40">
        <v>46.0</v>
      </c>
      <c r="BX84" s="41">
        <v>46.0</v>
      </c>
      <c r="BY84" s="47"/>
      <c r="BZ84" s="56">
        <f t="shared" si="31"/>
        <v>24.125</v>
      </c>
      <c r="CA84" s="53">
        <f t="shared" si="32"/>
        <v>9.747474747</v>
      </c>
      <c r="CB84" s="43" t="s">
        <v>461</v>
      </c>
      <c r="CC84" s="43" t="s">
        <v>489</v>
      </c>
      <c r="CD84" s="28">
        <f t="shared" si="33"/>
        <v>9.747474747</v>
      </c>
      <c r="CE84" s="43">
        <f t="shared" si="34"/>
        <v>193</v>
      </c>
      <c r="CF84" s="43"/>
      <c r="CG84" s="43"/>
      <c r="CH84" s="43">
        <v>67.0</v>
      </c>
      <c r="CI84" s="43">
        <v>260.0</v>
      </c>
      <c r="CJ84" s="43" t="s">
        <v>116</v>
      </c>
      <c r="CK84" s="43">
        <v>8.0</v>
      </c>
      <c r="CL84" s="43">
        <v>17.3</v>
      </c>
      <c r="CM84" s="43">
        <v>5.0</v>
      </c>
      <c r="CN84" s="43">
        <v>19.8</v>
      </c>
      <c r="CO84" s="43">
        <v>8.0</v>
      </c>
      <c r="CP84" s="43">
        <v>0.9</v>
      </c>
      <c r="CQ84" s="43">
        <v>1.0</v>
      </c>
      <c r="CR84" s="41" t="s">
        <v>157</v>
      </c>
      <c r="CS84" s="44">
        <v>0.0</v>
      </c>
      <c r="CT84" s="43" t="s">
        <v>117</v>
      </c>
      <c r="CU84" s="30"/>
      <c r="CV84" s="29"/>
      <c r="CW84" s="30" t="str">
        <f t="shared" si="12"/>
        <v>na</v>
      </c>
      <c r="CX84" s="31" t="str">
        <f t="shared" si="19"/>
        <v>na</v>
      </c>
      <c r="CY84" s="41"/>
      <c r="CZ84" s="41"/>
      <c r="DA84" s="41" t="s">
        <v>764</v>
      </c>
      <c r="DB84" s="41" t="s">
        <v>765</v>
      </c>
      <c r="DC84" s="41" t="s">
        <v>766</v>
      </c>
      <c r="DD84" s="41"/>
      <c r="DE84" s="41"/>
      <c r="DF84" s="41"/>
      <c r="DG84" s="41"/>
      <c r="DH84" s="41"/>
      <c r="DI84" s="41"/>
      <c r="DJ84" s="41"/>
      <c r="DK84" s="41"/>
      <c r="DL84" s="41"/>
      <c r="DM84" s="45"/>
    </row>
    <row r="85" ht="21.75" customHeight="1">
      <c r="A85" s="89">
        <v>81.0</v>
      </c>
      <c r="B85" s="41" t="s">
        <v>767</v>
      </c>
      <c r="C85" s="41" t="s">
        <v>549</v>
      </c>
      <c r="D85" s="41" t="s">
        <v>138</v>
      </c>
      <c r="E85" s="90">
        <v>43407.0</v>
      </c>
      <c r="F85" s="41" t="s">
        <v>109</v>
      </c>
      <c r="G85" s="36" t="s">
        <v>110</v>
      </c>
      <c r="H85" s="41"/>
      <c r="I85" s="43" t="s">
        <v>286</v>
      </c>
      <c r="J85" s="43" t="s">
        <v>590</v>
      </c>
      <c r="K85" s="43">
        <v>2.0</v>
      </c>
      <c r="L85" s="43">
        <v>80.0</v>
      </c>
      <c r="M85" s="43" t="s">
        <v>150</v>
      </c>
      <c r="N85" s="36" t="s">
        <v>168</v>
      </c>
      <c r="O85" s="34">
        <f t="shared" si="23"/>
        <v>70</v>
      </c>
      <c r="P85" s="34">
        <f t="shared" si="21"/>
        <v>70</v>
      </c>
      <c r="Q85" s="43">
        <v>70.0</v>
      </c>
      <c r="R85" s="41"/>
      <c r="S85" s="41">
        <v>50.0</v>
      </c>
      <c r="T85" s="41">
        <v>40.0</v>
      </c>
      <c r="U85" s="41">
        <v>30.0</v>
      </c>
      <c r="V85" s="41"/>
      <c r="W85" s="41"/>
      <c r="X85" s="41"/>
      <c r="Y85" s="41"/>
      <c r="Z85" s="41"/>
      <c r="AA85" s="37">
        <f>Calcs!O85</f>
        <v>706.9</v>
      </c>
      <c r="AB85" s="41">
        <v>5.0</v>
      </c>
      <c r="AC85" s="41" t="s">
        <v>118</v>
      </c>
      <c r="AD85" s="41" t="s">
        <v>253</v>
      </c>
      <c r="AE85" s="36">
        <v>2.5</v>
      </c>
      <c r="AF85" s="36" t="s">
        <v>123</v>
      </c>
      <c r="AG85" s="65">
        <v>22.0</v>
      </c>
      <c r="AH85" s="36" t="s">
        <v>170</v>
      </c>
      <c r="AI85" s="41"/>
      <c r="AJ85" s="41">
        <v>5.0</v>
      </c>
      <c r="AK85" s="41"/>
      <c r="AL85" s="41" t="s">
        <v>184</v>
      </c>
      <c r="AM85" s="41"/>
      <c r="AN85" s="43">
        <v>19.0</v>
      </c>
      <c r="AO85" s="41">
        <v>20.0</v>
      </c>
      <c r="AP85" s="41"/>
      <c r="AQ85" s="41" t="s">
        <v>254</v>
      </c>
      <c r="AR85" s="43">
        <v>800.0</v>
      </c>
      <c r="AS85" s="43">
        <v>900.0</v>
      </c>
      <c r="AT85" s="14">
        <f t="shared" si="35"/>
        <v>850</v>
      </c>
      <c r="AU85" s="24"/>
      <c r="AV85" s="74" t="s">
        <v>768</v>
      </c>
      <c r="AW85" s="17">
        <f t="shared" si="4"/>
        <v>848.28</v>
      </c>
      <c r="AX85" s="36"/>
      <c r="AY85" s="36"/>
      <c r="AZ85" s="34"/>
      <c r="BA85" s="34"/>
      <c r="BB85" s="34"/>
      <c r="BC85" s="34"/>
      <c r="BD85" s="34"/>
      <c r="BE85" s="34"/>
      <c r="BF85" s="34"/>
      <c r="BG85" s="34"/>
      <c r="BH85" s="18">
        <f t="shared" si="25"/>
        <v>0</v>
      </c>
      <c r="BI85" s="19" t="str">
        <f>ifs(BH85=0,"na",BH85="NR","NR",BH85="?","?",BK85&gt;0,"?",iserror(Calcs!AB85),"?",1,Calcs!AB85)</f>
        <v>na</v>
      </c>
      <c r="BJ85" s="41" t="s">
        <v>282</v>
      </c>
      <c r="BK85" s="43">
        <v>14.5</v>
      </c>
      <c r="BL85" s="18">
        <f t="shared" si="6"/>
        <v>14.5</v>
      </c>
      <c r="BM85" s="41">
        <v>3.5</v>
      </c>
      <c r="BN85" s="41"/>
      <c r="BO85" s="41" t="s">
        <v>116</v>
      </c>
      <c r="BP85" s="20">
        <f>ifs(isblank(AX85),0,BH85="NR","NR",BH85="?","?",1,(AY85*vlookup(AX85,Ores[],2,FALSE)+if(isblank(AZ85),0,BA85*vlookup(AZ85,Ores[],2,FALSE))+if(isblank(BB85),0,BC85*vlookup(BB85,Ores[],2,FALSE))+if(isblank(BD85),0,BE85*vlookup(BD85,Ores[],2,FALSE))+if(isblank(BF85),0,BG85*vlookup(BF85,Ores[],2,FALSE)))/BH85)</f>
        <v>0</v>
      </c>
      <c r="BQ85" s="20">
        <f>ifs(isblank(AX85),0,BH85="NR","NR",BH85="?","?",1,(AY85*vlookup(AX85,Ores[],4,FALSE)+if(isblank(AZ85),0,BA85*vlookup(AZ85,Ores[],4,FALSE))+if(isblank(BB85),0,BC85*vlookup(BB85,Ores[],4,FALSE))+if(isblank(BD85),0,BE85*vlookup(BD85,Ores[],4,FALSE))+if(isblank(BF85),0,BG85*vlookup(BF85,Ores[],4,FALSE)))/BH85)</f>
        <v>0</v>
      </c>
      <c r="BR85" s="21">
        <f>ifs(isblank(AX85),0,BH85="NR","NR",BH85="?","?",1,(AY85*vlookup(AX85,Ores[],8,FALSE)+if(isblank(AZ85),0,BA85*vlookup(AZ85,Ores[],8,FALSE))+if(isblank(BB85),0,BC85*vlookup(BB85,Ores[],8,FALSE))+if(isblank(BD85),0,BE85*vlookup(BD85,Ores[],8,FALSE))+if(isblank(BF85),0,BG85*vlookup(BF85,Ores[],8,FALSE)))/BH85)</f>
        <v>0</v>
      </c>
      <c r="BS85" s="21">
        <f>ifs(isblank(AX85),0,BH85="NR","NR",BH85="?","?",1,(AY85*vlookup(AX85,Ores[],7,FALSE)+if(isblank(AZ85),0,BA85*vlookup(AZ85,Ores[],7,FALSE))+if(isblank(BB85),0,BC85*vlookup(BB85,Ores[],7,FALSE))+if(isblank(BD85),0,BE85*vlookup(BD85,Ores[],7,FALSE))+if(isblank(BF85),0,BG85*vlookup(BF85,Ores[],7,FALSE)))/BH85)</f>
        <v>0</v>
      </c>
      <c r="BT85" s="21">
        <f>ifs(isblank(AX85),0,BH85="NR","NR",BH85="?","?",1,(AY85*vlookup(AX85,Ores[],3,FALSE)+if(isblank(AZ85),0,BA85*vlookup(AZ85,Ores[],3,FALSE))+if(isblank(BB85),0,BC85*vlookup(BB85,Ores[],3,FALSE))+if(isblank(BD85),0,BE85*vlookup(BD85,Ores[],3,FALSE))+if(isblank(BF85),0,BG85*vlookup(BF85,Ores[],3,FALSE)))/BH85)</f>
        <v>0</v>
      </c>
      <c r="BU85" s="21">
        <f>ifs(isblank(AX85),0,BH85="NR","NR",BH85="?","?",1,(AY85*vlookup(AX85,Ores[],5,FALSE)+if(isblank(AZ85),0,BA85*vlookup(AZ85,Ores[],5,FALSE))+if(isblank(BB85),0,BC85*vlookup(BB85,Ores[],5,FALSE))+if(isblank(BD85),0,BE85*vlookup(BD85,Ores[],5,FALSE))+if(isblank(BF85),0,BG85*vlookup(BF85,Ores[],5,FALSE)))/BH85)</f>
        <v>0</v>
      </c>
      <c r="BV85" s="22" t="str">
        <f t="shared" si="30"/>
        <v>NR</v>
      </c>
      <c r="BW85" s="40">
        <v>52.0</v>
      </c>
      <c r="BX85" s="41">
        <v>57.0</v>
      </c>
      <c r="BY85" s="47"/>
      <c r="BZ85" s="56">
        <f t="shared" si="31"/>
        <v>11.92857143</v>
      </c>
      <c r="CA85" s="53">
        <f t="shared" si="32"/>
        <v>6.626984127</v>
      </c>
      <c r="CB85" s="41" t="s">
        <v>461</v>
      </c>
      <c r="CC85" s="41" t="s">
        <v>489</v>
      </c>
      <c r="CD85" s="28">
        <f t="shared" si="33"/>
        <v>6.626984127</v>
      </c>
      <c r="CE85" s="43">
        <f t="shared" si="34"/>
        <v>167</v>
      </c>
      <c r="CF85" s="41"/>
      <c r="CG85" s="43">
        <v>75.0</v>
      </c>
      <c r="CH85" s="43">
        <v>119.0</v>
      </c>
      <c r="CI85" s="43">
        <v>286.0</v>
      </c>
      <c r="CJ85" s="43" t="s">
        <v>116</v>
      </c>
      <c r="CK85" s="43">
        <v>15.0</v>
      </c>
      <c r="CL85" s="43">
        <v>19.8</v>
      </c>
      <c r="CM85" s="43">
        <v>11.0</v>
      </c>
      <c r="CN85" s="43">
        <v>25.2</v>
      </c>
      <c r="CO85" s="43">
        <v>14.0</v>
      </c>
      <c r="CP85" s="43">
        <v>1.8</v>
      </c>
      <c r="CQ85" s="43">
        <v>1.0</v>
      </c>
      <c r="CR85" s="41" t="s">
        <v>129</v>
      </c>
      <c r="CS85" s="56">
        <v>8.0</v>
      </c>
      <c r="CT85" s="43" t="s">
        <v>769</v>
      </c>
      <c r="CU85" s="27" t="s">
        <v>243</v>
      </c>
      <c r="CV85" s="29"/>
      <c r="CW85" s="30">
        <f t="shared" si="12"/>
        <v>0.5517241379</v>
      </c>
      <c r="CX85" s="31" t="str">
        <f t="shared" si="19"/>
        <v>?</v>
      </c>
      <c r="CY85" s="41"/>
      <c r="CZ85" s="41"/>
      <c r="DA85" s="41" t="s">
        <v>396</v>
      </c>
      <c r="DB85" s="41" t="s">
        <v>770</v>
      </c>
      <c r="DC85" s="41" t="s">
        <v>771</v>
      </c>
      <c r="DD85" s="41"/>
      <c r="DE85" s="41"/>
      <c r="DF85" s="41"/>
      <c r="DG85" s="41"/>
      <c r="DH85" s="41"/>
      <c r="DI85" s="41"/>
      <c r="DJ85" s="41"/>
      <c r="DK85" s="41"/>
      <c r="DL85" s="41"/>
      <c r="DM85" s="45"/>
    </row>
    <row r="86" ht="21.75" customHeight="1">
      <c r="A86" s="89">
        <v>82.0</v>
      </c>
      <c r="B86" s="41" t="s">
        <v>772</v>
      </c>
      <c r="C86" s="43" t="s">
        <v>773</v>
      </c>
      <c r="D86" s="41" t="s">
        <v>138</v>
      </c>
      <c r="E86" s="90">
        <v>43638.0</v>
      </c>
      <c r="F86" s="43" t="s">
        <v>109</v>
      </c>
      <c r="G86" s="36" t="s">
        <v>110</v>
      </c>
      <c r="H86" s="41"/>
      <c r="I86" s="41" t="s">
        <v>148</v>
      </c>
      <c r="J86" s="41" t="s">
        <v>774</v>
      </c>
      <c r="K86" s="43">
        <v>1.0</v>
      </c>
      <c r="L86" s="43"/>
      <c r="M86" s="43" t="s">
        <v>775</v>
      </c>
      <c r="N86" s="36" t="s">
        <v>151</v>
      </c>
      <c r="O86" s="34">
        <f t="shared" si="23"/>
        <v>100</v>
      </c>
      <c r="P86" s="34">
        <f t="shared" si="21"/>
        <v>100</v>
      </c>
      <c r="Q86" s="43">
        <v>100.0</v>
      </c>
      <c r="R86" s="41"/>
      <c r="S86" s="41">
        <v>70.0</v>
      </c>
      <c r="T86" s="41" t="s">
        <v>776</v>
      </c>
      <c r="U86" s="43">
        <v>30.0</v>
      </c>
      <c r="V86" s="43">
        <v>20.0</v>
      </c>
      <c r="W86" s="43">
        <v>15.0</v>
      </c>
      <c r="X86" s="41">
        <v>25.0</v>
      </c>
      <c r="Y86" s="41"/>
      <c r="Z86" s="41"/>
      <c r="AA86" s="37">
        <f>Calcs!O86</f>
        <v>490.9</v>
      </c>
      <c r="AB86" s="41" t="s">
        <v>777</v>
      </c>
      <c r="AC86" s="41" t="s">
        <v>778</v>
      </c>
      <c r="AD86" s="41" t="s">
        <v>253</v>
      </c>
      <c r="AE86" s="36">
        <v>2.5</v>
      </c>
      <c r="AF86" s="36" t="s">
        <v>123</v>
      </c>
      <c r="AG86" s="65">
        <v>22.0</v>
      </c>
      <c r="AH86" s="36" t="s">
        <v>170</v>
      </c>
      <c r="AI86" s="41"/>
      <c r="AJ86" s="41" t="s">
        <v>116</v>
      </c>
      <c r="AK86" s="41"/>
      <c r="AL86" s="41" t="s">
        <v>707</v>
      </c>
      <c r="AM86" s="41"/>
      <c r="AN86" s="43">
        <v>14.0</v>
      </c>
      <c r="AO86" s="41">
        <v>15.0</v>
      </c>
      <c r="AP86" s="41"/>
      <c r="AQ86" s="41" t="s">
        <v>254</v>
      </c>
      <c r="AR86" s="41"/>
      <c r="AS86" s="41">
        <v>900.0</v>
      </c>
      <c r="AT86" s="14" t="str">
        <f t="shared" si="35"/>
        <v/>
      </c>
      <c r="AU86" s="24"/>
      <c r="AV86" s="74">
        <v>756.0</v>
      </c>
      <c r="AW86" s="17">
        <f t="shared" si="4"/>
        <v>589.08</v>
      </c>
      <c r="AX86" s="36" t="s">
        <v>779</v>
      </c>
      <c r="AY86" s="36">
        <v>26.3</v>
      </c>
      <c r="AZ86" s="36"/>
      <c r="BA86" s="36"/>
      <c r="BB86" s="36"/>
      <c r="BC86" s="36"/>
      <c r="BD86" s="34"/>
      <c r="BE86" s="34"/>
      <c r="BF86" s="34"/>
      <c r="BG86" s="34"/>
      <c r="BH86" s="18">
        <f t="shared" si="25"/>
        <v>26.3</v>
      </c>
      <c r="BI86" s="19">
        <f>ifs(BH86=0,"na",BH86="NR","NR",BH86="?","?",BK86&gt;0,"?",iserror(Calcs!AB86),"?",1,Calcs!AB86)</f>
        <v>0.5726600436</v>
      </c>
      <c r="BJ86" s="41" t="s">
        <v>282</v>
      </c>
      <c r="BK86" s="41"/>
      <c r="BL86" s="18">
        <f t="shared" si="6"/>
        <v>26.3</v>
      </c>
      <c r="BM86" s="41">
        <v>2.8</v>
      </c>
      <c r="BN86" s="41"/>
      <c r="BO86" s="41" t="s">
        <v>382</v>
      </c>
      <c r="BP86" s="20">
        <f>ifs(isblank(AX86),0,BH86="NR","NR",BH86="?","?",1,(AY86*vlookup(AX86,Ores[],2,FALSE)+if(isblank(AZ86),0,BA86*vlookup(AZ86,Ores[],2,FALSE))+if(isblank(BB86),0,BC86*vlookup(BB86,Ores[],2,FALSE))+if(isblank(BD86),0,BE86*vlookup(BD86,Ores[],2,FALSE))+if(isblank(BF86),0,BG86*vlookup(BF86,Ores[],2,FALSE)))/BH86)</f>
        <v>3.967741935</v>
      </c>
      <c r="BQ86" s="20">
        <f>ifs(isblank(AX86),0,BH86="NR","NR",BH86="?","?",1,(AY86*vlookup(AX86,Ores[],4,FALSE)+if(isblank(AZ86),0,BA86*vlookup(AZ86,Ores[],4,FALSE))+if(isblank(BB86),0,BC86*vlookup(BB86,Ores[],4,FALSE))+if(isblank(BD86),0,BE86*vlookup(BD86,Ores[],4,FALSE))+if(isblank(BF86),0,BG86*vlookup(BF86,Ores[],4,FALSE)))/BH86)</f>
        <v>2.063225806</v>
      </c>
      <c r="BR86" s="21">
        <f>ifs(isblank(AX86),0,BH86="NR","NR",BH86="?","?",1,(AY86*vlookup(AX86,Ores[],8,FALSE)+if(isblank(AZ86),0,BA86*vlookup(AZ86,Ores[],8,FALSE))+if(isblank(BB86),0,BC86*vlookup(BB86,Ores[],8,FALSE))+if(isblank(BD86),0,BE86*vlookup(BD86,Ores[],8,FALSE))+if(isblank(BF86),0,BG86*vlookup(BF86,Ores[],8,FALSE)))/BH86)</f>
        <v>0</v>
      </c>
      <c r="BS86" s="21">
        <f>ifs(isblank(AX86),0,BH86="NR","NR",BH86="?","?",1,(AY86*vlookup(AX86,Ores[],7,FALSE)+if(isblank(AZ86),0,BA86*vlookup(AZ86,Ores[],7,FALSE))+if(isblank(BB86),0,BC86*vlookup(BB86,Ores[],7,FALSE))+if(isblank(BD86),0,BE86*vlookup(BD86,Ores[],7,FALSE))+if(isblank(BF86),0,BG86*vlookup(BF86,Ores[],7,FALSE)))/BH86)</f>
        <v>0</v>
      </c>
      <c r="BT86" s="21">
        <f>ifs(isblank(AX86),0,BH86="NR","NR",BH86="?","?",1,(AY86*vlookup(AX86,Ores[],3,FALSE)+if(isblank(AZ86),0,BA86*vlookup(AZ86,Ores[],3,FALSE))+if(isblank(BB86),0,BC86*vlookup(BB86,Ores[],3,FALSE))+if(isblank(BD86),0,BE86*vlookup(BD86,Ores[],3,FALSE))+if(isblank(BF86),0,BG86*vlookup(BF86,Ores[],3,FALSE)))/BH86)</f>
        <v>1.587096774</v>
      </c>
      <c r="BU86" s="21">
        <f>ifs(isblank(AX86),0,BH86="NR","NR",BH86="?","?",1,(AY86*vlookup(AX86,Ores[],5,FALSE)+if(isblank(AZ86),0,BA86*vlookup(AZ86,Ores[],5,FALSE))+if(isblank(BB86),0,BC86*vlookup(BB86,Ores[],5,FALSE))+if(isblank(BD86),0,BE86*vlookup(BD86,Ores[],5,FALSE))+if(isblank(BF86),0,BG86*vlookup(BF86,Ores[],5,FALSE)))/BH86)</f>
        <v>0</v>
      </c>
      <c r="BV86" s="22">
        <f t="shared" si="30"/>
        <v>8.310344828</v>
      </c>
      <c r="BW86" s="40">
        <v>137.0</v>
      </c>
      <c r="BX86" s="41">
        <v>58.0</v>
      </c>
      <c r="BY86" s="47"/>
      <c r="BZ86" s="56">
        <f t="shared" si="31"/>
        <v>14.9375</v>
      </c>
      <c r="CA86" s="53">
        <f t="shared" si="32"/>
        <v>7.945478723</v>
      </c>
      <c r="CB86" s="41" t="s">
        <v>461</v>
      </c>
      <c r="CC86" s="41" t="s">
        <v>489</v>
      </c>
      <c r="CD86" s="28">
        <f t="shared" si="33"/>
        <v>7.945478723</v>
      </c>
      <c r="CE86" s="43">
        <f t="shared" si="34"/>
        <v>239</v>
      </c>
      <c r="CF86" s="41"/>
      <c r="CG86" s="43">
        <v>155.0</v>
      </c>
      <c r="CH86" s="43">
        <v>199.0</v>
      </c>
      <c r="CI86" s="43">
        <v>438.0</v>
      </c>
      <c r="CJ86" s="43">
        <v>482.0</v>
      </c>
      <c r="CK86" s="43">
        <v>16.0</v>
      </c>
      <c r="CL86" s="43">
        <v>28.2</v>
      </c>
      <c r="CM86" s="43">
        <v>16.0</v>
      </c>
      <c r="CN86" s="43">
        <v>30.08</v>
      </c>
      <c r="CO86" s="43">
        <v>16.0</v>
      </c>
      <c r="CP86" s="43">
        <v>1.88</v>
      </c>
      <c r="CQ86" s="43">
        <v>1.0</v>
      </c>
      <c r="CR86" s="41" t="s">
        <v>257</v>
      </c>
      <c r="CS86" s="44">
        <v>7.03</v>
      </c>
      <c r="CT86" s="43" t="s">
        <v>780</v>
      </c>
      <c r="CU86" s="30"/>
      <c r="CV86" s="58">
        <v>5.68</v>
      </c>
      <c r="CW86" s="30">
        <f t="shared" si="12"/>
        <v>0.2673003802</v>
      </c>
      <c r="CX86" s="31">
        <f t="shared" si="19"/>
        <v>0.466769741</v>
      </c>
      <c r="CY86" s="41"/>
      <c r="CZ86" s="41"/>
      <c r="DA86" s="41" t="s">
        <v>781</v>
      </c>
      <c r="DB86" s="41" t="s">
        <v>765</v>
      </c>
      <c r="DC86" s="41" t="s">
        <v>782</v>
      </c>
      <c r="DD86" s="41"/>
      <c r="DE86" s="41"/>
      <c r="DF86" s="41"/>
      <c r="DG86" s="41"/>
      <c r="DH86" s="41"/>
      <c r="DI86" s="41"/>
      <c r="DJ86" s="41"/>
      <c r="DK86" s="41"/>
      <c r="DL86" s="41"/>
      <c r="DM86" s="45"/>
    </row>
    <row r="87" ht="21.75" customHeight="1">
      <c r="A87" s="89">
        <v>83.0</v>
      </c>
      <c r="B87" s="41" t="s">
        <v>783</v>
      </c>
      <c r="C87" s="43" t="s">
        <v>784</v>
      </c>
      <c r="D87" s="41" t="s">
        <v>138</v>
      </c>
      <c r="E87" s="90">
        <v>43751.0</v>
      </c>
      <c r="F87" s="43" t="s">
        <v>109</v>
      </c>
      <c r="G87" s="36" t="s">
        <v>110</v>
      </c>
      <c r="H87" s="41"/>
      <c r="I87" s="41" t="s">
        <v>148</v>
      </c>
      <c r="J87" s="41" t="s">
        <v>774</v>
      </c>
      <c r="K87" s="43">
        <v>2.0</v>
      </c>
      <c r="L87" s="43">
        <v>82.0</v>
      </c>
      <c r="M87" s="43" t="s">
        <v>775</v>
      </c>
      <c r="N87" s="36" t="s">
        <v>151</v>
      </c>
      <c r="O87" s="34">
        <f t="shared" si="23"/>
        <v>100</v>
      </c>
      <c r="P87" s="34">
        <f t="shared" si="21"/>
        <v>100</v>
      </c>
      <c r="Q87" s="43">
        <v>100.0</v>
      </c>
      <c r="R87" s="41"/>
      <c r="S87" s="41">
        <v>70.0</v>
      </c>
      <c r="T87" s="41" t="s">
        <v>776</v>
      </c>
      <c r="U87" s="43">
        <v>30.0</v>
      </c>
      <c r="V87" s="43">
        <v>20.0</v>
      </c>
      <c r="W87" s="43">
        <v>15.0</v>
      </c>
      <c r="X87" s="41">
        <v>25.0</v>
      </c>
      <c r="Y87" s="41"/>
      <c r="Z87" s="41"/>
      <c r="AA87" s="37">
        <f>Calcs!O87</f>
        <v>490.9</v>
      </c>
      <c r="AB87" s="41" t="s">
        <v>777</v>
      </c>
      <c r="AC87" s="41" t="s">
        <v>785</v>
      </c>
      <c r="AD87" s="41" t="s">
        <v>253</v>
      </c>
      <c r="AE87" s="36">
        <v>2.5</v>
      </c>
      <c r="AF87" s="36" t="s">
        <v>123</v>
      </c>
      <c r="AG87" s="65">
        <v>22.0</v>
      </c>
      <c r="AH87" s="36" t="s">
        <v>170</v>
      </c>
      <c r="AI87" s="41"/>
      <c r="AJ87" s="41" t="s">
        <v>116</v>
      </c>
      <c r="AK87" s="41"/>
      <c r="AL87" s="41" t="s">
        <v>786</v>
      </c>
      <c r="AM87" s="41"/>
      <c r="AN87" s="43">
        <v>14.0</v>
      </c>
      <c r="AO87" s="41">
        <v>10.0</v>
      </c>
      <c r="AP87" s="41"/>
      <c r="AQ87" s="41" t="s">
        <v>254</v>
      </c>
      <c r="AR87" s="41"/>
      <c r="AS87" s="41">
        <v>1000.0</v>
      </c>
      <c r="AT87" s="14" t="str">
        <f t="shared" si="35"/>
        <v/>
      </c>
      <c r="AU87" s="24"/>
      <c r="AV87" s="74">
        <v>840.0</v>
      </c>
      <c r="AW87" s="17">
        <f t="shared" si="4"/>
        <v>589.08</v>
      </c>
      <c r="AX87" s="36" t="s">
        <v>779</v>
      </c>
      <c r="AY87" s="36">
        <v>26.2</v>
      </c>
      <c r="AZ87" s="36"/>
      <c r="BA87" s="36"/>
      <c r="BB87" s="36"/>
      <c r="BC87" s="36"/>
      <c r="BD87" s="34"/>
      <c r="BE87" s="34"/>
      <c r="BF87" s="34"/>
      <c r="BG87" s="34"/>
      <c r="BH87" s="18">
        <f t="shared" si="25"/>
        <v>26.2</v>
      </c>
      <c r="BI87" s="19">
        <f>ifs(BH87=0,"na",BH87="NR","NR",BH87="?","?",BK87&gt;0,"?",iserror(Calcs!AB87),"?",1,Calcs!AB87)</f>
        <v>0.5726600436</v>
      </c>
      <c r="BJ87" s="41" t="s">
        <v>282</v>
      </c>
      <c r="BK87" s="41"/>
      <c r="BL87" s="18">
        <f t="shared" si="6"/>
        <v>26.2</v>
      </c>
      <c r="BM87" s="41"/>
      <c r="BN87" s="41"/>
      <c r="BO87" s="41" t="s">
        <v>382</v>
      </c>
      <c r="BP87" s="20">
        <f>ifs(isblank(AX87),0,BH87="NR","NR",BH87="?","?",1,(AY87*vlookup(AX87,Ores[],2,FALSE)+if(isblank(AZ87),0,BA87*vlookup(AZ87,Ores[],2,FALSE))+if(isblank(BB87),0,BC87*vlookup(BB87,Ores[],2,FALSE))+if(isblank(BD87),0,BE87*vlookup(BD87,Ores[],2,FALSE))+if(isblank(BF87),0,BG87*vlookup(BF87,Ores[],2,FALSE)))/BH87)</f>
        <v>3.967741935</v>
      </c>
      <c r="BQ87" s="20">
        <f>ifs(isblank(AX87),0,BH87="NR","NR",BH87="?","?",1,(AY87*vlookup(AX87,Ores[],4,FALSE)+if(isblank(AZ87),0,BA87*vlookup(AZ87,Ores[],4,FALSE))+if(isblank(BB87),0,BC87*vlookup(BB87,Ores[],4,FALSE))+if(isblank(BD87),0,BE87*vlookup(BD87,Ores[],4,FALSE))+if(isblank(BF87),0,BG87*vlookup(BF87,Ores[],4,FALSE)))/BH87)</f>
        <v>2.063225806</v>
      </c>
      <c r="BR87" s="21">
        <f>ifs(isblank(AX87),0,BH87="NR","NR",BH87="?","?",1,(AY87*vlookup(AX87,Ores[],8,FALSE)+if(isblank(AZ87),0,BA87*vlookup(AZ87,Ores[],8,FALSE))+if(isblank(BB87),0,BC87*vlookup(BB87,Ores[],8,FALSE))+if(isblank(BD87),0,BE87*vlookup(BD87,Ores[],8,FALSE))+if(isblank(BF87),0,BG87*vlookup(BF87,Ores[],8,FALSE)))/BH87)</f>
        <v>0</v>
      </c>
      <c r="BS87" s="21">
        <f>ifs(isblank(AX87),0,BH87="NR","NR",BH87="?","?",1,(AY87*vlookup(AX87,Ores[],7,FALSE)+if(isblank(AZ87),0,BA87*vlookup(AZ87,Ores[],7,FALSE))+if(isblank(BB87),0,BC87*vlookup(BB87,Ores[],7,FALSE))+if(isblank(BD87),0,BE87*vlookup(BD87,Ores[],7,FALSE))+if(isblank(BF87),0,BG87*vlookup(BF87,Ores[],7,FALSE)))/BH87)</f>
        <v>0</v>
      </c>
      <c r="BT87" s="21">
        <f>ifs(isblank(AX87),0,BH87="NR","NR",BH87="?","?",1,(AY87*vlookup(AX87,Ores[],3,FALSE)+if(isblank(AZ87),0,BA87*vlookup(AZ87,Ores[],3,FALSE))+if(isblank(BB87),0,BC87*vlookup(BB87,Ores[],3,FALSE))+if(isblank(BD87),0,BE87*vlookup(BD87,Ores[],3,FALSE))+if(isblank(BF87),0,BG87*vlookup(BF87,Ores[],3,FALSE)))/BH87)</f>
        <v>1.587096774</v>
      </c>
      <c r="BU87" s="21">
        <f>ifs(isblank(AX87),0,BH87="NR","NR",BH87="?","?",1,(AY87*vlookup(AX87,Ores[],5,FALSE)+if(isblank(AZ87),0,BA87*vlookup(AZ87,Ores[],5,FALSE))+if(isblank(BB87),0,BC87*vlookup(BB87,Ores[],5,FALSE))+if(isblank(BD87),0,BE87*vlookup(BD87,Ores[],5,FALSE))+if(isblank(BF87),0,BG87*vlookup(BF87,Ores[],5,FALSE)))/BH87)</f>
        <v>0</v>
      </c>
      <c r="BV87" s="22">
        <f t="shared" si="30"/>
        <v>6.3125</v>
      </c>
      <c r="BW87" s="40">
        <v>91.0</v>
      </c>
      <c r="BX87" s="41">
        <v>48.0</v>
      </c>
      <c r="BY87" s="47"/>
      <c r="BZ87" s="56">
        <f t="shared" si="31"/>
        <v>12.66666667</v>
      </c>
      <c r="CA87" s="53">
        <f t="shared" si="32"/>
        <v>6.597222222</v>
      </c>
      <c r="CB87" s="41" t="s">
        <v>461</v>
      </c>
      <c r="CC87" s="41" t="s">
        <v>489</v>
      </c>
      <c r="CD87" s="28">
        <f t="shared" si="33"/>
        <v>6.597222222</v>
      </c>
      <c r="CE87" s="43">
        <f t="shared" si="34"/>
        <v>190</v>
      </c>
      <c r="CF87" s="41"/>
      <c r="CG87" s="43"/>
      <c r="CH87" s="43">
        <v>71.0</v>
      </c>
      <c r="CI87" s="43">
        <v>261.0</v>
      </c>
      <c r="CJ87" s="43">
        <v>303.0</v>
      </c>
      <c r="CK87" s="43">
        <v>15.0</v>
      </c>
      <c r="CL87" s="43">
        <v>13.44</v>
      </c>
      <c r="CM87" s="43">
        <v>7.0</v>
      </c>
      <c r="CN87" s="43">
        <v>28.8</v>
      </c>
      <c r="CO87" s="43">
        <v>15.0</v>
      </c>
      <c r="CP87" s="43">
        <v>1.92</v>
      </c>
      <c r="CQ87" s="43">
        <v>1.0</v>
      </c>
      <c r="CR87" s="41" t="s">
        <v>257</v>
      </c>
      <c r="CS87" s="53">
        <v>6.3</v>
      </c>
      <c r="CT87" s="43" t="s">
        <v>216</v>
      </c>
      <c r="CU87" s="27">
        <v>1035.0</v>
      </c>
      <c r="CV87" s="58">
        <v>6.31</v>
      </c>
      <c r="CW87" s="30">
        <f t="shared" si="12"/>
        <v>0.2404580153</v>
      </c>
      <c r="CX87" s="31">
        <f t="shared" si="19"/>
        <v>0.4198966175</v>
      </c>
      <c r="CY87" s="41"/>
      <c r="CZ87" s="41"/>
      <c r="DA87" s="41" t="s">
        <v>781</v>
      </c>
      <c r="DB87" s="41" t="s">
        <v>787</v>
      </c>
      <c r="DC87" s="41" t="s">
        <v>788</v>
      </c>
      <c r="DD87" s="41"/>
      <c r="DE87" s="41"/>
      <c r="DF87" s="41"/>
      <c r="DG87" s="41"/>
      <c r="DH87" s="41"/>
      <c r="DI87" s="41"/>
      <c r="DJ87" s="41"/>
      <c r="DK87" s="41"/>
      <c r="DL87" s="41"/>
      <c r="DM87" s="45"/>
    </row>
    <row r="88" ht="21.75" customHeight="1">
      <c r="A88" s="89">
        <v>84.0</v>
      </c>
      <c r="B88" s="41" t="s">
        <v>789</v>
      </c>
      <c r="C88" s="43" t="s">
        <v>790</v>
      </c>
      <c r="D88" s="41" t="s">
        <v>138</v>
      </c>
      <c r="E88" s="90">
        <v>43768.0</v>
      </c>
      <c r="F88" s="43" t="s">
        <v>109</v>
      </c>
      <c r="G88" s="36" t="s">
        <v>110</v>
      </c>
      <c r="H88" s="41"/>
      <c r="I88" s="41" t="s">
        <v>148</v>
      </c>
      <c r="J88" s="41" t="s">
        <v>774</v>
      </c>
      <c r="K88" s="43">
        <v>3.0</v>
      </c>
      <c r="L88" s="43">
        <v>82.0</v>
      </c>
      <c r="M88" s="43" t="s">
        <v>775</v>
      </c>
      <c r="N88" s="36" t="s">
        <v>151</v>
      </c>
      <c r="O88" s="34">
        <f t="shared" si="23"/>
        <v>100</v>
      </c>
      <c r="P88" s="34">
        <f t="shared" si="21"/>
        <v>100</v>
      </c>
      <c r="Q88" s="43">
        <v>100.0</v>
      </c>
      <c r="R88" s="41"/>
      <c r="S88" s="41">
        <v>70.0</v>
      </c>
      <c r="T88" s="41" t="s">
        <v>776</v>
      </c>
      <c r="U88" s="43">
        <v>30.0</v>
      </c>
      <c r="V88" s="43">
        <v>20.0</v>
      </c>
      <c r="W88" s="43">
        <v>15.0</v>
      </c>
      <c r="X88" s="41">
        <v>25.0</v>
      </c>
      <c r="Y88" s="41"/>
      <c r="Z88" s="41"/>
      <c r="AA88" s="37">
        <f>Calcs!O88</f>
        <v>490.9</v>
      </c>
      <c r="AB88" s="41" t="s">
        <v>777</v>
      </c>
      <c r="AC88" s="41" t="s">
        <v>116</v>
      </c>
      <c r="AD88" s="41" t="s">
        <v>253</v>
      </c>
      <c r="AE88" s="36">
        <v>2.5</v>
      </c>
      <c r="AF88" s="36" t="s">
        <v>123</v>
      </c>
      <c r="AG88" s="65">
        <v>22.0</v>
      </c>
      <c r="AH88" s="36" t="s">
        <v>170</v>
      </c>
      <c r="AI88" s="41"/>
      <c r="AJ88" s="41" t="s">
        <v>116</v>
      </c>
      <c r="AK88" s="41"/>
      <c r="AL88" s="41" t="s">
        <v>184</v>
      </c>
      <c r="AM88" s="41"/>
      <c r="AN88" s="43">
        <v>14.0</v>
      </c>
      <c r="AO88" s="41">
        <v>15.0</v>
      </c>
      <c r="AP88" s="41"/>
      <c r="AQ88" s="41" t="s">
        <v>254</v>
      </c>
      <c r="AR88" s="41"/>
      <c r="AS88" s="41">
        <v>1000.0</v>
      </c>
      <c r="AT88" s="14" t="str">
        <f t="shared" si="35"/>
        <v/>
      </c>
      <c r="AU88" s="24"/>
      <c r="AV88" s="74">
        <v>840.0</v>
      </c>
      <c r="AW88" s="17">
        <f t="shared" si="4"/>
        <v>589.08</v>
      </c>
      <c r="AX88" s="36" t="s">
        <v>779</v>
      </c>
      <c r="AY88" s="36">
        <v>26.0</v>
      </c>
      <c r="AZ88" s="36"/>
      <c r="BA88" s="36"/>
      <c r="BB88" s="36"/>
      <c r="BC88" s="36"/>
      <c r="BD88" s="34"/>
      <c r="BE88" s="34"/>
      <c r="BF88" s="34"/>
      <c r="BG88" s="34"/>
      <c r="BH88" s="18">
        <f t="shared" si="25"/>
        <v>26</v>
      </c>
      <c r="BI88" s="19">
        <f>ifs(BH88=0,"na",BH88="NR","NR",BH88="?","?",BK88&gt;0,"?",iserror(Calcs!AB88),"?",1,Calcs!AB88)</f>
        <v>0.5726600436</v>
      </c>
      <c r="BJ88" s="41" t="s">
        <v>282</v>
      </c>
      <c r="BK88" s="41"/>
      <c r="BL88" s="18">
        <f t="shared" si="6"/>
        <v>26</v>
      </c>
      <c r="BM88" s="41"/>
      <c r="BN88" s="41"/>
      <c r="BO88" s="41" t="s">
        <v>382</v>
      </c>
      <c r="BP88" s="20">
        <f>ifs(isblank(AX88),0,BH88="NR","NR",BH88="?","?",1,(AY88*vlookup(AX88,Ores[],2,FALSE)+if(isblank(AZ88),0,BA88*vlookup(AZ88,Ores[],2,FALSE))+if(isblank(BB88),0,BC88*vlookup(BB88,Ores[],2,FALSE))+if(isblank(BD88),0,BE88*vlookup(BD88,Ores[],2,FALSE))+if(isblank(BF88),0,BG88*vlookup(BF88,Ores[],2,FALSE)))/BH88)</f>
        <v>3.967741935</v>
      </c>
      <c r="BQ88" s="20">
        <f>ifs(isblank(AX88),0,BH88="NR","NR",BH88="?","?",1,(AY88*vlookup(AX88,Ores[],4,FALSE)+if(isblank(AZ88),0,BA88*vlookup(AZ88,Ores[],4,FALSE))+if(isblank(BB88),0,BC88*vlookup(BB88,Ores[],4,FALSE))+if(isblank(BD88),0,BE88*vlookup(BD88,Ores[],4,FALSE))+if(isblank(BF88),0,BG88*vlookup(BF88,Ores[],4,FALSE)))/BH88)</f>
        <v>2.063225806</v>
      </c>
      <c r="BR88" s="21">
        <f>ifs(isblank(AX88),0,BH88="NR","NR",BH88="?","?",1,(AY88*vlookup(AX88,Ores[],8,FALSE)+if(isblank(AZ88),0,BA88*vlookup(AZ88,Ores[],8,FALSE))+if(isblank(BB88),0,BC88*vlookup(BB88,Ores[],8,FALSE))+if(isblank(BD88),0,BE88*vlookup(BD88,Ores[],8,FALSE))+if(isblank(BF88),0,BG88*vlookup(BF88,Ores[],8,FALSE)))/BH88)</f>
        <v>0</v>
      </c>
      <c r="BS88" s="21">
        <f>ifs(isblank(AX88),0,BH88="NR","NR",BH88="?","?",1,(AY88*vlookup(AX88,Ores[],7,FALSE)+if(isblank(AZ88),0,BA88*vlookup(AZ88,Ores[],7,FALSE))+if(isblank(BB88),0,BC88*vlookup(BB88,Ores[],7,FALSE))+if(isblank(BD88),0,BE88*vlookup(BD88,Ores[],7,FALSE))+if(isblank(BF88),0,BG88*vlookup(BF88,Ores[],7,FALSE)))/BH88)</f>
        <v>0</v>
      </c>
      <c r="BT88" s="21">
        <f>ifs(isblank(AX88),0,BH88="NR","NR",BH88="?","?",1,(AY88*vlookup(AX88,Ores[],3,FALSE)+if(isblank(AZ88),0,BA88*vlookup(AZ88,Ores[],3,FALSE))+if(isblank(BB88),0,BC88*vlookup(BB88,Ores[],3,FALSE))+if(isblank(BD88),0,BE88*vlookup(BD88,Ores[],3,FALSE))+if(isblank(BF88),0,BG88*vlookup(BF88,Ores[],3,FALSE)))/BH88)</f>
        <v>1.587096774</v>
      </c>
      <c r="BU88" s="21">
        <f>ifs(isblank(AX88),0,BH88="NR","NR",BH88="?","?",1,(AY88*vlookup(AX88,Ores[],5,FALSE)+if(isblank(AZ88),0,BA88*vlookup(AZ88,Ores[],5,FALSE))+if(isblank(BB88),0,BC88*vlookup(BB88,Ores[],5,FALSE))+if(isblank(BD88),0,BE88*vlookup(BD88,Ores[],5,FALSE))+if(isblank(BF88),0,BG88*vlookup(BF88,Ores[],5,FALSE)))/BH88)</f>
        <v>0</v>
      </c>
      <c r="BV88" s="22" t="str">
        <f t="shared" si="30"/>
        <v>NR</v>
      </c>
      <c r="BW88" s="40">
        <v>120.0</v>
      </c>
      <c r="BX88" s="41">
        <v>49.0</v>
      </c>
      <c r="BY88" s="47"/>
      <c r="BZ88" s="56">
        <f t="shared" si="31"/>
        <v>13.86666667</v>
      </c>
      <c r="CA88" s="53">
        <f t="shared" si="32"/>
        <v>7.703703704</v>
      </c>
      <c r="CB88" s="41" t="s">
        <v>461</v>
      </c>
      <c r="CC88" s="41" t="s">
        <v>489</v>
      </c>
      <c r="CD88" s="28">
        <f t="shared" si="33"/>
        <v>7.703703704</v>
      </c>
      <c r="CE88" s="43">
        <f t="shared" si="34"/>
        <v>208</v>
      </c>
      <c r="CF88" s="41"/>
      <c r="CG88" s="43"/>
      <c r="CH88" s="43">
        <v>86.0</v>
      </c>
      <c r="CI88" s="43">
        <v>294.0</v>
      </c>
      <c r="CJ88" s="43" t="s">
        <v>116</v>
      </c>
      <c r="CK88" s="43">
        <v>15.0</v>
      </c>
      <c r="CL88" s="43">
        <v>14.4</v>
      </c>
      <c r="CM88" s="43">
        <v>8.0</v>
      </c>
      <c r="CN88" s="43">
        <v>27.0</v>
      </c>
      <c r="CO88" s="43">
        <v>15.0</v>
      </c>
      <c r="CP88" s="43">
        <v>1.8</v>
      </c>
      <c r="CQ88" s="43">
        <v>1.0</v>
      </c>
      <c r="CR88" s="41" t="s">
        <v>257</v>
      </c>
      <c r="CS88" s="53">
        <v>6.8</v>
      </c>
      <c r="CT88" s="43" t="s">
        <v>216</v>
      </c>
      <c r="CU88" s="30"/>
      <c r="CV88" s="58">
        <v>6.87</v>
      </c>
      <c r="CW88" s="30">
        <f t="shared" si="12"/>
        <v>0.2615384615</v>
      </c>
      <c r="CX88" s="31">
        <f t="shared" si="19"/>
        <v>0.4567080669</v>
      </c>
      <c r="CY88" s="41"/>
      <c r="CZ88" s="41"/>
      <c r="DA88" s="41" t="s">
        <v>781</v>
      </c>
      <c r="DB88" s="41"/>
      <c r="DC88" s="41" t="s">
        <v>791</v>
      </c>
      <c r="DD88" s="41"/>
      <c r="DE88" s="41"/>
      <c r="DF88" s="41"/>
      <c r="DG88" s="41"/>
      <c r="DH88" s="41"/>
      <c r="DI88" s="41"/>
      <c r="DJ88" s="41"/>
      <c r="DK88" s="41"/>
      <c r="DL88" s="41"/>
      <c r="DM88" s="45"/>
    </row>
    <row r="89" ht="21.75" customHeight="1">
      <c r="A89" s="91" t="s">
        <v>792</v>
      </c>
      <c r="B89" s="41" t="s">
        <v>793</v>
      </c>
      <c r="C89" s="43" t="s">
        <v>790</v>
      </c>
      <c r="D89" s="41" t="s">
        <v>138</v>
      </c>
      <c r="E89" s="90">
        <v>44002.0</v>
      </c>
      <c r="F89" s="34" t="s">
        <v>109</v>
      </c>
      <c r="G89" s="36" t="s">
        <v>110</v>
      </c>
      <c r="H89" s="41"/>
      <c r="I89" s="43" t="s">
        <v>606</v>
      </c>
      <c r="J89" s="43" t="s">
        <v>590</v>
      </c>
      <c r="K89" s="41"/>
      <c r="L89" s="41"/>
      <c r="M89" s="43" t="s">
        <v>150</v>
      </c>
      <c r="N89" s="36" t="s">
        <v>168</v>
      </c>
      <c r="O89" s="34">
        <f t="shared" si="23"/>
        <v>66</v>
      </c>
      <c r="P89" s="34">
        <f t="shared" si="21"/>
        <v>66</v>
      </c>
      <c r="Q89" s="43">
        <v>66.0</v>
      </c>
      <c r="R89" s="41"/>
      <c r="S89" s="41">
        <v>45.0</v>
      </c>
      <c r="T89" s="41" t="s">
        <v>794</v>
      </c>
      <c r="U89" s="41">
        <v>28.0</v>
      </c>
      <c r="V89" s="41"/>
      <c r="W89" s="41"/>
      <c r="X89" s="41"/>
      <c r="Y89" s="41"/>
      <c r="Z89" s="41"/>
      <c r="AA89" s="37">
        <f>Calcs!O89</f>
        <v>615.8</v>
      </c>
      <c r="AB89" s="41" t="s">
        <v>795</v>
      </c>
      <c r="AC89" s="41" t="s">
        <v>360</v>
      </c>
      <c r="AD89" s="41" t="s">
        <v>253</v>
      </c>
      <c r="AE89" s="36">
        <v>2.5</v>
      </c>
      <c r="AF89" s="36" t="s">
        <v>123</v>
      </c>
      <c r="AG89" s="65">
        <v>22.0</v>
      </c>
      <c r="AH89" s="36" t="s">
        <v>170</v>
      </c>
      <c r="AI89" s="41"/>
      <c r="AJ89" s="41">
        <v>5.0</v>
      </c>
      <c r="AK89" s="41"/>
      <c r="AL89" s="41" t="s">
        <v>184</v>
      </c>
      <c r="AM89" s="41"/>
      <c r="AN89" s="43">
        <v>12.0</v>
      </c>
      <c r="AO89" s="41">
        <v>20.0</v>
      </c>
      <c r="AP89" s="41"/>
      <c r="AQ89" s="41" t="s">
        <v>254</v>
      </c>
      <c r="AR89" s="43">
        <v>900.0</v>
      </c>
      <c r="AS89" s="43">
        <v>1000.0</v>
      </c>
      <c r="AT89" s="14">
        <f t="shared" si="35"/>
        <v>950</v>
      </c>
      <c r="AU89" s="24"/>
      <c r="AV89" s="74" t="s">
        <v>740</v>
      </c>
      <c r="AW89" s="17">
        <f t="shared" si="4"/>
        <v>738.96</v>
      </c>
      <c r="AX89" s="36" t="s">
        <v>544</v>
      </c>
      <c r="AY89" s="36">
        <v>25.0</v>
      </c>
      <c r="AZ89" s="36"/>
      <c r="BA89" s="36"/>
      <c r="BB89" s="34"/>
      <c r="BC89" s="34"/>
      <c r="BD89" s="34"/>
      <c r="BE89" s="34"/>
      <c r="BF89" s="34"/>
      <c r="BG89" s="34"/>
      <c r="BH89" s="18">
        <f t="shared" si="25"/>
        <v>25</v>
      </c>
      <c r="BI89" s="19" t="str">
        <f>ifs(BH89=0,"na",BH89="NR","NR",BH89="?","?",BK89&gt;0,"?",iserror(Calcs!AB89),"?",1,Calcs!AB89)</f>
        <v>?</v>
      </c>
      <c r="BJ89" s="41" t="s">
        <v>282</v>
      </c>
      <c r="BK89" s="43">
        <v>1.0</v>
      </c>
      <c r="BL89" s="18">
        <f t="shared" si="6"/>
        <v>26</v>
      </c>
      <c r="BM89" s="41">
        <v>4.0</v>
      </c>
      <c r="BN89" s="41"/>
      <c r="BO89" s="41" t="s">
        <v>382</v>
      </c>
      <c r="BP89" s="20">
        <f>ifs(isblank(AX89),0,BH89="NR","NR",BH89="?","?",1,(AY89*vlookup(AX89,Ores[],2,FALSE)+if(isblank(AZ89),0,BA89*vlookup(AZ89,Ores[],2,FALSE))+if(isblank(BB89),0,BC89*vlookup(BB89,Ores[],2,FALSE))+if(isblank(BD89),0,BE89*vlookup(BD89,Ores[],2,FALSE))+if(isblank(BF89),0,BG89*vlookup(BF89,Ores[],2,FALSE)))/BH89)</f>
        <v>4.838709677</v>
      </c>
      <c r="BQ89" s="20">
        <f>ifs(isblank(AX89),0,BH89="NR","NR",BH89="?","?",1,(AY89*vlookup(AX89,Ores[],4,FALSE)+if(isblank(AZ89),0,BA89*vlookup(AZ89,Ores[],4,FALSE))+if(isblank(BB89),0,BC89*vlookup(BB89,Ores[],4,FALSE))+if(isblank(BD89),0,BE89*vlookup(BD89,Ores[],4,FALSE))+if(isblank(BF89),0,BG89*vlookup(BF89,Ores[],4,FALSE)))/BH89)</f>
        <v>2.516129032</v>
      </c>
      <c r="BR89" s="21">
        <f>ifs(isblank(AX89),0,BH89="NR","NR",BH89="?","?",1,(AY89*vlookup(AX89,Ores[],8,FALSE)+if(isblank(AZ89),0,BA89*vlookup(AZ89,Ores[],8,FALSE))+if(isblank(BB89),0,BC89*vlookup(BB89,Ores[],8,FALSE))+if(isblank(BD89),0,BE89*vlookup(BD89,Ores[],8,FALSE))+if(isblank(BF89),0,BG89*vlookup(BF89,Ores[],8,FALSE)))/BH89)</f>
        <v>0</v>
      </c>
      <c r="BS89" s="21">
        <f>ifs(isblank(AX89),0,BH89="NR","NR",BH89="?","?",1,(AY89*vlookup(AX89,Ores[],7,FALSE)+if(isblank(AZ89),0,BA89*vlookup(AZ89,Ores[],7,FALSE))+if(isblank(BB89),0,BC89*vlookup(BB89,Ores[],7,FALSE))+if(isblank(BD89),0,BE89*vlookup(BD89,Ores[],7,FALSE))+if(isblank(BF89),0,BG89*vlookup(BF89,Ores[],7,FALSE)))/BH89)</f>
        <v>0</v>
      </c>
      <c r="BT89" s="21">
        <f>ifs(isblank(AX89),0,BH89="NR","NR",BH89="?","?",1,(AY89*vlookup(AX89,Ores[],3,FALSE)+if(isblank(AZ89),0,BA89*vlookup(AZ89,Ores[],3,FALSE))+if(isblank(BB89),0,BC89*vlookup(BB89,Ores[],3,FALSE))+if(isblank(BD89),0,BE89*vlookup(BD89,Ores[],3,FALSE))+if(isblank(BF89),0,BG89*vlookup(BF89,Ores[],3,FALSE)))/BH89)</f>
        <v>1.935483871</v>
      </c>
      <c r="BU89" s="21">
        <f>ifs(isblank(AX89),0,BH89="NR","NR",BH89="?","?",1,(AY89*vlookup(AX89,Ores[],5,FALSE)+if(isblank(AZ89),0,BA89*vlookup(AZ89,Ores[],5,FALSE))+if(isblank(BB89),0,BC89*vlookup(BB89,Ores[],5,FALSE))+if(isblank(BD89),0,BE89*vlookup(BD89,Ores[],5,FALSE))+if(isblank(BF89),0,BG89*vlookup(BF89,Ores[],5,FALSE)))/BH89)</f>
        <v>0</v>
      </c>
      <c r="BV89" s="22">
        <f t="shared" si="30"/>
        <v>6.807692308</v>
      </c>
      <c r="BW89" s="40">
        <v>125.0</v>
      </c>
      <c r="BX89" s="41">
        <v>52.0</v>
      </c>
      <c r="BY89" s="47"/>
      <c r="BZ89" s="56">
        <f t="shared" si="31"/>
        <v>13.42857143</v>
      </c>
      <c r="CA89" s="53">
        <f t="shared" si="32"/>
        <v>7.46031746</v>
      </c>
      <c r="CB89" s="41" t="s">
        <v>461</v>
      </c>
      <c r="CC89" s="41" t="s">
        <v>489</v>
      </c>
      <c r="CD89" s="28">
        <f t="shared" si="33"/>
        <v>7.46031746</v>
      </c>
      <c r="CE89" s="43">
        <f t="shared" si="34"/>
        <v>188</v>
      </c>
      <c r="CF89" s="41"/>
      <c r="CG89" s="43">
        <v>66.0</v>
      </c>
      <c r="CH89" s="43">
        <v>117.0</v>
      </c>
      <c r="CI89" s="43">
        <v>305.0</v>
      </c>
      <c r="CJ89" s="43">
        <v>354.0</v>
      </c>
      <c r="CK89" s="43">
        <v>14.0</v>
      </c>
      <c r="CL89" s="43">
        <v>15.3</v>
      </c>
      <c r="CM89" s="43">
        <v>9.0</v>
      </c>
      <c r="CN89" s="43">
        <v>25.2</v>
      </c>
      <c r="CO89" s="43">
        <v>14.0</v>
      </c>
      <c r="CP89" s="43">
        <v>1.8</v>
      </c>
      <c r="CQ89" s="43">
        <v>1.0</v>
      </c>
      <c r="CR89" s="41" t="s">
        <v>257</v>
      </c>
      <c r="CS89" s="53">
        <v>2.6</v>
      </c>
      <c r="CT89" s="43" t="s">
        <v>796</v>
      </c>
      <c r="CU89" s="30"/>
      <c r="CV89" s="29"/>
      <c r="CW89" s="30">
        <f t="shared" si="12"/>
        <v>0.1</v>
      </c>
      <c r="CX89" s="31" t="str">
        <f t="shared" si="19"/>
        <v>?</v>
      </c>
      <c r="CY89" s="41"/>
      <c r="CZ89" s="41"/>
      <c r="DA89" s="41" t="s">
        <v>797</v>
      </c>
      <c r="DB89" s="41" t="s">
        <v>798</v>
      </c>
      <c r="DC89" s="41" t="s">
        <v>799</v>
      </c>
      <c r="DD89" s="41"/>
      <c r="DE89" s="41"/>
      <c r="DF89" s="41"/>
      <c r="DG89" s="41"/>
      <c r="DH89" s="41"/>
      <c r="DI89" s="41"/>
      <c r="DJ89" s="41"/>
      <c r="DK89" s="41"/>
      <c r="DL89" s="41"/>
      <c r="DM89" s="45"/>
    </row>
    <row r="90" ht="21.75" customHeight="1">
      <c r="A90" s="89">
        <v>86.0</v>
      </c>
      <c r="B90" s="41" t="s">
        <v>800</v>
      </c>
      <c r="C90" s="41" t="s">
        <v>801</v>
      </c>
      <c r="D90" s="41" t="s">
        <v>138</v>
      </c>
      <c r="E90" s="90">
        <v>44115.0</v>
      </c>
      <c r="F90" s="41" t="s">
        <v>109</v>
      </c>
      <c r="G90" s="36" t="s">
        <v>110</v>
      </c>
      <c r="H90" s="36" t="s">
        <v>249</v>
      </c>
      <c r="I90" s="41" t="s">
        <v>148</v>
      </c>
      <c r="J90" s="41" t="s">
        <v>774</v>
      </c>
      <c r="K90" s="43">
        <v>4.0</v>
      </c>
      <c r="L90" s="43">
        <v>82.0</v>
      </c>
      <c r="M90" s="43" t="s">
        <v>775</v>
      </c>
      <c r="N90" s="36" t="s">
        <v>151</v>
      </c>
      <c r="O90" s="34">
        <f t="shared" si="23"/>
        <v>100</v>
      </c>
      <c r="P90" s="34">
        <f t="shared" si="21"/>
        <v>100</v>
      </c>
      <c r="Q90" s="43">
        <v>100.0</v>
      </c>
      <c r="R90" s="41"/>
      <c r="S90" s="41">
        <v>70.0</v>
      </c>
      <c r="T90" s="41" t="s">
        <v>776</v>
      </c>
      <c r="U90" s="43">
        <v>30.0</v>
      </c>
      <c r="V90" s="43">
        <v>20.0</v>
      </c>
      <c r="W90" s="43">
        <v>15.0</v>
      </c>
      <c r="X90" s="41">
        <v>25.0</v>
      </c>
      <c r="Y90" s="41"/>
      <c r="Z90" s="41"/>
      <c r="AA90" s="37">
        <f>Calcs!O90</f>
        <v>490.9</v>
      </c>
      <c r="AB90" s="41" t="s">
        <v>777</v>
      </c>
      <c r="AC90" s="41" t="s">
        <v>778</v>
      </c>
      <c r="AD90" s="41" t="s">
        <v>253</v>
      </c>
      <c r="AE90" s="36">
        <v>2.5</v>
      </c>
      <c r="AF90" s="36" t="s">
        <v>123</v>
      </c>
      <c r="AG90" s="43">
        <v>25.0</v>
      </c>
      <c r="AH90" s="36" t="s">
        <v>170</v>
      </c>
      <c r="AI90" s="41"/>
      <c r="AJ90" s="41">
        <v>5.0</v>
      </c>
      <c r="AK90" s="41"/>
      <c r="AL90" s="43" t="s">
        <v>184</v>
      </c>
      <c r="AM90" s="43"/>
      <c r="AN90" s="43">
        <v>12.0</v>
      </c>
      <c r="AO90" s="41">
        <v>20.0</v>
      </c>
      <c r="AP90" s="41"/>
      <c r="AQ90" s="41" t="s">
        <v>254</v>
      </c>
      <c r="AR90" s="41"/>
      <c r="AS90" s="41">
        <v>1200.0</v>
      </c>
      <c r="AT90" s="14" t="str">
        <f t="shared" si="35"/>
        <v/>
      </c>
      <c r="AU90" s="24"/>
      <c r="AV90" s="74">
        <v>1008.0</v>
      </c>
      <c r="AW90" s="17">
        <f t="shared" si="4"/>
        <v>589.08</v>
      </c>
      <c r="AX90" s="36" t="s">
        <v>802</v>
      </c>
      <c r="AY90" s="36">
        <v>28.5</v>
      </c>
      <c r="AZ90" s="36"/>
      <c r="BA90" s="36"/>
      <c r="BB90" s="36"/>
      <c r="BC90" s="36"/>
      <c r="BD90" s="34"/>
      <c r="BE90" s="34"/>
      <c r="BF90" s="34"/>
      <c r="BG90" s="34"/>
      <c r="BH90" s="18">
        <f t="shared" si="25"/>
        <v>28.5</v>
      </c>
      <c r="BI90" s="19">
        <f>ifs(BH90=0,"na",BH90="NR","NR",BH90="?","?",BK90&gt;0,"?",iserror(Calcs!AB90),"?",1,Calcs!AB90)</f>
        <v>0.569949313</v>
      </c>
      <c r="BJ90" s="41" t="s">
        <v>282</v>
      </c>
      <c r="BK90" s="41"/>
      <c r="BL90" s="18">
        <f t="shared" si="6"/>
        <v>28.5</v>
      </c>
      <c r="BM90" s="41">
        <v>4.0</v>
      </c>
      <c r="BN90" s="41"/>
      <c r="BO90" s="41" t="s">
        <v>382</v>
      </c>
      <c r="BP90" s="20">
        <f>ifs(isblank(AX90),0,BH90="NR","NR",BH90="?","?",1,(AY90*vlookup(AX90,Ores[],2,FALSE)+if(isblank(AZ90),0,BA90*vlookup(AZ90,Ores[],2,FALSE))+if(isblank(BB90),0,BC90*vlookup(BB90,Ores[],2,FALSE))+if(isblank(BD90),0,BE90*vlookup(BD90,Ores[],2,FALSE))+if(isblank(BF90),0,BG90*vlookup(BF90,Ores[],2,FALSE)))/BH90)</f>
        <v>4.064516129</v>
      </c>
      <c r="BQ90" s="20">
        <f>ifs(isblank(AX90),0,BH90="NR","NR",BH90="?","?",1,(AY90*vlookup(AX90,Ores[],4,FALSE)+if(isblank(AZ90),0,BA90*vlookup(AZ90,Ores[],4,FALSE))+if(isblank(BB90),0,BC90*vlookup(BB90,Ores[],4,FALSE))+if(isblank(BD90),0,BE90*vlookup(BD90,Ores[],4,FALSE))+if(isblank(BF90),0,BG90*vlookup(BF90,Ores[],4,FALSE)))/BH90)</f>
        <v>2.113548387</v>
      </c>
      <c r="BR90" s="21">
        <f>ifs(isblank(AX90),0,BH90="NR","NR",BH90="?","?",1,(AY90*vlookup(AX90,Ores[],8,FALSE)+if(isblank(AZ90),0,BA90*vlookup(AZ90,Ores[],8,FALSE))+if(isblank(BB90),0,BC90*vlookup(BB90,Ores[],8,FALSE))+if(isblank(BD90),0,BE90*vlookup(BD90,Ores[],8,FALSE))+if(isblank(BF90),0,BG90*vlookup(BF90,Ores[],8,FALSE)))/BH90)</f>
        <v>0</v>
      </c>
      <c r="BS90" s="21">
        <f>ifs(isblank(AX90),0,BH90="NR","NR",BH90="?","?",1,(AY90*vlookup(AX90,Ores[],7,FALSE)+if(isblank(AZ90),0,BA90*vlookup(AZ90,Ores[],7,FALSE))+if(isblank(BB90),0,BC90*vlookup(BB90,Ores[],7,FALSE))+if(isblank(BD90),0,BE90*vlookup(BD90,Ores[],7,FALSE))+if(isblank(BF90),0,BG90*vlookup(BF90,Ores[],7,FALSE)))/BH90)</f>
        <v>0</v>
      </c>
      <c r="BT90" s="21">
        <f>ifs(isblank(AX90),0,BH90="NR","NR",BH90="?","?",1,(AY90*vlookup(AX90,Ores[],3,FALSE)+if(isblank(AZ90),0,BA90*vlookup(AZ90,Ores[],3,FALSE))+if(isblank(BB90),0,BC90*vlookup(BB90,Ores[],3,FALSE))+if(isblank(BD90),0,BE90*vlookup(BD90,Ores[],3,FALSE))+if(isblank(BF90),0,BG90*vlookup(BF90,Ores[],3,FALSE)))/BH90)</f>
        <v>1.625806452</v>
      </c>
      <c r="BU90" s="21">
        <f>ifs(isblank(AX90),0,BH90="NR","NR",BH90="?","?",1,(AY90*vlookup(AX90,Ores[],5,FALSE)+if(isblank(AZ90),0,BA90*vlookup(AZ90,Ores[],5,FALSE))+if(isblank(BB90),0,BC90*vlookup(BB90,Ores[],5,FALSE))+if(isblank(BD90),0,BE90*vlookup(BD90,Ores[],5,FALSE))+if(isblank(BF90),0,BG90*vlookup(BF90,Ores[],5,FALSE)))/BH90)</f>
        <v>0</v>
      </c>
      <c r="BV90" s="22" t="str">
        <f t="shared" si="30"/>
        <v>NR</v>
      </c>
      <c r="BW90" s="40">
        <v>90.0</v>
      </c>
      <c r="BX90" s="41">
        <v>59.0</v>
      </c>
      <c r="BY90" s="47"/>
      <c r="BZ90" s="56">
        <f t="shared" si="31"/>
        <v>14.86666667</v>
      </c>
      <c r="CA90" s="53">
        <f t="shared" si="32"/>
        <v>8.259259259</v>
      </c>
      <c r="CB90" s="43" t="s">
        <v>127</v>
      </c>
      <c r="CC90" s="41" t="s">
        <v>128</v>
      </c>
      <c r="CD90" s="28">
        <f t="shared" si="33"/>
        <v>8.259259259</v>
      </c>
      <c r="CE90" s="43">
        <f t="shared" si="34"/>
        <v>223</v>
      </c>
      <c r="CF90" s="41"/>
      <c r="CG90" s="43">
        <v>87.0</v>
      </c>
      <c r="CH90" s="43">
        <v>158.0</v>
      </c>
      <c r="CI90" s="43">
        <v>381.0</v>
      </c>
      <c r="CJ90" s="43" t="s">
        <v>116</v>
      </c>
      <c r="CK90" s="43">
        <v>15.0</v>
      </c>
      <c r="CL90" s="43">
        <v>19.8</v>
      </c>
      <c r="CM90" s="43">
        <v>10.0</v>
      </c>
      <c r="CN90" s="43">
        <v>27.0</v>
      </c>
      <c r="CO90" s="43">
        <v>15.0</v>
      </c>
      <c r="CP90" s="43">
        <v>3.6</v>
      </c>
      <c r="CQ90" s="43">
        <v>2.0</v>
      </c>
      <c r="CR90" s="41" t="s">
        <v>257</v>
      </c>
      <c r="CS90" s="53">
        <v>5.5</v>
      </c>
      <c r="CT90" s="43" t="s">
        <v>431</v>
      </c>
      <c r="CU90" s="30"/>
      <c r="CV90" s="29"/>
      <c r="CW90" s="30">
        <f t="shared" si="12"/>
        <v>0.1929824561</v>
      </c>
      <c r="CX90" s="31">
        <f t="shared" si="19"/>
        <v>0.338595822</v>
      </c>
      <c r="CY90" s="41"/>
      <c r="CZ90" s="41"/>
      <c r="DA90" s="41"/>
      <c r="DB90" s="41" t="s">
        <v>258</v>
      </c>
      <c r="DC90" s="41" t="s">
        <v>803</v>
      </c>
      <c r="DD90" s="41"/>
      <c r="DE90" s="41"/>
      <c r="DF90" s="41"/>
      <c r="DG90" s="41"/>
      <c r="DH90" s="41"/>
      <c r="DI90" s="41"/>
      <c r="DJ90" s="41"/>
      <c r="DK90" s="41"/>
      <c r="DL90" s="41"/>
      <c r="DM90" s="45"/>
    </row>
    <row r="91" ht="21.75" customHeight="1">
      <c r="A91" s="89" t="s">
        <v>804</v>
      </c>
      <c r="B91" s="41" t="s">
        <v>805</v>
      </c>
      <c r="C91" s="41" t="s">
        <v>137</v>
      </c>
      <c r="D91" s="41" t="s">
        <v>138</v>
      </c>
      <c r="E91" s="90">
        <v>44135.0</v>
      </c>
      <c r="F91" s="41" t="s">
        <v>109</v>
      </c>
      <c r="G91" s="36" t="s">
        <v>110</v>
      </c>
      <c r="H91" s="41"/>
      <c r="I91" s="43" t="s">
        <v>148</v>
      </c>
      <c r="J91" s="41" t="s">
        <v>774</v>
      </c>
      <c r="K91" s="43">
        <v>5.0</v>
      </c>
      <c r="L91" s="43">
        <v>82.0</v>
      </c>
      <c r="M91" s="43" t="s">
        <v>775</v>
      </c>
      <c r="N91" s="36" t="s">
        <v>151</v>
      </c>
      <c r="O91" s="34">
        <f t="shared" si="23"/>
        <v>100</v>
      </c>
      <c r="P91" s="34">
        <f t="shared" si="21"/>
        <v>100</v>
      </c>
      <c r="Q91" s="43">
        <v>100.0</v>
      </c>
      <c r="R91" s="41"/>
      <c r="S91" s="41">
        <v>70.0</v>
      </c>
      <c r="T91" s="41" t="s">
        <v>776</v>
      </c>
      <c r="U91" s="43">
        <v>30.0</v>
      </c>
      <c r="V91" s="43">
        <v>20.0</v>
      </c>
      <c r="W91" s="43">
        <v>15.0</v>
      </c>
      <c r="X91" s="41">
        <v>25.0</v>
      </c>
      <c r="Y91" s="41"/>
      <c r="Z91" s="41"/>
      <c r="AA91" s="37">
        <f>Calcs!O91</f>
        <v>490.9</v>
      </c>
      <c r="AB91" s="41" t="s">
        <v>777</v>
      </c>
      <c r="AC91" s="41" t="s">
        <v>806</v>
      </c>
      <c r="AD91" s="41" t="s">
        <v>253</v>
      </c>
      <c r="AE91" s="36">
        <v>2.5</v>
      </c>
      <c r="AF91" s="36" t="s">
        <v>123</v>
      </c>
      <c r="AG91" s="43">
        <v>25.0</v>
      </c>
      <c r="AH91" s="36" t="s">
        <v>170</v>
      </c>
      <c r="AI91" s="41"/>
      <c r="AJ91" s="41">
        <v>2.0</v>
      </c>
      <c r="AK91" s="41"/>
      <c r="AL91" s="41" t="s">
        <v>184</v>
      </c>
      <c r="AM91" s="41"/>
      <c r="AN91" s="43">
        <v>15.0</v>
      </c>
      <c r="AO91" s="41">
        <v>15.0</v>
      </c>
      <c r="AP91" s="41"/>
      <c r="AQ91" s="41" t="s">
        <v>254</v>
      </c>
      <c r="AR91" s="41"/>
      <c r="AS91" s="41">
        <v>900.0</v>
      </c>
      <c r="AT91" s="14" t="str">
        <f t="shared" si="35"/>
        <v/>
      </c>
      <c r="AU91" s="24"/>
      <c r="AV91" s="74">
        <v>756.0</v>
      </c>
      <c r="AW91" s="17">
        <f t="shared" si="4"/>
        <v>589.08</v>
      </c>
      <c r="AX91" s="36" t="s">
        <v>807</v>
      </c>
      <c r="AY91" s="36">
        <v>31.5</v>
      </c>
      <c r="AZ91" s="39" t="s">
        <v>295</v>
      </c>
      <c r="BA91" s="36">
        <v>14.0</v>
      </c>
      <c r="BB91" s="36" t="s">
        <v>281</v>
      </c>
      <c r="BC91" s="36">
        <v>6.5</v>
      </c>
      <c r="BD91" s="36" t="s">
        <v>155</v>
      </c>
      <c r="BE91" s="36">
        <v>6.5</v>
      </c>
      <c r="BF91" s="36"/>
      <c r="BG91" s="36"/>
      <c r="BH91" s="18">
        <f t="shared" si="25"/>
        <v>58.5</v>
      </c>
      <c r="BI91" s="19" t="str">
        <f>ifs(BH91=0,"na",BH91="NR","NR",BH91="?","?",BK91&gt;0,"?",iserror(Calcs!AB91),"?",1,Calcs!AB91)</f>
        <v>?</v>
      </c>
      <c r="BJ91" s="41" t="s">
        <v>223</v>
      </c>
      <c r="BK91" s="43">
        <v>6.5</v>
      </c>
      <c r="BL91" s="18">
        <f t="shared" si="6"/>
        <v>65</v>
      </c>
      <c r="BM91" s="41">
        <v>3.0</v>
      </c>
      <c r="BN91" s="41"/>
      <c r="BO91" s="41" t="s">
        <v>223</v>
      </c>
      <c r="BP91" s="20">
        <f>ifs(isblank(AX91),0,BH91="NR","NR",BH91="?","?",1,(AY91*vlookup(AX91,Ores[],2,FALSE)+if(isblank(AZ91),0,BA91*vlookup(AZ91,Ores[],2,FALSE))+if(isblank(BB91),0,BC91*vlookup(BB91,Ores[],2,FALSE))+if(isblank(BD91),0,BE91*vlookup(BD91,Ores[],2,FALSE))+if(isblank(BF91),0,BG91*vlookup(BF91,Ores[],2,FALSE)))/BH91)</f>
        <v>6.492106424</v>
      </c>
      <c r="BQ91" s="20">
        <f>ifs(isblank(AX91),0,BH91="NR","NR",BH91="?","?",1,(AY91*vlookup(AX91,Ores[],4,FALSE)+if(isblank(AZ91),0,BA91*vlookup(AZ91,Ores[],4,FALSE))+if(isblank(BB91),0,BC91*vlookup(BB91,Ores[],4,FALSE))+if(isblank(BD91),0,BE91*vlookup(BD91,Ores[],4,FALSE))+if(isblank(BF91),0,BG91*vlookup(BF91,Ores[],4,FALSE)))/BH91)</f>
        <v>2.447857734</v>
      </c>
      <c r="BR91" s="21">
        <f>ifs(isblank(AX91),0,BH91="NR","NR",BH91="?","?",1,(AY91*vlookup(AX91,Ores[],8,FALSE)+if(isblank(AZ91),0,BA91*vlookup(AZ91,Ores[],8,FALSE))+if(isblank(BB91),0,BC91*vlookup(BB91,Ores[],8,FALSE))+if(isblank(BD91),0,BE91*vlookup(BD91,Ores[],8,FALSE))+if(isblank(BF91),0,BG91*vlookup(BF91,Ores[],8,FALSE)))/BH91)</f>
        <v>1.009059829</v>
      </c>
      <c r="BS91" s="21">
        <f>ifs(isblank(AX91),0,BH91="NR","NR",BH91="?","?",1,(AY91*vlookup(AX91,Ores[],7,FALSE)+if(isblank(AZ91),0,BA91*vlookup(AZ91,Ores[],7,FALSE))+if(isblank(BB91),0,BC91*vlookup(BB91,Ores[],7,FALSE))+if(isblank(BD91),0,BE91*vlookup(BD91,Ores[],7,FALSE))+if(isblank(BF91),0,BG91*vlookup(BF91,Ores[],7,FALSE)))/BH91)</f>
        <v>0</v>
      </c>
      <c r="BT91" s="21">
        <f>ifs(isblank(AX91),0,BH91="NR","NR",BH91="?","?",1,(AY91*vlookup(AX91,Ores[],3,FALSE)+if(isblank(AZ91),0,BA91*vlookup(AZ91,Ores[],3,FALSE))+if(isblank(BB91),0,BC91*vlookup(BB91,Ores[],3,FALSE))+if(isblank(BD91),0,BE91*vlookup(BD91,Ores[],3,FALSE))+if(isblank(BF91),0,BG91*vlookup(BF91,Ores[],3,FALSE)))/BH91)</f>
        <v>0.8565177833</v>
      </c>
      <c r="BU91" s="21">
        <f>ifs(isblank(AX91),0,BH91="NR","NR",BH91="?","?",1,(AY91*vlookup(AX91,Ores[],5,FALSE)+if(isblank(AZ91),0,BA91*vlookup(AZ91,Ores[],5,FALSE))+if(isblank(BB91),0,BC91*vlookup(BB91,Ores[],5,FALSE))+if(isblank(BD91),0,BE91*vlookup(BD91,Ores[],5,FALSE))+if(isblank(BF91),0,BG91*vlookup(BF91,Ores[],5,FALSE)))/BH91)</f>
        <v>0.9705982906</v>
      </c>
      <c r="BV91" s="22" t="str">
        <f t="shared" si="30"/>
        <v>NR</v>
      </c>
      <c r="BW91" s="40">
        <v>124.0</v>
      </c>
      <c r="BX91" s="41">
        <v>85.0</v>
      </c>
      <c r="BY91" s="47"/>
      <c r="BZ91" s="56">
        <f t="shared" si="31"/>
        <v>12.64516129</v>
      </c>
      <c r="CA91" s="53">
        <f t="shared" si="32"/>
        <v>6.835222319</v>
      </c>
      <c r="CB91" s="43" t="s">
        <v>127</v>
      </c>
      <c r="CC91" s="41" t="s">
        <v>128</v>
      </c>
      <c r="CD91" s="28">
        <f t="shared" si="33"/>
        <v>6.835222319</v>
      </c>
      <c r="CE91" s="43">
        <f t="shared" si="34"/>
        <v>392</v>
      </c>
      <c r="CF91" s="41"/>
      <c r="CG91" s="43">
        <v>65.0</v>
      </c>
      <c r="CH91" s="43">
        <v>99.0</v>
      </c>
      <c r="CI91" s="43">
        <v>491.0</v>
      </c>
      <c r="CJ91" s="43" t="s">
        <v>116</v>
      </c>
      <c r="CK91" s="43">
        <v>31.0</v>
      </c>
      <c r="CL91" s="43">
        <v>16.7</v>
      </c>
      <c r="CM91" s="43">
        <v>9.0</v>
      </c>
      <c r="CN91" s="43">
        <v>57.35</v>
      </c>
      <c r="CO91" s="43">
        <v>31.0</v>
      </c>
      <c r="CP91" s="43">
        <v>1.85</v>
      </c>
      <c r="CQ91" s="43">
        <v>1.0</v>
      </c>
      <c r="CR91" s="41" t="s">
        <v>157</v>
      </c>
      <c r="CS91" s="53">
        <v>15.9</v>
      </c>
      <c r="CT91" s="41" t="s">
        <v>216</v>
      </c>
      <c r="CU91" s="30"/>
      <c r="CV91" s="58">
        <v>6.0</v>
      </c>
      <c r="CW91" s="30">
        <f t="shared" si="12"/>
        <v>0.2446153846</v>
      </c>
      <c r="CX91" s="31" t="str">
        <f t="shared" si="19"/>
        <v>?</v>
      </c>
      <c r="CY91" s="41"/>
      <c r="CZ91" s="41"/>
      <c r="DA91" s="41" t="s">
        <v>808</v>
      </c>
      <c r="DB91" s="41" t="s">
        <v>809</v>
      </c>
      <c r="DC91" s="41" t="s">
        <v>810</v>
      </c>
      <c r="DD91" s="41"/>
      <c r="DE91" s="41"/>
      <c r="DF91" s="41"/>
      <c r="DG91" s="41"/>
      <c r="DH91" s="41"/>
      <c r="DI91" s="41"/>
      <c r="DJ91" s="41"/>
      <c r="DK91" s="41"/>
      <c r="DL91" s="41"/>
      <c r="DM91" s="45"/>
    </row>
    <row r="92" ht="21.75" customHeight="1">
      <c r="A92" s="89" t="s">
        <v>811</v>
      </c>
      <c r="B92" s="41" t="s">
        <v>812</v>
      </c>
      <c r="C92" s="41" t="s">
        <v>137</v>
      </c>
      <c r="D92" s="41" t="s">
        <v>138</v>
      </c>
      <c r="E92" s="90">
        <v>44366.0</v>
      </c>
      <c r="F92" s="41" t="s">
        <v>347</v>
      </c>
      <c r="G92" s="36" t="s">
        <v>110</v>
      </c>
      <c r="H92" s="36" t="s">
        <v>348</v>
      </c>
      <c r="I92" s="41" t="s">
        <v>704</v>
      </c>
      <c r="J92" s="41" t="s">
        <v>656</v>
      </c>
      <c r="K92" s="43">
        <v>1.0</v>
      </c>
      <c r="L92" s="43"/>
      <c r="M92" s="43" t="s">
        <v>150</v>
      </c>
      <c r="N92" s="36" t="s">
        <v>168</v>
      </c>
      <c r="O92" s="34">
        <f t="shared" si="23"/>
        <v>75</v>
      </c>
      <c r="P92" s="34">
        <f t="shared" si="21"/>
        <v>75</v>
      </c>
      <c r="Q92" s="43">
        <v>75.0</v>
      </c>
      <c r="R92" s="41"/>
      <c r="S92" s="41">
        <v>50.0</v>
      </c>
      <c r="T92" s="41" t="s">
        <v>813</v>
      </c>
      <c r="U92" s="41">
        <v>28.0</v>
      </c>
      <c r="V92" s="41"/>
      <c r="W92" s="41"/>
      <c r="X92" s="41"/>
      <c r="Y92" s="41"/>
      <c r="Z92" s="41"/>
      <c r="AA92" s="37">
        <f>Calcs!O92</f>
        <v>615.8</v>
      </c>
      <c r="AB92" s="41">
        <v>3.0</v>
      </c>
      <c r="AC92" s="41" t="s">
        <v>814</v>
      </c>
      <c r="AD92" s="41" t="s">
        <v>253</v>
      </c>
      <c r="AE92" s="36">
        <v>2.5</v>
      </c>
      <c r="AF92" s="36" t="s">
        <v>123</v>
      </c>
      <c r="AG92" s="65">
        <v>22.0</v>
      </c>
      <c r="AH92" s="36" t="s">
        <v>170</v>
      </c>
      <c r="AI92" s="41"/>
      <c r="AJ92" s="41">
        <v>5.0</v>
      </c>
      <c r="AK92" s="41"/>
      <c r="AL92" s="41" t="s">
        <v>184</v>
      </c>
      <c r="AM92" s="41"/>
      <c r="AN92" s="43">
        <v>10.0</v>
      </c>
      <c r="AO92" s="41">
        <v>15.0</v>
      </c>
      <c r="AP92" s="41"/>
      <c r="AQ92" s="41" t="s">
        <v>254</v>
      </c>
      <c r="AR92" s="43">
        <v>700.0</v>
      </c>
      <c r="AS92" s="43">
        <v>800.0</v>
      </c>
      <c r="AT92" s="14">
        <f t="shared" si="35"/>
        <v>750</v>
      </c>
      <c r="AU92" s="24"/>
      <c r="AV92" s="74" t="s">
        <v>815</v>
      </c>
      <c r="AW92" s="17">
        <f t="shared" si="4"/>
        <v>738.96</v>
      </c>
      <c r="AX92" s="36" t="s">
        <v>544</v>
      </c>
      <c r="AY92" s="36">
        <v>25.5</v>
      </c>
      <c r="AZ92" s="34"/>
      <c r="BA92" s="34"/>
      <c r="BB92" s="34"/>
      <c r="BC92" s="34"/>
      <c r="BD92" s="34"/>
      <c r="BE92" s="34"/>
      <c r="BF92" s="34"/>
      <c r="BG92" s="34"/>
      <c r="BH92" s="18">
        <f t="shared" si="25"/>
        <v>25.5</v>
      </c>
      <c r="BI92" s="19">
        <f>ifs(BH92=0,"na",BH92="NR","NR",BH92="?","?",BK92&gt;0,"?",iserror(Calcs!AB92),"?",1,Calcs!AB92)</f>
        <v>0.5482634678</v>
      </c>
      <c r="BJ92" s="41" t="s">
        <v>282</v>
      </c>
      <c r="BK92" s="43"/>
      <c r="BL92" s="18">
        <f t="shared" si="6"/>
        <v>25.5</v>
      </c>
      <c r="BM92" s="43">
        <v>5.0</v>
      </c>
      <c r="BN92" s="43"/>
      <c r="BO92" s="41" t="s">
        <v>382</v>
      </c>
      <c r="BP92" s="20">
        <f>ifs(isblank(AX92),0,BH92="NR","NR",BH92="?","?",1,(AY92*vlookup(AX92,Ores[],2,FALSE)+if(isblank(AZ92),0,BA92*vlookup(AZ92,Ores[],2,FALSE))+if(isblank(BB92),0,BC92*vlookup(BB92,Ores[],2,FALSE))+if(isblank(BD92),0,BE92*vlookup(BD92,Ores[],2,FALSE))+if(isblank(BF92),0,BG92*vlookup(BF92,Ores[],2,FALSE)))/BH92)</f>
        <v>4.838709677</v>
      </c>
      <c r="BQ92" s="20">
        <f>ifs(isblank(AX92),0,BH92="NR","NR",BH92="?","?",1,(AY92*vlookup(AX92,Ores[],4,FALSE)+if(isblank(AZ92),0,BA92*vlookup(AZ92,Ores[],4,FALSE))+if(isblank(BB92),0,BC92*vlookup(BB92,Ores[],4,FALSE))+if(isblank(BD92),0,BE92*vlookup(BD92,Ores[],4,FALSE))+if(isblank(BF92),0,BG92*vlookup(BF92,Ores[],4,FALSE)))/BH92)</f>
        <v>2.516129032</v>
      </c>
      <c r="BR92" s="21">
        <f>ifs(isblank(AX92),0,BH92="NR","NR",BH92="?","?",1,(AY92*vlookup(AX92,Ores[],8,FALSE)+if(isblank(AZ92),0,BA92*vlookup(AZ92,Ores[],8,FALSE))+if(isblank(BB92),0,BC92*vlookup(BB92,Ores[],8,FALSE))+if(isblank(BD92),0,BE92*vlookup(BD92,Ores[],8,FALSE))+if(isblank(BF92),0,BG92*vlookup(BF92,Ores[],8,FALSE)))/BH92)</f>
        <v>0</v>
      </c>
      <c r="BS92" s="21">
        <f>ifs(isblank(AX92),0,BH92="NR","NR",BH92="?","?",1,(AY92*vlookup(AX92,Ores[],7,FALSE)+if(isblank(AZ92),0,BA92*vlookup(AZ92,Ores[],7,FALSE))+if(isblank(BB92),0,BC92*vlookup(BB92,Ores[],7,FALSE))+if(isblank(BD92),0,BE92*vlookup(BD92,Ores[],7,FALSE))+if(isblank(BF92),0,BG92*vlookup(BF92,Ores[],7,FALSE)))/BH92)</f>
        <v>0</v>
      </c>
      <c r="BT92" s="21">
        <f>ifs(isblank(AX92),0,BH92="NR","NR",BH92="?","?",1,(AY92*vlookup(AX92,Ores[],3,FALSE)+if(isblank(AZ92),0,BA92*vlookup(AZ92,Ores[],3,FALSE))+if(isblank(BB92),0,BC92*vlookup(BB92,Ores[],3,FALSE))+if(isblank(BD92),0,BE92*vlookup(BD92,Ores[],3,FALSE))+if(isblank(BF92),0,BG92*vlookup(BF92,Ores[],3,FALSE)))/BH92)</f>
        <v>1.935483871</v>
      </c>
      <c r="BU92" s="21">
        <f>ifs(isblank(AX92),0,BH92="NR","NR",BH92="?","?",1,(AY92*vlookup(AX92,Ores[],5,FALSE)+if(isblank(AZ92),0,BA92*vlookup(AZ92,Ores[],5,FALSE))+if(isblank(BB92),0,BC92*vlookup(BB92,Ores[],5,FALSE))+if(isblank(BD92),0,BE92*vlookup(BD92,Ores[],5,FALSE))+if(isblank(BF92),0,BG92*vlookup(BF92,Ores[],5,FALSE)))/BH92)</f>
        <v>0</v>
      </c>
      <c r="BV92" s="22" t="str">
        <f t="shared" si="30"/>
        <v>NR</v>
      </c>
      <c r="BW92" s="40">
        <v>60.0</v>
      </c>
      <c r="BX92" s="41">
        <v>69.0</v>
      </c>
      <c r="BY92" s="47"/>
      <c r="BZ92" s="56">
        <f t="shared" si="31"/>
        <v>15.5</v>
      </c>
      <c r="CA92" s="53">
        <f t="shared" si="32"/>
        <v>8.611111111</v>
      </c>
      <c r="CB92" s="43" t="s">
        <v>127</v>
      </c>
      <c r="CC92" s="41" t="s">
        <v>128</v>
      </c>
      <c r="CD92" s="28">
        <f t="shared" si="33"/>
        <v>8.611111111</v>
      </c>
      <c r="CE92" s="43">
        <f t="shared" si="34"/>
        <v>310</v>
      </c>
      <c r="CF92" s="41"/>
      <c r="CG92" s="43">
        <v>95.0</v>
      </c>
      <c r="CH92" s="43">
        <v>162.0</v>
      </c>
      <c r="CI92" s="43">
        <v>472.0</v>
      </c>
      <c r="CJ92" s="43" t="s">
        <v>116</v>
      </c>
      <c r="CK92" s="43">
        <v>20.0</v>
      </c>
      <c r="CL92" s="43">
        <v>23.4</v>
      </c>
      <c r="CM92" s="43">
        <v>13.0</v>
      </c>
      <c r="CN92" s="43">
        <v>36.0</v>
      </c>
      <c r="CO92" s="43">
        <v>20.0</v>
      </c>
      <c r="CP92" s="43">
        <v>2.7</v>
      </c>
      <c r="CQ92" s="43">
        <v>2.0</v>
      </c>
      <c r="CR92" s="41" t="s">
        <v>257</v>
      </c>
      <c r="CS92" s="53">
        <v>8.9</v>
      </c>
      <c r="CT92" s="41" t="s">
        <v>469</v>
      </c>
      <c r="CU92" s="30"/>
      <c r="CV92" s="58">
        <v>7.28</v>
      </c>
      <c r="CW92" s="30">
        <f t="shared" si="12"/>
        <v>0.3490196078</v>
      </c>
      <c r="CX92" s="31">
        <f t="shared" si="19"/>
        <v>0.6365910339</v>
      </c>
      <c r="CY92" s="41" t="s">
        <v>816</v>
      </c>
      <c r="CZ92" s="41">
        <v>13.4</v>
      </c>
      <c r="DA92" s="41" t="s">
        <v>447</v>
      </c>
      <c r="DB92" s="41" t="s">
        <v>708</v>
      </c>
      <c r="DC92" s="41" t="s">
        <v>817</v>
      </c>
      <c r="DD92" s="41"/>
      <c r="DE92" s="41"/>
      <c r="DF92" s="41"/>
      <c r="DG92" s="41"/>
      <c r="DH92" s="41"/>
      <c r="DI92" s="41"/>
      <c r="DJ92" s="41"/>
      <c r="DK92" s="41"/>
      <c r="DL92" s="41"/>
      <c r="DM92" s="45"/>
    </row>
    <row r="93" ht="21.75" customHeight="1">
      <c r="A93" s="89" t="s">
        <v>818</v>
      </c>
      <c r="B93" s="41" t="s">
        <v>819</v>
      </c>
      <c r="C93" s="41" t="s">
        <v>137</v>
      </c>
      <c r="D93" s="41" t="s">
        <v>138</v>
      </c>
      <c r="E93" s="90">
        <v>44443.0</v>
      </c>
      <c r="F93" s="41" t="s">
        <v>347</v>
      </c>
      <c r="G93" s="36" t="s">
        <v>110</v>
      </c>
      <c r="H93" s="36" t="s">
        <v>348</v>
      </c>
      <c r="I93" s="41" t="s">
        <v>704</v>
      </c>
      <c r="J93" s="41" t="s">
        <v>656</v>
      </c>
      <c r="K93" s="43">
        <v>2.0</v>
      </c>
      <c r="L93" s="43" t="s">
        <v>811</v>
      </c>
      <c r="M93" s="43" t="s">
        <v>150</v>
      </c>
      <c r="N93" s="36" t="s">
        <v>168</v>
      </c>
      <c r="O93" s="34">
        <f t="shared" si="23"/>
        <v>75</v>
      </c>
      <c r="P93" s="34">
        <f t="shared" si="21"/>
        <v>75</v>
      </c>
      <c r="Q93" s="43">
        <v>75.0</v>
      </c>
      <c r="R93" s="41"/>
      <c r="S93" s="41">
        <v>43.0</v>
      </c>
      <c r="T93" s="41" t="s">
        <v>813</v>
      </c>
      <c r="U93" s="41">
        <v>28.0</v>
      </c>
      <c r="V93" s="41"/>
      <c r="W93" s="41"/>
      <c r="X93" s="41"/>
      <c r="Y93" s="41"/>
      <c r="Z93" s="41"/>
      <c r="AA93" s="37">
        <f>Calcs!O93</f>
        <v>615.8</v>
      </c>
      <c r="AB93" s="41">
        <v>3.0</v>
      </c>
      <c r="AC93" s="41" t="s">
        <v>820</v>
      </c>
      <c r="AD93" s="41" t="s">
        <v>253</v>
      </c>
      <c r="AE93" s="36">
        <v>2.5</v>
      </c>
      <c r="AF93" s="36" t="s">
        <v>123</v>
      </c>
      <c r="AG93" s="36">
        <v>20.0</v>
      </c>
      <c r="AH93" s="36" t="s">
        <v>170</v>
      </c>
      <c r="AI93" s="41"/>
      <c r="AJ93" s="41">
        <v>5.0</v>
      </c>
      <c r="AK93" s="41"/>
      <c r="AL93" s="41" t="s">
        <v>184</v>
      </c>
      <c r="AM93" s="41"/>
      <c r="AN93" s="43" t="s">
        <v>116</v>
      </c>
      <c r="AO93" s="41">
        <v>14.0</v>
      </c>
      <c r="AP93" s="41"/>
      <c r="AQ93" s="41" t="s">
        <v>254</v>
      </c>
      <c r="AR93" s="41"/>
      <c r="AS93" s="43">
        <v>900.0</v>
      </c>
      <c r="AT93" s="14" t="str">
        <f t="shared" si="35"/>
        <v/>
      </c>
      <c r="AU93" s="24"/>
      <c r="AV93" s="74">
        <v>756.0</v>
      </c>
      <c r="AW93" s="17">
        <f t="shared" si="4"/>
        <v>738.96</v>
      </c>
      <c r="AX93" s="36" t="s">
        <v>544</v>
      </c>
      <c r="AY93" s="36">
        <v>26.0</v>
      </c>
      <c r="AZ93" s="34"/>
      <c r="BA93" s="34"/>
      <c r="BB93" s="34"/>
      <c r="BC93" s="34"/>
      <c r="BD93" s="34"/>
      <c r="BE93" s="34"/>
      <c r="BF93" s="34"/>
      <c r="BG93" s="34"/>
      <c r="BH93" s="18">
        <f t="shared" si="25"/>
        <v>26</v>
      </c>
      <c r="BI93" s="19">
        <f>ifs(BH93=0,"na",BH93="NR","NR",BH93="?","?",BK93&gt;0,"?",iserror(Calcs!AB93),"?",1,Calcs!AB93)</f>
        <v>0.5482634678</v>
      </c>
      <c r="BJ93" s="41" t="s">
        <v>282</v>
      </c>
      <c r="BK93" s="41"/>
      <c r="BL93" s="18">
        <f t="shared" si="6"/>
        <v>26</v>
      </c>
      <c r="BM93" s="41">
        <v>4.3</v>
      </c>
      <c r="BN93" s="41"/>
      <c r="BO93" s="41" t="s">
        <v>382</v>
      </c>
      <c r="BP93" s="20">
        <f>ifs(isblank(AX93),0,BH93="NR","NR",BH93="?","?",1,(AY93*vlookup(AX93,Ores[],2,FALSE)+if(isblank(AZ93),0,BA93*vlookup(AZ93,Ores[],2,FALSE))+if(isblank(BB93),0,BC93*vlookup(BB93,Ores[],2,FALSE))+if(isblank(BD93),0,BE93*vlookup(BD93,Ores[],2,FALSE))+if(isblank(BF93),0,BG93*vlookup(BF93,Ores[],2,FALSE)))/BH93)</f>
        <v>4.838709677</v>
      </c>
      <c r="BQ93" s="20">
        <f>ifs(isblank(AX93),0,BH93="NR","NR",BH93="?","?",1,(AY93*vlookup(AX93,Ores[],4,FALSE)+if(isblank(AZ93),0,BA93*vlookup(AZ93,Ores[],4,FALSE))+if(isblank(BB93),0,BC93*vlookup(BB93,Ores[],4,FALSE))+if(isblank(BD93),0,BE93*vlookup(BD93,Ores[],4,FALSE))+if(isblank(BF93),0,BG93*vlookup(BF93,Ores[],4,FALSE)))/BH93)</f>
        <v>2.516129032</v>
      </c>
      <c r="BR93" s="21">
        <f>ifs(isblank(AX93),0,BH93="NR","NR",BH93="?","?",1,(AY93*vlookup(AX93,Ores[],8,FALSE)+if(isblank(AZ93),0,BA93*vlookup(AZ93,Ores[],8,FALSE))+if(isblank(BB93),0,BC93*vlookup(BB93,Ores[],8,FALSE))+if(isblank(BD93),0,BE93*vlookup(BD93,Ores[],8,FALSE))+if(isblank(BF93),0,BG93*vlookup(BF93,Ores[],8,FALSE)))/BH93)</f>
        <v>0</v>
      </c>
      <c r="BS93" s="21">
        <f>ifs(isblank(AX93),0,BH93="NR","NR",BH93="?","?",1,(AY93*vlookup(AX93,Ores[],7,FALSE)+if(isblank(AZ93),0,BA93*vlookup(AZ93,Ores[],7,FALSE))+if(isblank(BB93),0,BC93*vlookup(BB93,Ores[],7,FALSE))+if(isblank(BD93),0,BE93*vlookup(BD93,Ores[],7,FALSE))+if(isblank(BF93),0,BG93*vlookup(BF93,Ores[],7,FALSE)))/BH93)</f>
        <v>0</v>
      </c>
      <c r="BT93" s="21">
        <f>ifs(isblank(AX93),0,BH93="NR","NR",BH93="?","?",1,(AY93*vlookup(AX93,Ores[],3,FALSE)+if(isblank(AZ93),0,BA93*vlookup(AZ93,Ores[],3,FALSE))+if(isblank(BB93),0,BC93*vlookup(BB93,Ores[],3,FALSE))+if(isblank(BD93),0,BE93*vlookup(BD93,Ores[],3,FALSE))+if(isblank(BF93),0,BG93*vlookup(BF93,Ores[],3,FALSE)))/BH93)</f>
        <v>1.935483871</v>
      </c>
      <c r="BU93" s="21">
        <f>ifs(isblank(AX93),0,BH93="NR","NR",BH93="?","?",1,(AY93*vlookup(AX93,Ores[],5,FALSE)+if(isblank(AZ93),0,BA93*vlookup(AZ93,Ores[],5,FALSE))+if(isblank(BB93),0,BC93*vlookup(BB93,Ores[],5,FALSE))+if(isblank(BD93),0,BE93*vlookup(BD93,Ores[],5,FALSE))+if(isblank(BF93),0,BG93*vlookup(BF93,Ores[],5,FALSE)))/BH93)</f>
        <v>0</v>
      </c>
      <c r="BV93" s="22" t="str">
        <f t="shared" si="30"/>
        <v>NR</v>
      </c>
      <c r="BW93" s="40">
        <v>86.0</v>
      </c>
      <c r="BX93" s="41">
        <v>65.0</v>
      </c>
      <c r="BY93" s="47"/>
      <c r="BZ93" s="56">
        <f t="shared" si="31"/>
        <v>11.4</v>
      </c>
      <c r="CA93" s="53">
        <f t="shared" si="32"/>
        <v>5.777027027</v>
      </c>
      <c r="CB93" s="43" t="s">
        <v>127</v>
      </c>
      <c r="CC93" s="41" t="s">
        <v>128</v>
      </c>
      <c r="CD93" s="28">
        <f t="shared" si="33"/>
        <v>5.777027027</v>
      </c>
      <c r="CE93" s="43">
        <f t="shared" si="34"/>
        <v>171</v>
      </c>
      <c r="CF93" s="41"/>
      <c r="CG93" s="43">
        <v>72.0</v>
      </c>
      <c r="CH93" s="43">
        <v>125.0</v>
      </c>
      <c r="CI93" s="43">
        <v>296.0</v>
      </c>
      <c r="CJ93" s="43" t="s">
        <v>116</v>
      </c>
      <c r="CK93" s="43">
        <v>15.0</v>
      </c>
      <c r="CL93" s="43">
        <v>23.6</v>
      </c>
      <c r="CM93" s="43">
        <v>12.0</v>
      </c>
      <c r="CN93" s="43">
        <v>29.6</v>
      </c>
      <c r="CO93" s="43">
        <v>15.0</v>
      </c>
      <c r="CP93" s="43">
        <v>3.9</v>
      </c>
      <c r="CQ93" s="43">
        <v>2.0</v>
      </c>
      <c r="CR93" s="41" t="s">
        <v>257</v>
      </c>
      <c r="CS93" s="53">
        <v>8.2</v>
      </c>
      <c r="CT93" s="43" t="s">
        <v>529</v>
      </c>
      <c r="CU93" s="30"/>
      <c r="CV93" s="58">
        <v>5.11</v>
      </c>
      <c r="CW93" s="30">
        <f t="shared" si="12"/>
        <v>0.3153846154</v>
      </c>
      <c r="CX93" s="31">
        <f t="shared" si="19"/>
        <v>0.5752428055</v>
      </c>
      <c r="CY93" s="41" t="s">
        <v>821</v>
      </c>
      <c r="CZ93" s="41"/>
      <c r="DA93" s="41" t="s">
        <v>571</v>
      </c>
      <c r="DB93" s="41" t="s">
        <v>822</v>
      </c>
      <c r="DC93" s="41" t="s">
        <v>823</v>
      </c>
      <c r="DD93" s="41"/>
      <c r="DE93" s="41"/>
      <c r="DF93" s="41"/>
      <c r="DG93" s="41"/>
      <c r="DH93" s="41"/>
      <c r="DI93" s="41"/>
      <c r="DJ93" s="41"/>
      <c r="DK93" s="41"/>
      <c r="DL93" s="41"/>
      <c r="DM93" s="45"/>
    </row>
    <row r="94" ht="21.75" customHeight="1">
      <c r="A94" s="89" t="s">
        <v>824</v>
      </c>
      <c r="B94" s="41" t="s">
        <v>825</v>
      </c>
      <c r="C94" s="41" t="s">
        <v>137</v>
      </c>
      <c r="D94" s="41" t="s">
        <v>138</v>
      </c>
      <c r="E94" s="90">
        <v>44497.0</v>
      </c>
      <c r="F94" s="34" t="s">
        <v>109</v>
      </c>
      <c r="G94" s="36" t="s">
        <v>110</v>
      </c>
      <c r="H94" s="43" t="s">
        <v>301</v>
      </c>
      <c r="I94" s="43" t="s">
        <v>606</v>
      </c>
      <c r="J94" s="43" t="s">
        <v>590</v>
      </c>
      <c r="K94" s="41"/>
      <c r="L94" s="41"/>
      <c r="M94" s="43" t="s">
        <v>150</v>
      </c>
      <c r="N94" s="36" t="s">
        <v>168</v>
      </c>
      <c r="O94" s="34">
        <f t="shared" si="23"/>
        <v>77</v>
      </c>
      <c r="P94" s="34">
        <f t="shared" si="21"/>
        <v>77</v>
      </c>
      <c r="Q94" s="43">
        <v>77.0</v>
      </c>
      <c r="R94" s="41"/>
      <c r="S94" s="41">
        <v>59.0</v>
      </c>
      <c r="T94" s="41" t="s">
        <v>826</v>
      </c>
      <c r="U94" s="41">
        <v>28.0</v>
      </c>
      <c r="V94" s="41"/>
      <c r="W94" s="41"/>
      <c r="X94" s="41"/>
      <c r="Y94" s="41"/>
      <c r="Z94" s="41"/>
      <c r="AA94" s="37">
        <f>Calcs!O94</f>
        <v>615.8</v>
      </c>
      <c r="AB94" s="41" t="s">
        <v>683</v>
      </c>
      <c r="AC94" s="41" t="s">
        <v>806</v>
      </c>
      <c r="AD94" s="41" t="s">
        <v>253</v>
      </c>
      <c r="AE94" s="36">
        <v>2.5</v>
      </c>
      <c r="AF94" s="36" t="s">
        <v>123</v>
      </c>
      <c r="AG94" s="36">
        <v>20.0</v>
      </c>
      <c r="AH94" s="36" t="s">
        <v>170</v>
      </c>
      <c r="AI94" s="41"/>
      <c r="AJ94" s="41">
        <v>5.0</v>
      </c>
      <c r="AK94" s="41"/>
      <c r="AL94" s="41" t="s">
        <v>184</v>
      </c>
      <c r="AM94" s="41"/>
      <c r="AN94" s="43">
        <v>10.0</v>
      </c>
      <c r="AO94" s="41">
        <v>18.0</v>
      </c>
      <c r="AP94" s="41"/>
      <c r="AQ94" s="41" t="s">
        <v>827</v>
      </c>
      <c r="AR94" s="43">
        <v>477.0</v>
      </c>
      <c r="AS94" s="43">
        <v>875.0</v>
      </c>
      <c r="AT94" s="14">
        <f t="shared" si="35"/>
        <v>676</v>
      </c>
      <c r="AU94" s="92"/>
      <c r="AV94" s="38"/>
      <c r="AW94" s="17">
        <f t="shared" si="4"/>
        <v>738.96</v>
      </c>
      <c r="AX94" s="36" t="s">
        <v>544</v>
      </c>
      <c r="AY94" s="36">
        <v>24.3</v>
      </c>
      <c r="AZ94" s="34"/>
      <c r="BA94" s="34"/>
      <c r="BB94" s="34"/>
      <c r="BC94" s="34"/>
      <c r="BD94" s="34"/>
      <c r="BE94" s="34"/>
      <c r="BF94" s="34"/>
      <c r="BG94" s="34"/>
      <c r="BH94" s="18">
        <f t="shared" si="25"/>
        <v>24.3</v>
      </c>
      <c r="BI94" s="19">
        <f>ifs(BH94=0,"na",BH94="NR","NR",BH94="?","?",BK94&gt;0,"?",iserror(Calcs!AB94),"?",1,Calcs!AB94)</f>
        <v>0.5482634678</v>
      </c>
      <c r="BJ94" s="41" t="s">
        <v>282</v>
      </c>
      <c r="BK94" s="41"/>
      <c r="BL94" s="18">
        <f t="shared" si="6"/>
        <v>24.3</v>
      </c>
      <c r="BM94" s="41">
        <v>1.5</v>
      </c>
      <c r="BN94" s="41"/>
      <c r="BO94" s="41" t="s">
        <v>382</v>
      </c>
      <c r="BP94" s="20">
        <f>ifs(isblank(AX94),0,BH94="NR","NR",BH94="?","?",1,(AY94*vlookup(AX94,Ores[],2,FALSE)+if(isblank(AZ94),0,BA94*vlookup(AZ94,Ores[],2,FALSE))+if(isblank(BB94),0,BC94*vlookup(BB94,Ores[],2,FALSE))+if(isblank(BD94),0,BE94*vlookup(BD94,Ores[],2,FALSE))+if(isblank(BF94),0,BG94*vlookup(BF94,Ores[],2,FALSE)))/BH94)</f>
        <v>4.838709677</v>
      </c>
      <c r="BQ94" s="20">
        <f>ifs(isblank(AX94),0,BH94="NR","NR",BH94="?","?",1,(AY94*vlookup(AX94,Ores[],4,FALSE)+if(isblank(AZ94),0,BA94*vlookup(AZ94,Ores[],4,FALSE))+if(isblank(BB94),0,BC94*vlookup(BB94,Ores[],4,FALSE))+if(isblank(BD94),0,BE94*vlookup(BD94,Ores[],4,FALSE))+if(isblank(BF94),0,BG94*vlookup(BF94,Ores[],4,FALSE)))/BH94)</f>
        <v>2.516129032</v>
      </c>
      <c r="BR94" s="21">
        <f>ifs(isblank(AX94),0,BH94="NR","NR",BH94="?","?",1,(AY94*vlookup(AX94,Ores[],8,FALSE)+if(isblank(AZ94),0,BA94*vlookup(AZ94,Ores[],8,FALSE))+if(isblank(BB94),0,BC94*vlookup(BB94,Ores[],8,FALSE))+if(isblank(BD94),0,BE94*vlookup(BD94,Ores[],8,FALSE))+if(isblank(BF94),0,BG94*vlookup(BF94,Ores[],8,FALSE)))/BH94)</f>
        <v>0</v>
      </c>
      <c r="BS94" s="21">
        <f>ifs(isblank(AX94),0,BH94="NR","NR",BH94="?","?",1,(AY94*vlookup(AX94,Ores[],7,FALSE)+if(isblank(AZ94),0,BA94*vlookup(AZ94,Ores[],7,FALSE))+if(isblank(BB94),0,BC94*vlookup(BB94,Ores[],7,FALSE))+if(isblank(BD94),0,BE94*vlookup(BD94,Ores[],7,FALSE))+if(isblank(BF94),0,BG94*vlookup(BF94,Ores[],7,FALSE)))/BH94)</f>
        <v>0</v>
      </c>
      <c r="BT94" s="21">
        <f>ifs(isblank(AX94),0,BH94="NR","NR",BH94="?","?",1,(AY94*vlookup(AX94,Ores[],3,FALSE)+if(isblank(AZ94),0,BA94*vlookup(AZ94,Ores[],3,FALSE))+if(isblank(BB94),0,BC94*vlookup(BB94,Ores[],3,FALSE))+if(isblank(BD94),0,BE94*vlookup(BD94,Ores[],3,FALSE))+if(isblank(BF94),0,BG94*vlookup(BF94,Ores[],3,FALSE)))/BH94)</f>
        <v>1.935483871</v>
      </c>
      <c r="BU94" s="21">
        <f>ifs(isblank(AX94),0,BH94="NR","NR",BH94="?","?",1,(AY94*vlookup(AX94,Ores[],5,FALSE)+if(isblank(AZ94),0,BA94*vlookup(AZ94,Ores[],5,FALSE))+if(isblank(BB94),0,BC94*vlookup(BB94,Ores[],5,FALSE))+if(isblank(BD94),0,BE94*vlookup(BD94,Ores[],5,FALSE))+if(isblank(BF94),0,BG94*vlookup(BF94,Ores[],5,FALSE)))/BH94)</f>
        <v>0</v>
      </c>
      <c r="BV94" s="22" t="str">
        <f t="shared" si="30"/>
        <v>NR</v>
      </c>
      <c r="BW94" s="40">
        <v>100.0</v>
      </c>
      <c r="BX94" s="41">
        <v>60.0</v>
      </c>
      <c r="BY94" s="47"/>
      <c r="BZ94" s="56">
        <f t="shared" si="31"/>
        <v>13.75</v>
      </c>
      <c r="CA94" s="53">
        <f t="shared" si="32"/>
        <v>7.236842105</v>
      </c>
      <c r="CB94" s="43" t="s">
        <v>127</v>
      </c>
      <c r="CC94" s="41" t="s">
        <v>128</v>
      </c>
      <c r="CD94" s="28">
        <f t="shared" si="33"/>
        <v>7.236842105</v>
      </c>
      <c r="CE94" s="43">
        <f t="shared" si="34"/>
        <v>220</v>
      </c>
      <c r="CF94" s="41"/>
      <c r="CG94" s="43">
        <v>111.0</v>
      </c>
      <c r="CH94" s="43">
        <v>140.0</v>
      </c>
      <c r="CI94" s="43">
        <v>360.0</v>
      </c>
      <c r="CJ94" s="43" t="s">
        <v>116</v>
      </c>
      <c r="CK94" s="43">
        <v>16.0</v>
      </c>
      <c r="CL94" s="43">
        <v>20.9</v>
      </c>
      <c r="CM94" s="43">
        <v>11.0</v>
      </c>
      <c r="CN94" s="43">
        <v>30.4</v>
      </c>
      <c r="CO94" s="43">
        <v>16.0</v>
      </c>
      <c r="CP94" s="43">
        <v>2.9</v>
      </c>
      <c r="CQ94" s="43">
        <v>2.0</v>
      </c>
      <c r="CR94" s="41" t="s">
        <v>157</v>
      </c>
      <c r="CS94" s="53">
        <v>7.6</v>
      </c>
      <c r="CT94" s="43" t="s">
        <v>828</v>
      </c>
      <c r="CU94" s="30"/>
      <c r="CV94" s="58">
        <v>5.0</v>
      </c>
      <c r="CW94" s="30">
        <f t="shared" si="12"/>
        <v>0.3127572016</v>
      </c>
      <c r="CX94" s="31">
        <f t="shared" si="19"/>
        <v>0.5704505589</v>
      </c>
      <c r="CY94" s="41" t="s">
        <v>829</v>
      </c>
      <c r="CZ94" s="41"/>
      <c r="DA94" s="41" t="s">
        <v>808</v>
      </c>
      <c r="DB94" s="41" t="s">
        <v>830</v>
      </c>
      <c r="DC94" s="41" t="s">
        <v>831</v>
      </c>
      <c r="DD94" s="41"/>
      <c r="DE94" s="41"/>
      <c r="DF94" s="41"/>
      <c r="DG94" s="41"/>
      <c r="DH94" s="41"/>
      <c r="DI94" s="41"/>
      <c r="DJ94" s="41"/>
      <c r="DK94" s="41"/>
      <c r="DL94" s="41"/>
      <c r="DM94" s="45"/>
    </row>
    <row r="95" ht="21.75" customHeight="1">
      <c r="A95" s="89" t="s">
        <v>832</v>
      </c>
      <c r="B95" s="41" t="s">
        <v>833</v>
      </c>
      <c r="C95" s="41" t="s">
        <v>137</v>
      </c>
      <c r="D95" s="41" t="s">
        <v>138</v>
      </c>
      <c r="E95" s="90">
        <v>44734.0</v>
      </c>
      <c r="F95" s="34" t="s">
        <v>109</v>
      </c>
      <c r="G95" s="36" t="s">
        <v>110</v>
      </c>
      <c r="H95" s="43" t="s">
        <v>301</v>
      </c>
      <c r="I95" s="43" t="s">
        <v>286</v>
      </c>
      <c r="J95" s="43" t="s">
        <v>834</v>
      </c>
      <c r="K95" s="43">
        <v>1.0</v>
      </c>
      <c r="L95" s="43"/>
      <c r="M95" s="43" t="s">
        <v>150</v>
      </c>
      <c r="N95" s="36" t="s">
        <v>168</v>
      </c>
      <c r="O95" s="34">
        <f t="shared" si="23"/>
        <v>59</v>
      </c>
      <c r="P95" s="34">
        <f t="shared" si="21"/>
        <v>59</v>
      </c>
      <c r="Q95" s="43">
        <v>59.0</v>
      </c>
      <c r="R95" s="41"/>
      <c r="S95" s="41">
        <v>45.0</v>
      </c>
      <c r="T95" s="41" t="s">
        <v>835</v>
      </c>
      <c r="U95" s="41">
        <v>25.0</v>
      </c>
      <c r="V95" s="41"/>
      <c r="W95" s="41"/>
      <c r="X95" s="41"/>
      <c r="Y95" s="41"/>
      <c r="Z95" s="41"/>
      <c r="AA95" s="37">
        <f>Calcs!O95</f>
        <v>490.9</v>
      </c>
      <c r="AB95" s="41" t="s">
        <v>795</v>
      </c>
      <c r="AC95" s="41" t="s">
        <v>591</v>
      </c>
      <c r="AD95" s="41" t="s">
        <v>253</v>
      </c>
      <c r="AE95" s="36">
        <v>2.5</v>
      </c>
      <c r="AF95" s="36" t="s">
        <v>123</v>
      </c>
      <c r="AG95" s="43">
        <v>25.0</v>
      </c>
      <c r="AH95" s="36" t="s">
        <v>170</v>
      </c>
      <c r="AI95" s="41"/>
      <c r="AJ95" s="41">
        <v>5.0</v>
      </c>
      <c r="AK95" s="41"/>
      <c r="AL95" s="41" t="s">
        <v>184</v>
      </c>
      <c r="AM95" s="41"/>
      <c r="AN95" s="43">
        <v>18.0</v>
      </c>
      <c r="AO95" s="41">
        <v>16.0</v>
      </c>
      <c r="AP95" s="41"/>
      <c r="AQ95" s="41" t="s">
        <v>254</v>
      </c>
      <c r="AR95" s="41"/>
      <c r="AS95" s="43">
        <v>425.0</v>
      </c>
      <c r="AT95" s="14" t="str">
        <f t="shared" si="35"/>
        <v/>
      </c>
      <c r="AU95" s="92"/>
      <c r="AV95" s="74">
        <v>425.0</v>
      </c>
      <c r="AW95" s="17">
        <f t="shared" si="4"/>
        <v>589.08</v>
      </c>
      <c r="AX95" s="36" t="s">
        <v>544</v>
      </c>
      <c r="AY95" s="36">
        <v>24.5</v>
      </c>
      <c r="AZ95" s="39" t="s">
        <v>295</v>
      </c>
      <c r="BA95" s="36">
        <v>2.0</v>
      </c>
      <c r="BB95" s="36"/>
      <c r="BC95" s="36"/>
      <c r="BD95" s="34"/>
      <c r="BE95" s="34"/>
      <c r="BF95" s="34"/>
      <c r="BG95" s="34"/>
      <c r="BH95" s="18">
        <f t="shared" si="25"/>
        <v>26.5</v>
      </c>
      <c r="BI95" s="19">
        <f>ifs(BH95=0,"na",BH95="NR","NR",BH95="?","?",BK95&gt;0,"?",iserror(Calcs!AB95),"?",1,Calcs!AB95)</f>
        <v>0.5411123311</v>
      </c>
      <c r="BJ95" s="41" t="s">
        <v>282</v>
      </c>
      <c r="BK95" s="41"/>
      <c r="BL95" s="18">
        <f t="shared" si="6"/>
        <v>26.5</v>
      </c>
      <c r="BM95" s="41"/>
      <c r="BN95" s="41"/>
      <c r="BO95" s="41" t="s">
        <v>668</v>
      </c>
      <c r="BP95" s="20">
        <f>ifs(isblank(AX95),0,BH95="NR","NR",BH95="?","?",1,(AY95*vlookup(AX95,Ores[],2,FALSE)+if(isblank(AZ95),0,BA95*vlookup(AZ95,Ores[],2,FALSE))+if(isblank(BB95),0,BC95*vlookup(BB95,Ores[],2,FALSE))+if(isblank(BD95),0,BE95*vlookup(BD95,Ores[],2,FALSE))+if(isblank(BF95),0,BG95*vlookup(BF95,Ores[],2,FALSE)))/BH95)</f>
        <v>5.60635423</v>
      </c>
      <c r="BQ95" s="20">
        <f>ifs(isblank(AX95),0,BH95="NR","NR",BH95="?","?",1,(AY95*vlookup(AX95,Ores[],4,FALSE)+if(isblank(AZ95),0,BA95*vlookup(AZ95,Ores[],4,FALSE))+if(isblank(BB95),0,BC95*vlookup(BB95,Ores[],4,FALSE))+if(isblank(BD95),0,BE95*vlookup(BD95,Ores[],4,FALSE))+if(isblank(BF95),0,BG95*vlookup(BF95,Ores[],4,FALSE)))/BH95)</f>
        <v>2.698307973</v>
      </c>
      <c r="BR95" s="21">
        <f>ifs(isblank(AX95),0,BH95="NR","NR",BH95="?","?",1,(AY95*vlookup(AX95,Ores[],8,FALSE)+if(isblank(AZ95),0,BA95*vlookup(AZ95,Ores[],8,FALSE))+if(isblank(BB95),0,BC95*vlookup(BB95,Ores[],8,FALSE))+if(isblank(BD95),0,BE95*vlookup(BD95,Ores[],8,FALSE))+if(isblank(BF95),0,BG95*vlookup(BF95,Ores[],8,FALSE)))/BH95)</f>
        <v>0.1773584906</v>
      </c>
      <c r="BS95" s="21">
        <f>ifs(isblank(AX95),0,BH95="NR","NR",BH95="?","?",1,(AY95*vlookup(AX95,Ores[],7,FALSE)+if(isblank(AZ95),0,BA95*vlookup(AZ95,Ores[],7,FALSE))+if(isblank(BB95),0,BC95*vlookup(BB95,Ores[],7,FALSE))+if(isblank(BD95),0,BE95*vlookup(BD95,Ores[],7,FALSE))+if(isblank(BF95),0,BG95*vlookup(BF95,Ores[],7,FALSE)))/BH95)</f>
        <v>0</v>
      </c>
      <c r="BT95" s="21">
        <f>ifs(isblank(AX95),0,BH95="NR","NR",BH95="?","?",1,(AY95*vlookup(AX95,Ores[],3,FALSE)+if(isblank(AZ95),0,BA95*vlookup(AZ95,Ores[],3,FALSE))+if(isblank(BB95),0,BC95*vlookup(BB95,Ores[],3,FALSE))+if(isblank(BD95),0,BE95*vlookup(BD95,Ores[],3,FALSE))+if(isblank(BF95),0,BG95*vlookup(BF95,Ores[],3,FALSE)))/BH95)</f>
        <v>1.814315277</v>
      </c>
      <c r="BU95" s="21">
        <f>ifs(isblank(AX95),0,BH95="NR","NR",BH95="?","?",1,(AY95*vlookup(AX95,Ores[],5,FALSE)+if(isblank(AZ95),0,BA95*vlookup(AZ95,Ores[],5,FALSE))+if(isblank(BB95),0,BC95*vlookup(BB95,Ores[],5,FALSE))+if(isblank(BD95),0,BE95*vlookup(BD95,Ores[],5,FALSE))+if(isblank(BF95),0,BG95*vlookup(BF95,Ores[],5,FALSE)))/BH95)</f>
        <v>0.2920754717</v>
      </c>
      <c r="BV95" s="22" t="str">
        <f t="shared" si="30"/>
        <v>NR</v>
      </c>
      <c r="BW95" s="40">
        <v>75.0</v>
      </c>
      <c r="BX95" s="41">
        <v>42.0</v>
      </c>
      <c r="BY95" s="47"/>
      <c r="BZ95" s="56">
        <f t="shared" si="31"/>
        <v>23.66666667</v>
      </c>
      <c r="CA95" s="53">
        <f t="shared" si="32"/>
        <v>13.14814815</v>
      </c>
      <c r="CB95" s="43" t="s">
        <v>127</v>
      </c>
      <c r="CC95" s="43" t="s">
        <v>836</v>
      </c>
      <c r="CD95" s="28">
        <f t="shared" si="33"/>
        <v>13.14814815</v>
      </c>
      <c r="CE95" s="43">
        <f t="shared" si="34"/>
        <v>355</v>
      </c>
      <c r="CF95" s="41"/>
      <c r="CG95" s="43"/>
      <c r="CH95" s="43">
        <v>85.0</v>
      </c>
      <c r="CI95" s="43">
        <v>440.0</v>
      </c>
      <c r="CJ95" s="43" t="s">
        <v>116</v>
      </c>
      <c r="CK95" s="43">
        <v>15.0</v>
      </c>
      <c r="CL95" s="43">
        <v>7.2</v>
      </c>
      <c r="CM95" s="43">
        <v>4.0</v>
      </c>
      <c r="CN95" s="43">
        <v>27.0</v>
      </c>
      <c r="CO95" s="43">
        <v>15.0</v>
      </c>
      <c r="CP95" s="43">
        <v>1.8</v>
      </c>
      <c r="CQ95" s="43">
        <v>1.0</v>
      </c>
      <c r="CR95" s="41" t="s">
        <v>257</v>
      </c>
      <c r="CS95" s="53">
        <v>7.0</v>
      </c>
      <c r="CT95" s="43" t="s">
        <v>837</v>
      </c>
      <c r="CU95" s="30"/>
      <c r="CV95" s="29"/>
      <c r="CW95" s="30">
        <f t="shared" si="12"/>
        <v>0.2641509434</v>
      </c>
      <c r="CX95" s="31">
        <f t="shared" si="19"/>
        <v>0.4881628605</v>
      </c>
      <c r="CY95" s="41"/>
      <c r="CZ95" s="41"/>
      <c r="DA95" s="41" t="s">
        <v>808</v>
      </c>
      <c r="DB95" s="41" t="s">
        <v>838</v>
      </c>
      <c r="DC95" s="41"/>
      <c r="DD95" s="41"/>
      <c r="DE95" s="41"/>
      <c r="DF95" s="41"/>
      <c r="DG95" s="41"/>
      <c r="DH95" s="41"/>
      <c r="DI95" s="41"/>
      <c r="DJ95" s="41"/>
      <c r="DK95" s="41"/>
      <c r="DL95" s="41"/>
      <c r="DM95" s="45"/>
    </row>
    <row r="96" ht="21.75" customHeight="1">
      <c r="A96" s="89">
        <v>92.0</v>
      </c>
      <c r="B96" s="41" t="s">
        <v>839</v>
      </c>
      <c r="C96" s="41" t="s">
        <v>840</v>
      </c>
      <c r="D96" s="41" t="s">
        <v>138</v>
      </c>
      <c r="E96" s="90">
        <v>44863.0</v>
      </c>
      <c r="F96" s="34" t="s">
        <v>109</v>
      </c>
      <c r="G96" s="36" t="s">
        <v>110</v>
      </c>
      <c r="H96" s="43" t="s">
        <v>301</v>
      </c>
      <c r="I96" s="43" t="s">
        <v>606</v>
      </c>
      <c r="J96" s="43" t="s">
        <v>590</v>
      </c>
      <c r="K96" s="43">
        <v>2.0</v>
      </c>
      <c r="L96" s="43" t="s">
        <v>832</v>
      </c>
      <c r="M96" s="43" t="s">
        <v>150</v>
      </c>
      <c r="N96" s="36" t="s">
        <v>168</v>
      </c>
      <c r="O96" s="34">
        <f t="shared" si="23"/>
        <v>59</v>
      </c>
      <c r="P96" s="34">
        <f t="shared" si="21"/>
        <v>59</v>
      </c>
      <c r="Q96" s="43">
        <v>59.0</v>
      </c>
      <c r="R96" s="41"/>
      <c r="S96" s="41">
        <v>45.0</v>
      </c>
      <c r="T96" s="41" t="s">
        <v>835</v>
      </c>
      <c r="U96" s="41">
        <v>25.0</v>
      </c>
      <c r="V96" s="41"/>
      <c r="W96" s="41"/>
      <c r="X96" s="41"/>
      <c r="Y96" s="41"/>
      <c r="Z96" s="41"/>
      <c r="AA96" s="37">
        <f>Calcs!O96</f>
        <v>490.9</v>
      </c>
      <c r="AB96" s="41" t="s">
        <v>795</v>
      </c>
      <c r="AC96" s="41" t="s">
        <v>591</v>
      </c>
      <c r="AD96" s="41" t="s">
        <v>253</v>
      </c>
      <c r="AE96" s="36">
        <v>2.5</v>
      </c>
      <c r="AF96" s="36" t="s">
        <v>123</v>
      </c>
      <c r="AG96" s="43">
        <v>25.0</v>
      </c>
      <c r="AH96" s="36" t="s">
        <v>170</v>
      </c>
      <c r="AI96" s="41"/>
      <c r="AJ96" s="41">
        <v>6.0</v>
      </c>
      <c r="AK96" s="41"/>
      <c r="AL96" s="41" t="s">
        <v>184</v>
      </c>
      <c r="AM96" s="41"/>
      <c r="AN96" s="43" t="s">
        <v>116</v>
      </c>
      <c r="AO96" s="41">
        <v>20.0</v>
      </c>
      <c r="AP96" s="41"/>
      <c r="AQ96" s="41" t="s">
        <v>254</v>
      </c>
      <c r="AR96" s="43">
        <v>405.0</v>
      </c>
      <c r="AS96" s="43">
        <v>480.0</v>
      </c>
      <c r="AT96" s="14">
        <f t="shared" si="35"/>
        <v>442.5</v>
      </c>
      <c r="AU96" s="92"/>
      <c r="AV96" s="38"/>
      <c r="AW96" s="17">
        <f t="shared" si="4"/>
        <v>589.08</v>
      </c>
      <c r="AX96" s="36" t="s">
        <v>544</v>
      </c>
      <c r="AY96" s="36">
        <v>24.5</v>
      </c>
      <c r="AZ96" s="39" t="s">
        <v>295</v>
      </c>
      <c r="BA96" s="36">
        <v>2.0</v>
      </c>
      <c r="BB96" s="36"/>
      <c r="BC96" s="36"/>
      <c r="BD96" s="34"/>
      <c r="BE96" s="34"/>
      <c r="BF96" s="34"/>
      <c r="BG96" s="34"/>
      <c r="BH96" s="18">
        <f t="shared" si="25"/>
        <v>26.5</v>
      </c>
      <c r="BI96" s="19">
        <f>ifs(BH96=0,"na",BH96="NR","NR",BH96="?","?",BK96&gt;0,"?",iserror(Calcs!AB96),"?",1,Calcs!AB96)</f>
        <v>0.5411123311</v>
      </c>
      <c r="BJ96" s="41" t="s">
        <v>282</v>
      </c>
      <c r="BK96" s="41"/>
      <c r="BL96" s="18">
        <f t="shared" si="6"/>
        <v>26.5</v>
      </c>
      <c r="BM96" s="41"/>
      <c r="BN96" s="41"/>
      <c r="BO96" s="41" t="s">
        <v>668</v>
      </c>
      <c r="BP96" s="20">
        <f>ifs(isblank(AX96),0,BH96="NR","NR",BH96="?","?",1,(AY96*vlookup(AX96,Ores[],2,FALSE)+if(isblank(AZ96),0,BA96*vlookup(AZ96,Ores[],2,FALSE))+if(isblank(BB96),0,BC96*vlookup(BB96,Ores[],2,FALSE))+if(isblank(BD96),0,BE96*vlookup(BD96,Ores[],2,FALSE))+if(isblank(BF96),0,BG96*vlookup(BF96,Ores[],2,FALSE)))/BH96)</f>
        <v>5.60635423</v>
      </c>
      <c r="BQ96" s="20">
        <f>ifs(isblank(AX96),0,BH96="NR","NR",BH96="?","?",1,(AY96*vlookup(AX96,Ores[],4,FALSE)+if(isblank(AZ96),0,BA96*vlookup(AZ96,Ores[],4,FALSE))+if(isblank(BB96),0,BC96*vlookup(BB96,Ores[],4,FALSE))+if(isblank(BD96),0,BE96*vlookup(BD96,Ores[],4,FALSE))+if(isblank(BF96),0,BG96*vlookup(BF96,Ores[],4,FALSE)))/BH96)</f>
        <v>2.698307973</v>
      </c>
      <c r="BR96" s="21">
        <f>ifs(isblank(AX96),0,BH96="NR","NR",BH96="?","?",1,(AY96*vlookup(AX96,Ores[],8,FALSE)+if(isblank(AZ96),0,BA96*vlookup(AZ96,Ores[],8,FALSE))+if(isblank(BB96),0,BC96*vlookup(BB96,Ores[],8,FALSE))+if(isblank(BD96),0,BE96*vlookup(BD96,Ores[],8,FALSE))+if(isblank(BF96),0,BG96*vlookup(BF96,Ores[],8,FALSE)))/BH96)</f>
        <v>0.1773584906</v>
      </c>
      <c r="BS96" s="21">
        <f>ifs(isblank(AX96),0,BH96="NR","NR",BH96="?","?",1,(AY96*vlookup(AX96,Ores[],7,FALSE)+if(isblank(AZ96),0,BA96*vlookup(AZ96,Ores[],7,FALSE))+if(isblank(BB96),0,BC96*vlookup(BB96,Ores[],7,FALSE))+if(isblank(BD96),0,BE96*vlookup(BD96,Ores[],7,FALSE))+if(isblank(BF96),0,BG96*vlookup(BF96,Ores[],7,FALSE)))/BH96)</f>
        <v>0</v>
      </c>
      <c r="BT96" s="21">
        <f>ifs(isblank(AX96),0,BH96="NR","NR",BH96="?","?",1,(AY96*vlookup(AX96,Ores[],3,FALSE)+if(isblank(AZ96),0,BA96*vlookup(AZ96,Ores[],3,FALSE))+if(isblank(BB96),0,BC96*vlookup(BB96,Ores[],3,FALSE))+if(isblank(BD96),0,BE96*vlookup(BD96,Ores[],3,FALSE))+if(isblank(BF96),0,BG96*vlookup(BF96,Ores[],3,FALSE)))/BH96)</f>
        <v>1.814315277</v>
      </c>
      <c r="BU96" s="21">
        <f>ifs(isblank(AX96),0,BH96="NR","NR",BH96="?","?",1,(AY96*vlookup(AX96,Ores[],5,FALSE)+if(isblank(AZ96),0,BA96*vlookup(AZ96,Ores[],5,FALSE))+if(isblank(BB96),0,BC96*vlookup(BB96,Ores[],5,FALSE))+if(isblank(BD96),0,BE96*vlookup(BD96,Ores[],5,FALSE))+if(isblank(BF96),0,BG96*vlookup(BF96,Ores[],5,FALSE)))/BH96)</f>
        <v>0.2920754717</v>
      </c>
      <c r="BV96" s="22" t="str">
        <f t="shared" si="30"/>
        <v>NR</v>
      </c>
      <c r="BW96" s="40">
        <v>85.0</v>
      </c>
      <c r="BX96" s="41">
        <v>56.0</v>
      </c>
      <c r="BY96" s="47"/>
      <c r="BZ96" s="56">
        <f t="shared" si="31"/>
        <v>30.86666667</v>
      </c>
      <c r="CA96" s="53">
        <f t="shared" si="32"/>
        <v>11.18357488</v>
      </c>
      <c r="CB96" s="43" t="s">
        <v>127</v>
      </c>
      <c r="CC96" s="41" t="s">
        <v>128</v>
      </c>
      <c r="CD96" s="28">
        <f t="shared" si="33"/>
        <v>11.18357488</v>
      </c>
      <c r="CE96" s="43">
        <f t="shared" si="34"/>
        <v>463</v>
      </c>
      <c r="CF96" s="41"/>
      <c r="CG96" s="43"/>
      <c r="CH96" s="43">
        <v>133.0</v>
      </c>
      <c r="CI96" s="43">
        <v>596.0</v>
      </c>
      <c r="CJ96" s="43" t="s">
        <v>116</v>
      </c>
      <c r="CK96" s="43">
        <v>15.0</v>
      </c>
      <c r="CL96" s="43">
        <v>7.2</v>
      </c>
      <c r="CM96" s="43">
        <v>4.0</v>
      </c>
      <c r="CN96" s="43">
        <v>41.4</v>
      </c>
      <c r="CO96" s="43">
        <v>15.0</v>
      </c>
      <c r="CP96" s="43">
        <v>1.8</v>
      </c>
      <c r="CQ96" s="43">
        <v>1.0</v>
      </c>
      <c r="CR96" s="41" t="s">
        <v>257</v>
      </c>
      <c r="CS96" s="53">
        <v>5.0</v>
      </c>
      <c r="CT96" s="43" t="s">
        <v>841</v>
      </c>
      <c r="CU96" s="27">
        <v>1010.0</v>
      </c>
      <c r="CV96" s="29"/>
      <c r="CW96" s="30">
        <f t="shared" si="12"/>
        <v>0.1886792453</v>
      </c>
      <c r="CX96" s="31">
        <f t="shared" si="19"/>
        <v>0.3486877575</v>
      </c>
      <c r="CY96" s="41"/>
      <c r="CZ96" s="41"/>
      <c r="DA96" s="41" t="s">
        <v>842</v>
      </c>
      <c r="DB96" s="41" t="s">
        <v>843</v>
      </c>
      <c r="DC96" s="41" t="s">
        <v>788</v>
      </c>
      <c r="DD96" s="41"/>
      <c r="DE96" s="41"/>
      <c r="DF96" s="41"/>
      <c r="DG96" s="41"/>
      <c r="DH96" s="41"/>
      <c r="DI96" s="41"/>
      <c r="DJ96" s="41"/>
      <c r="DK96" s="41"/>
      <c r="DL96" s="41"/>
      <c r="DM96" s="45"/>
    </row>
    <row r="97" ht="21.75" customHeight="1">
      <c r="A97" s="89">
        <v>93.0</v>
      </c>
      <c r="B97" s="41" t="s">
        <v>844</v>
      </c>
      <c r="C97" s="79" t="s">
        <v>845</v>
      </c>
      <c r="D97" s="43" t="s">
        <v>846</v>
      </c>
      <c r="E97" s="90">
        <v>45165.0</v>
      </c>
      <c r="F97" s="41" t="s">
        <v>847</v>
      </c>
      <c r="G97" s="36" t="s">
        <v>123</v>
      </c>
      <c r="H97" s="41"/>
      <c r="I97" s="41" t="s">
        <v>181</v>
      </c>
      <c r="J97" s="41" t="s">
        <v>370</v>
      </c>
      <c r="K97" s="41"/>
      <c r="L97" s="41"/>
      <c r="M97" s="43" t="s">
        <v>848</v>
      </c>
      <c r="N97" s="36" t="s">
        <v>151</v>
      </c>
      <c r="O97" s="34">
        <f t="shared" si="23"/>
        <v>69</v>
      </c>
      <c r="P97" s="34">
        <f t="shared" si="21"/>
        <v>69</v>
      </c>
      <c r="Q97" s="43">
        <v>69.0</v>
      </c>
      <c r="R97" s="41"/>
      <c r="S97" s="43">
        <v>53.0</v>
      </c>
      <c r="T97" s="41" t="s">
        <v>116</v>
      </c>
      <c r="U97" s="43">
        <v>35.0</v>
      </c>
      <c r="V97" s="43">
        <v>30.0</v>
      </c>
      <c r="W97" s="43">
        <v>29.0</v>
      </c>
      <c r="X97" s="43">
        <v>28.5</v>
      </c>
      <c r="Y97" s="43"/>
      <c r="Z97" s="43" t="s">
        <v>123</v>
      </c>
      <c r="AA97" s="37">
        <f>Calcs!O97</f>
        <v>637.9</v>
      </c>
      <c r="AB97" s="41" t="s">
        <v>116</v>
      </c>
      <c r="AC97" s="41" t="s">
        <v>116</v>
      </c>
      <c r="AD97" s="41" t="s">
        <v>209</v>
      </c>
      <c r="AE97" s="36">
        <v>2.0</v>
      </c>
      <c r="AF97" s="36" t="s">
        <v>123</v>
      </c>
      <c r="AG97" s="36">
        <v>20.0</v>
      </c>
      <c r="AH97" s="36" t="s">
        <v>170</v>
      </c>
      <c r="AI97" s="41"/>
      <c r="AJ97" s="41">
        <v>4.5</v>
      </c>
      <c r="AK97" s="41"/>
      <c r="AL97" s="41" t="s">
        <v>849</v>
      </c>
      <c r="AM97" s="41"/>
      <c r="AN97" s="43">
        <v>10.0</v>
      </c>
      <c r="AO97" s="41">
        <v>11.0</v>
      </c>
      <c r="AP97" s="41"/>
      <c r="AQ97" s="41" t="s">
        <v>850</v>
      </c>
      <c r="AR97" s="41"/>
      <c r="AS97" s="43" t="s">
        <v>140</v>
      </c>
      <c r="AT97" s="14" t="str">
        <f t="shared" si="35"/>
        <v/>
      </c>
      <c r="AU97" s="24"/>
      <c r="AV97" s="38"/>
      <c r="AW97" s="17">
        <f t="shared" si="4"/>
        <v>765.48</v>
      </c>
      <c r="AX97" s="39" t="s">
        <v>851</v>
      </c>
      <c r="AY97" s="36">
        <v>25.5</v>
      </c>
      <c r="AZ97" s="34"/>
      <c r="BA97" s="34"/>
      <c r="BB97" s="34"/>
      <c r="BC97" s="34"/>
      <c r="BD97" s="34"/>
      <c r="BE97" s="34"/>
      <c r="BF97" s="34"/>
      <c r="BG97" s="34"/>
      <c r="BH97" s="18">
        <f t="shared" si="25"/>
        <v>25.5</v>
      </c>
      <c r="BI97" s="19">
        <f>ifs(BH97=0,"na",BH97="NR","NR",BH97="?","?",BK97&gt;0,"?",iserror(Calcs!AB97),"?",1,Calcs!AB97)</f>
        <v>0.3497153807</v>
      </c>
      <c r="BJ97" s="41" t="s">
        <v>125</v>
      </c>
      <c r="BK97" s="41"/>
      <c r="BL97" s="18">
        <f t="shared" si="6"/>
        <v>25.5</v>
      </c>
      <c r="BM97" s="41"/>
      <c r="BN97" s="41"/>
      <c r="BO97" s="41" t="s">
        <v>598</v>
      </c>
      <c r="BP97" s="20">
        <f>ifs(isblank(AX97),0,BH97="NR","NR",BH97="?","?",1,(AY97*vlookup(AX97,Ores[],2,FALSE)+if(isblank(AZ97),0,BA97*vlookup(AZ97,Ores[],2,FALSE))+if(isblank(BB97),0,BC97*vlookup(BB97,Ores[],2,FALSE))+if(isblank(BD97),0,BE97*vlookup(BD97,Ores[],2,FALSE))+if(isblank(BF97),0,BG97*vlookup(BF97,Ores[],2,FALSE)))/BH97)</f>
        <v>16.1</v>
      </c>
      <c r="BQ97" s="20">
        <f>ifs(isblank(AX97),0,BH97="NR","NR",BH97="?","?",1,(AY97*vlookup(AX97,Ores[],4,FALSE)+if(isblank(AZ97),0,BA97*vlookup(AZ97,Ores[],4,FALSE))+if(isblank(BB97),0,BC97*vlookup(BB97,Ores[],4,FALSE))+if(isblank(BD97),0,BE97*vlookup(BD97,Ores[],4,FALSE))+if(isblank(BF97),0,BG97*vlookup(BF97,Ores[],4,FALSE)))/BH97)</f>
        <v>25.5</v>
      </c>
      <c r="BR97" s="21">
        <f>ifs(isblank(AX97),0,BH97="NR","NR",BH97="?","?",1,(AY97*vlookup(AX97,Ores[],8,FALSE)+if(isblank(AZ97),0,BA97*vlookup(AZ97,Ores[],8,FALSE))+if(isblank(BB97),0,BC97*vlookup(BB97,Ores[],8,FALSE))+if(isblank(BD97),0,BE97*vlookup(BD97,Ores[],8,FALSE))+if(isblank(BF97),0,BG97*vlookup(BF97,Ores[],8,FALSE)))/BH97)</f>
        <v>0</v>
      </c>
      <c r="BS97" s="21">
        <f>ifs(isblank(AX97),0,BH97="NR","NR",BH97="?","?",1,(AY97*vlookup(AX97,Ores[],7,FALSE)+if(isblank(AZ97),0,BA97*vlookup(AZ97,Ores[],7,FALSE))+if(isblank(BB97),0,BC97*vlookup(BB97,Ores[],7,FALSE))+if(isblank(BD97),0,BE97*vlookup(BD97,Ores[],7,FALSE))+if(isblank(BF97),0,BG97*vlookup(BF97,Ores[],7,FALSE)))/BH97)</f>
        <v>0.0498</v>
      </c>
      <c r="BT97" s="21">
        <f>ifs(isblank(AX97),0,BH97="NR","NR",BH97="?","?",1,(AY97*vlookup(AX97,Ores[],3,FALSE)+if(isblank(AZ97),0,BA97*vlookup(AZ97,Ores[],3,FALSE))+if(isblank(BB97),0,BC97*vlookup(BB97,Ores[],3,FALSE))+if(isblank(BD97),0,BE97*vlookup(BD97,Ores[],3,FALSE))+if(isblank(BF97),0,BG97*vlookup(BF97,Ores[],3,FALSE)))/BH97)</f>
        <v>0.0967</v>
      </c>
      <c r="BU97" s="21">
        <f>ifs(isblank(AX97),0,BH97="NR","NR",BH97="?","?",1,(AY97*vlookup(AX97,Ores[],5,FALSE)+if(isblank(AZ97),0,BA97*vlookup(AZ97,Ores[],5,FALSE))+if(isblank(BB97),0,BC97*vlookup(BB97,Ores[],5,FALSE))+if(isblank(BD97),0,BE97*vlookup(BD97,Ores[],5,FALSE))+if(isblank(BF97),0,BG97*vlookup(BF97,Ores[],5,FALSE)))/BH97)</f>
        <v>0.328</v>
      </c>
      <c r="BV97" s="22" t="str">
        <f t="shared" si="30"/>
        <v>NR</v>
      </c>
      <c r="BW97" s="40">
        <v>68.0</v>
      </c>
      <c r="BX97" s="41">
        <v>28.0</v>
      </c>
      <c r="BY97" s="47"/>
      <c r="BZ97" s="56">
        <f t="shared" si="31"/>
        <v>7.625</v>
      </c>
      <c r="CA97" s="53">
        <f t="shared" si="32"/>
        <v>7.625</v>
      </c>
      <c r="CB97" s="43" t="s">
        <v>430</v>
      </c>
      <c r="CC97" s="41" t="s">
        <v>852</v>
      </c>
      <c r="CD97" s="28">
        <f t="shared" si="33"/>
        <v>7.625</v>
      </c>
      <c r="CE97" s="43">
        <f t="shared" si="34"/>
        <v>122</v>
      </c>
      <c r="CF97" s="41"/>
      <c r="CG97" s="43"/>
      <c r="CH97" s="43">
        <v>52.0</v>
      </c>
      <c r="CI97" s="43">
        <v>174.0</v>
      </c>
      <c r="CJ97" s="43" t="s">
        <v>116</v>
      </c>
      <c r="CK97" s="43">
        <v>16.0</v>
      </c>
      <c r="CL97" s="43">
        <v>6.0</v>
      </c>
      <c r="CM97" s="43">
        <v>6.0</v>
      </c>
      <c r="CN97" s="43">
        <v>16.0</v>
      </c>
      <c r="CO97" s="43">
        <v>16.0</v>
      </c>
      <c r="CP97" s="43">
        <v>1.0</v>
      </c>
      <c r="CQ97" s="43">
        <v>1.0</v>
      </c>
      <c r="CR97" s="41" t="s">
        <v>141</v>
      </c>
      <c r="CS97" s="53">
        <v>1.4</v>
      </c>
      <c r="CT97" s="43" t="s">
        <v>853</v>
      </c>
      <c r="CU97" s="30"/>
      <c r="CV97" s="29"/>
      <c r="CW97" s="30">
        <f t="shared" si="12"/>
        <v>0.05490196078</v>
      </c>
      <c r="CX97" s="31">
        <f t="shared" si="19"/>
        <v>0.1569904094</v>
      </c>
      <c r="CY97" s="41"/>
      <c r="CZ97" s="41"/>
      <c r="DA97" s="41" t="s">
        <v>854</v>
      </c>
      <c r="DB97" s="41" t="s">
        <v>855</v>
      </c>
      <c r="DC97" s="41" t="s">
        <v>856</v>
      </c>
      <c r="DD97" s="41"/>
      <c r="DE97" s="41"/>
      <c r="DF97" s="41"/>
      <c r="DG97" s="41"/>
      <c r="DH97" s="41"/>
      <c r="DI97" s="41"/>
      <c r="DJ97" s="41"/>
      <c r="DK97" s="41"/>
      <c r="DL97" s="41"/>
      <c r="DM97" s="45"/>
    </row>
    <row r="98" ht="21.75" customHeight="1">
      <c r="A98" s="41" t="s">
        <v>857</v>
      </c>
      <c r="B98" s="41" t="s">
        <v>858</v>
      </c>
      <c r="C98" s="41" t="s">
        <v>859</v>
      </c>
      <c r="D98" s="41" t="s">
        <v>138</v>
      </c>
      <c r="E98" s="90">
        <v>45227.0</v>
      </c>
      <c r="F98" s="41" t="s">
        <v>109</v>
      </c>
      <c r="G98" s="36" t="s">
        <v>110</v>
      </c>
      <c r="H98" s="43" t="s">
        <v>301</v>
      </c>
      <c r="I98" s="43" t="s">
        <v>286</v>
      </c>
      <c r="J98" s="43" t="s">
        <v>590</v>
      </c>
      <c r="K98" s="41"/>
      <c r="L98" s="41"/>
      <c r="M98" s="43" t="s">
        <v>150</v>
      </c>
      <c r="N98" s="36" t="s">
        <v>168</v>
      </c>
      <c r="O98" s="34">
        <f t="shared" si="23"/>
        <v>62</v>
      </c>
      <c r="P98" s="34">
        <f t="shared" si="21"/>
        <v>62</v>
      </c>
      <c r="Q98" s="43">
        <v>62.0</v>
      </c>
      <c r="R98" s="41"/>
      <c r="S98" s="41">
        <v>45.0</v>
      </c>
      <c r="T98" s="41" t="s">
        <v>860</v>
      </c>
      <c r="U98" s="41">
        <v>25.0</v>
      </c>
      <c r="V98" s="41"/>
      <c r="W98" s="41"/>
      <c r="X98" s="41"/>
      <c r="Y98" s="41"/>
      <c r="Z98" s="41"/>
      <c r="AA98" s="37">
        <f>Calcs!O98</f>
        <v>490.9</v>
      </c>
      <c r="AB98" s="41" t="s">
        <v>795</v>
      </c>
      <c r="AC98" s="41" t="s">
        <v>861</v>
      </c>
      <c r="AD98" s="41" t="s">
        <v>253</v>
      </c>
      <c r="AE98" s="36">
        <v>2.5</v>
      </c>
      <c r="AF98" s="36" t="s">
        <v>123</v>
      </c>
      <c r="AG98" s="43">
        <v>22.0</v>
      </c>
      <c r="AH98" s="36" t="s">
        <v>170</v>
      </c>
      <c r="AI98" s="41"/>
      <c r="AJ98" s="41">
        <v>5.0</v>
      </c>
      <c r="AK98" s="41"/>
      <c r="AL98" s="41" t="s">
        <v>184</v>
      </c>
      <c r="AM98" s="41"/>
      <c r="AN98" s="43">
        <v>19.0</v>
      </c>
      <c r="AO98" s="41">
        <v>18.0</v>
      </c>
      <c r="AP98" s="41"/>
      <c r="AQ98" s="43" t="s">
        <v>862</v>
      </c>
      <c r="AR98" s="41"/>
      <c r="AS98" s="41" t="s">
        <v>863</v>
      </c>
      <c r="AT98" s="36" t="str">
        <f t="shared" si="35"/>
        <v/>
      </c>
      <c r="AU98" s="41"/>
      <c r="AV98" s="38"/>
      <c r="AW98" s="38">
        <f t="shared" si="4"/>
        <v>589.08</v>
      </c>
      <c r="AX98" s="36" t="s">
        <v>544</v>
      </c>
      <c r="AY98" s="36">
        <v>17.5</v>
      </c>
      <c r="AZ98" s="34"/>
      <c r="BA98" s="34"/>
      <c r="BB98" s="34"/>
      <c r="BC98" s="34"/>
      <c r="BD98" s="34"/>
      <c r="BE98" s="34"/>
      <c r="BF98" s="34"/>
      <c r="BG98" s="34"/>
      <c r="BH98" s="63">
        <f t="shared" si="25"/>
        <v>17.5</v>
      </c>
      <c r="BI98" s="93">
        <f>ifs(BH98=0,"na",BH98="NR","NR",BH98="?","?",BK98&gt;0,"?",iserror(Calcs!AB98),"?",1,Calcs!AB98)</f>
        <v>0.5482634678</v>
      </c>
      <c r="BJ98" s="41" t="s">
        <v>282</v>
      </c>
      <c r="BK98" s="41"/>
      <c r="BL98" s="63">
        <f t="shared" si="6"/>
        <v>17.5</v>
      </c>
      <c r="BM98" s="41">
        <v>2.8</v>
      </c>
      <c r="BN98" s="41"/>
      <c r="BO98" s="41" t="s">
        <v>382</v>
      </c>
      <c r="BP98" s="94">
        <f>ifs(isblank(AX98),0,BH98="NR","NR",BH98="?","?",1,(AY98*vlookup(AX98,Ores[],2,FALSE)+if(isblank(AZ98),0,BA98*vlookup(AZ98,Ores[],2,FALSE))+if(isblank(BB98),0,BC98*vlookup(BB98,Ores[],2,FALSE))+if(isblank(BD98),0,BE98*vlookup(BD98,Ores[],2,FALSE))+if(isblank(BF98),0,BG98*vlookup(BF98,Ores[],2,FALSE)))/BH98)</f>
        <v>4.838709677</v>
      </c>
      <c r="BQ98" s="94">
        <f>ifs(isblank(AX98),0,BH98="NR","NR",BH98="?","?",1,(AY98*vlookup(AX98,Ores[],4,FALSE)+if(isblank(AZ98),0,BA98*vlookup(AZ98,Ores[],4,FALSE))+if(isblank(BB98),0,BC98*vlookup(BB98,Ores[],4,FALSE))+if(isblank(BD98),0,BE98*vlookup(BD98,Ores[],4,FALSE))+if(isblank(BF98),0,BG98*vlookup(BF98,Ores[],4,FALSE)))/BH98)</f>
        <v>2.516129032</v>
      </c>
      <c r="BR98" s="95">
        <f>ifs(isblank(AX98),0,BH98="NR","NR",BH98="?","?",1,(AY98*vlookup(AX98,Ores[],8,FALSE)+if(isblank(AZ98),0,BA98*vlookup(AZ98,Ores[],8,FALSE))+if(isblank(BB98),0,BC98*vlookup(BB98,Ores[],8,FALSE))+if(isblank(BD98),0,BE98*vlookup(BD98,Ores[],8,FALSE))+if(isblank(BF98),0,BG98*vlookup(BF98,Ores[],8,FALSE)))/BH98)</f>
        <v>0</v>
      </c>
      <c r="BS98" s="95">
        <f>ifs(isblank(AX98),0,BH98="NR","NR",BH98="?","?",1,(AY98*vlookup(AX98,Ores[],7,FALSE)+if(isblank(AZ98),0,BA98*vlookup(AZ98,Ores[],7,FALSE))+if(isblank(BB98),0,BC98*vlookup(BB98,Ores[],7,FALSE))+if(isblank(BD98),0,BE98*vlookup(BD98,Ores[],7,FALSE))+if(isblank(BF98),0,BG98*vlookup(BF98,Ores[],7,FALSE)))/BH98)</f>
        <v>0</v>
      </c>
      <c r="BT98" s="95">
        <f>ifs(isblank(AX98),0,BH98="NR","NR",BH98="?","?",1,(AY98*vlookup(AX98,Ores[],3,FALSE)+if(isblank(AZ98),0,BA98*vlookup(AZ98,Ores[],3,FALSE))+if(isblank(BB98),0,BC98*vlookup(BB98,Ores[],3,FALSE))+if(isblank(BD98),0,BE98*vlookup(BD98,Ores[],3,FALSE))+if(isblank(BF98),0,BG98*vlookup(BF98,Ores[],3,FALSE)))/BH98)</f>
        <v>1.935483871</v>
      </c>
      <c r="BU98" s="95">
        <f>ifs(isblank(AX98),0,BH98="NR","NR",BH98="?","?",1,(AY98*vlookup(AX98,Ores[],5,FALSE)+if(isblank(AZ98),0,BA98*vlookup(AZ98,Ores[],5,FALSE))+if(isblank(BB98),0,BC98*vlookup(BB98,Ores[],5,FALSE))+if(isblank(BD98),0,BE98*vlookup(BD98,Ores[],5,FALSE))+if(isblank(BF98),0,BG98*vlookup(BF98,Ores[],5,FALSE)))/BH98)</f>
        <v>0</v>
      </c>
      <c r="BV98" s="53">
        <f t="shared" si="30"/>
        <v>16.47916667</v>
      </c>
      <c r="BW98" s="40">
        <v>56.0</v>
      </c>
      <c r="BX98" s="41">
        <v>48.0</v>
      </c>
      <c r="BY98" s="47"/>
      <c r="BZ98" s="56">
        <f t="shared" si="31"/>
        <v>33.08333333</v>
      </c>
      <c r="CA98" s="53">
        <f t="shared" si="32"/>
        <v>17.88288288</v>
      </c>
      <c r="CB98" s="43" t="s">
        <v>864</v>
      </c>
      <c r="CC98" s="41" t="s">
        <v>865</v>
      </c>
      <c r="CD98" s="44">
        <f t="shared" si="33"/>
        <v>17.88288288</v>
      </c>
      <c r="CE98" s="43">
        <f t="shared" si="34"/>
        <v>397</v>
      </c>
      <c r="CF98" s="41"/>
      <c r="CG98" s="43">
        <v>217.0</v>
      </c>
      <c r="CH98" s="43">
        <v>299.0</v>
      </c>
      <c r="CI98" s="43">
        <v>696.0</v>
      </c>
      <c r="CJ98" s="43">
        <v>791.0</v>
      </c>
      <c r="CK98" s="43">
        <v>12.0</v>
      </c>
      <c r="CL98" s="43">
        <v>16.0</v>
      </c>
      <c r="CM98" s="43">
        <v>8.0</v>
      </c>
      <c r="CN98" s="43">
        <v>22.2</v>
      </c>
      <c r="CO98" s="43">
        <v>12.0</v>
      </c>
      <c r="CP98" s="43">
        <v>1.7</v>
      </c>
      <c r="CQ98" s="43">
        <v>1.0</v>
      </c>
      <c r="CR98" s="41" t="s">
        <v>257</v>
      </c>
      <c r="CS98" s="44">
        <v>3.023</v>
      </c>
      <c r="CT98" s="41" t="s">
        <v>199</v>
      </c>
      <c r="CU98" s="96"/>
      <c r="CV98" s="97"/>
      <c r="CW98" s="96">
        <f t="shared" si="12"/>
        <v>0.1727428571</v>
      </c>
      <c r="CX98" s="98">
        <f t="shared" si="19"/>
        <v>0.315072711</v>
      </c>
      <c r="CY98" s="41"/>
      <c r="CZ98" s="41"/>
      <c r="DA98" s="41" t="s">
        <v>866</v>
      </c>
      <c r="DB98" s="41" t="s">
        <v>867</v>
      </c>
      <c r="DC98" s="41" t="s">
        <v>868</v>
      </c>
      <c r="DD98" s="41"/>
      <c r="DE98" s="41"/>
      <c r="DF98" s="41"/>
      <c r="DG98" s="41"/>
      <c r="DH98" s="41"/>
      <c r="DI98" s="41"/>
      <c r="DJ98" s="41"/>
      <c r="DK98" s="41"/>
      <c r="DL98" s="41"/>
      <c r="DM98" s="41"/>
    </row>
    <row r="99" ht="21.75" customHeight="1">
      <c r="A99" s="43" t="s">
        <v>869</v>
      </c>
      <c r="B99" s="43" t="s">
        <v>870</v>
      </c>
      <c r="C99" s="43" t="s">
        <v>871</v>
      </c>
      <c r="D99" s="43" t="s">
        <v>872</v>
      </c>
      <c r="E99" s="99">
        <v>45464.0</v>
      </c>
      <c r="F99" s="43" t="s">
        <v>109</v>
      </c>
      <c r="G99" s="43" t="s">
        <v>123</v>
      </c>
      <c r="H99" s="43" t="s">
        <v>301</v>
      </c>
      <c r="I99" s="43" t="s">
        <v>606</v>
      </c>
      <c r="J99" s="43" t="s">
        <v>873</v>
      </c>
      <c r="K99" s="41"/>
      <c r="L99" s="41"/>
      <c r="M99" s="43" t="s">
        <v>150</v>
      </c>
      <c r="N99" s="43" t="s">
        <v>168</v>
      </c>
      <c r="O99" s="43">
        <v>72.0</v>
      </c>
      <c r="P99" s="43">
        <v>94.0</v>
      </c>
      <c r="Q99" s="43">
        <v>48.0</v>
      </c>
      <c r="R99" s="43">
        <v>48.0</v>
      </c>
      <c r="S99" s="43">
        <v>59.0</v>
      </c>
      <c r="T99" s="43" t="s">
        <v>874</v>
      </c>
      <c r="U99" s="43">
        <v>25.0</v>
      </c>
      <c r="V99" s="41"/>
      <c r="W99" s="41"/>
      <c r="X99" s="41"/>
      <c r="Y99" s="41"/>
      <c r="Z99" s="41"/>
      <c r="AA99" s="37">
        <f>Calcs!O99</f>
        <v>490.9</v>
      </c>
      <c r="AB99" s="43" t="s">
        <v>875</v>
      </c>
      <c r="AC99" s="43" t="s">
        <v>876</v>
      </c>
      <c r="AD99" s="43" t="s">
        <v>262</v>
      </c>
      <c r="AE99" s="43">
        <v>2.5</v>
      </c>
      <c r="AF99" s="43" t="s">
        <v>110</v>
      </c>
      <c r="AG99" s="43">
        <v>22.0</v>
      </c>
      <c r="AH99" s="43" t="s">
        <v>170</v>
      </c>
      <c r="AI99" s="41"/>
      <c r="AJ99" s="43">
        <v>4.5</v>
      </c>
      <c r="AK99" s="41"/>
      <c r="AL99" s="43" t="s">
        <v>184</v>
      </c>
      <c r="AM99" s="43"/>
      <c r="AN99" s="43">
        <v>10.0</v>
      </c>
      <c r="AO99" s="43">
        <v>13.0</v>
      </c>
      <c r="AP99" s="41"/>
      <c r="AQ99" s="43" t="s">
        <v>862</v>
      </c>
      <c r="AR99" s="43"/>
      <c r="AS99" s="43"/>
      <c r="AT99" s="43">
        <v>525.0</v>
      </c>
      <c r="AU99" s="43" t="s">
        <v>123</v>
      </c>
      <c r="AV99" s="38"/>
      <c r="AW99" s="38">
        <f t="shared" si="4"/>
        <v>589.08</v>
      </c>
      <c r="AX99" s="36" t="s">
        <v>544</v>
      </c>
      <c r="AY99" s="36">
        <v>17.5</v>
      </c>
      <c r="AZ99" s="34"/>
      <c r="BA99" s="34"/>
      <c r="BB99" s="34"/>
      <c r="BC99" s="34"/>
      <c r="BD99" s="41"/>
      <c r="BE99" s="41"/>
      <c r="BF99" s="41"/>
      <c r="BG99" s="41"/>
      <c r="BH99" s="63">
        <f t="shared" si="25"/>
        <v>17.5</v>
      </c>
      <c r="BI99" s="93">
        <f>ifs(BH99=0,"na",BH99="NR","NR",BH99="?","?",BK99&gt;0,"?",iserror(Calcs!AB99),"?",1,Calcs!AB99)</f>
        <v>0.5482634678</v>
      </c>
      <c r="BJ99" s="43" t="s">
        <v>282</v>
      </c>
      <c r="BK99" s="41"/>
      <c r="BL99" s="63">
        <f t="shared" si="6"/>
        <v>17.5</v>
      </c>
      <c r="BM99" s="43">
        <v>4.0</v>
      </c>
      <c r="BN99" s="41"/>
      <c r="BO99" s="43" t="s">
        <v>382</v>
      </c>
      <c r="BP99" s="94">
        <f>ifs(isblank(AX99),0,BH99="NR","NR",BH99="?","?",1,(AY99*vlookup(AX99,Ores[],2,FALSE)+if(isblank(AZ99),0,BA99*vlookup(AZ99,Ores[],2,FALSE))+if(isblank(BB99),0,BC99*vlookup(BB99,Ores[],2,FALSE))+if(isblank(BD99),0,BE99*vlookup(BD99,Ores[],2,FALSE))+if(isblank(BF99),0,BG99*vlookup(BF99,Ores[],2,FALSE)))/BH99)</f>
        <v>4.838709677</v>
      </c>
      <c r="BQ99" s="94">
        <f>ifs(isblank(AX99),0,BH99="NR","NR",BH99="?","?",1,(AY99*vlookup(AX99,Ores[],4,FALSE)+if(isblank(AZ99),0,BA99*vlookup(AZ99,Ores[],4,FALSE))+if(isblank(BB99),0,BC99*vlookup(BB99,Ores[],4,FALSE))+if(isblank(BD99),0,BE99*vlookup(BD99,Ores[],4,FALSE))+if(isblank(BF99),0,BG99*vlookup(BF99,Ores[],4,FALSE)))/BH99)</f>
        <v>2.516129032</v>
      </c>
      <c r="BR99" s="95">
        <f>ifs(isblank(AX99),0,BH99="NR","NR",BH99="?","?",1,(AY99*vlookup(AX99,Ores[],8,FALSE)+if(isblank(AZ99),0,BA99*vlookup(AZ99,Ores[],8,FALSE))+if(isblank(BB99),0,BC99*vlookup(BB99,Ores[],8,FALSE))+if(isblank(BD99),0,BE99*vlookup(BD99,Ores[],8,FALSE))+if(isblank(BF99),0,BG99*vlookup(BF99,Ores[],8,FALSE)))/BH99)</f>
        <v>0</v>
      </c>
      <c r="BS99" s="95">
        <f>ifs(isblank(AX99),0,BH99="NR","NR",BH99="?","?",1,(AY99*vlookup(AX99,Ores[],7,FALSE)+if(isblank(AZ99),0,BA99*vlookup(AZ99,Ores[],7,FALSE))+if(isblank(BB99),0,BC99*vlookup(BB99,Ores[],7,FALSE))+if(isblank(BD99),0,BE99*vlookup(BD99,Ores[],7,FALSE))+if(isblank(BF99),0,BG99*vlookup(BF99,Ores[],7,FALSE)))/BH99)</f>
        <v>0</v>
      </c>
      <c r="BT99" s="95">
        <f>ifs(isblank(AX99),0,BH99="NR","NR",BH99="?","?",1,(AY99*vlookup(AX99,Ores[],3,FALSE)+if(isblank(AZ99),0,BA99*vlookup(AZ99,Ores[],3,FALSE))+if(isblank(BB99),0,BC99*vlookup(BB99,Ores[],3,FALSE))+if(isblank(BD99),0,BE99*vlookup(BD99,Ores[],3,FALSE))+if(isblank(BF99),0,BG99*vlookup(BF99,Ores[],3,FALSE)))/BH99)</f>
        <v>1.935483871</v>
      </c>
      <c r="BU99" s="95">
        <f>ifs(isblank(AX99),0,BH99="NR","NR",BH99="?","?",1,(AY99*vlookup(AX99,Ores[],5,FALSE)+if(isblank(AZ99),0,BA99*vlookup(AZ99,Ores[],5,FALSE))+if(isblank(BB99),0,BC99*vlookup(BB99,Ores[],5,FALSE))+if(isblank(BD99),0,BE99*vlookup(BD99,Ores[],5,FALSE))+if(isblank(BF99),0,BG99*vlookup(BF99,Ores[],5,FALSE)))/BH99)</f>
        <v>0</v>
      </c>
      <c r="BV99" s="53">
        <f t="shared" si="30"/>
        <v>9.557377049</v>
      </c>
      <c r="BW99" s="40">
        <v>141.0</v>
      </c>
      <c r="BX99" s="43">
        <v>61.0</v>
      </c>
      <c r="BY99" s="47"/>
      <c r="BZ99" s="56">
        <f t="shared" si="31"/>
        <v>22.78571429</v>
      </c>
      <c r="CA99" s="53">
        <f t="shared" si="32"/>
        <v>11.9924812</v>
      </c>
      <c r="CB99" s="43" t="s">
        <v>877</v>
      </c>
      <c r="CC99" s="43" t="s">
        <v>878</v>
      </c>
      <c r="CD99" s="44">
        <f t="shared" si="33"/>
        <v>11.9924812</v>
      </c>
      <c r="CE99" s="43">
        <f t="shared" si="34"/>
        <v>319</v>
      </c>
      <c r="CF99" s="41"/>
      <c r="CG99" s="43">
        <v>156.0</v>
      </c>
      <c r="CH99" s="43">
        <v>257.0</v>
      </c>
      <c r="CI99" s="43">
        <v>576.0</v>
      </c>
      <c r="CJ99" s="43">
        <v>583.0</v>
      </c>
      <c r="CK99" s="43">
        <v>14.0</v>
      </c>
      <c r="CL99" s="43">
        <v>26.6</v>
      </c>
      <c r="CM99" s="43">
        <v>14.0</v>
      </c>
      <c r="CN99" s="43">
        <v>26.6</v>
      </c>
      <c r="CO99" s="43">
        <v>14.0</v>
      </c>
      <c r="CP99" s="43">
        <v>0.0</v>
      </c>
      <c r="CQ99" s="43">
        <v>0.0</v>
      </c>
      <c r="CR99" s="43" t="s">
        <v>257</v>
      </c>
      <c r="CS99" s="44" t="s">
        <v>116</v>
      </c>
      <c r="CT99" s="43" t="s">
        <v>199</v>
      </c>
      <c r="CU99" s="53"/>
      <c r="CV99" s="97"/>
      <c r="CW99" s="96" t="str">
        <f t="shared" si="12"/>
        <v>NR</v>
      </c>
      <c r="CX99" s="98" t="str">
        <f t="shared" si="19"/>
        <v>NR</v>
      </c>
      <c r="CY99" s="41"/>
      <c r="CZ99" s="41"/>
      <c r="DA99" s="43" t="s">
        <v>866</v>
      </c>
      <c r="DB99" s="43" t="s">
        <v>867</v>
      </c>
      <c r="DC99" s="43" t="s">
        <v>879</v>
      </c>
      <c r="DD99" s="41"/>
      <c r="DE99" s="41"/>
      <c r="DF99" s="41"/>
      <c r="DG99" s="41"/>
      <c r="DH99" s="41"/>
      <c r="DI99" s="41"/>
      <c r="DJ99" s="41"/>
      <c r="DK99" s="41"/>
      <c r="DL99" s="41"/>
      <c r="DM99" s="41"/>
    </row>
    <row r="100" ht="21.75" customHeight="1">
      <c r="A100" s="43" t="s">
        <v>880</v>
      </c>
      <c r="B100" s="43" t="s">
        <v>881</v>
      </c>
      <c r="C100" s="43" t="s">
        <v>882</v>
      </c>
      <c r="D100" s="43" t="s">
        <v>138</v>
      </c>
      <c r="E100" s="99">
        <v>45578.0</v>
      </c>
      <c r="F100" s="43" t="s">
        <v>109</v>
      </c>
      <c r="G100" s="43" t="s">
        <v>110</v>
      </c>
      <c r="H100" s="43" t="s">
        <v>301</v>
      </c>
      <c r="I100" s="43" t="s">
        <v>286</v>
      </c>
      <c r="J100" s="43" t="s">
        <v>590</v>
      </c>
      <c r="K100" s="41"/>
      <c r="L100" s="41"/>
      <c r="M100" s="43" t="s">
        <v>150</v>
      </c>
      <c r="N100" s="43" t="s">
        <v>168</v>
      </c>
      <c r="O100" s="43">
        <v>61.0</v>
      </c>
      <c r="P100" s="43">
        <v>61.0</v>
      </c>
      <c r="Q100" s="43">
        <v>61.0</v>
      </c>
      <c r="R100" s="41"/>
      <c r="S100" s="43">
        <v>43.0</v>
      </c>
      <c r="T100" s="43">
        <v>33.0</v>
      </c>
      <c r="U100" s="43">
        <v>23.0</v>
      </c>
      <c r="V100" s="41"/>
      <c r="W100" s="41"/>
      <c r="X100" s="43">
        <v>22.0</v>
      </c>
      <c r="Y100" s="41"/>
      <c r="Z100" s="41"/>
      <c r="AA100" s="37">
        <f>Calcs!O100</f>
        <v>380.1</v>
      </c>
      <c r="AB100" s="43">
        <v>5.0</v>
      </c>
      <c r="AC100" s="43" t="s">
        <v>883</v>
      </c>
      <c r="AD100" s="41" t="s">
        <v>253</v>
      </c>
      <c r="AE100" s="43">
        <v>2.5</v>
      </c>
      <c r="AF100" s="43" t="s">
        <v>123</v>
      </c>
      <c r="AG100" s="43">
        <v>22.0</v>
      </c>
      <c r="AH100" s="43" t="s">
        <v>170</v>
      </c>
      <c r="AI100" s="41"/>
      <c r="AJ100" s="43">
        <v>5.0</v>
      </c>
      <c r="AK100" s="41"/>
      <c r="AL100" s="43" t="s">
        <v>184</v>
      </c>
      <c r="AM100" s="41"/>
      <c r="AN100" s="43">
        <v>19.0</v>
      </c>
      <c r="AO100" s="43">
        <v>18.0</v>
      </c>
      <c r="AP100" s="41"/>
      <c r="AQ100" s="43" t="s">
        <v>862</v>
      </c>
      <c r="AR100" s="41"/>
      <c r="AS100" s="41"/>
      <c r="AT100" s="100">
        <f>1000*0.85*0.7071</f>
        <v>601.035</v>
      </c>
      <c r="AU100" s="43" t="s">
        <v>123</v>
      </c>
      <c r="AV100" s="49"/>
      <c r="AW100" s="38">
        <f t="shared" si="4"/>
        <v>456.12</v>
      </c>
      <c r="AX100" s="36" t="s">
        <v>544</v>
      </c>
      <c r="AY100" s="36">
        <v>15.0</v>
      </c>
      <c r="AZ100" s="34"/>
      <c r="BA100" s="34"/>
      <c r="BB100" s="34"/>
      <c r="BC100" s="34"/>
      <c r="BD100" s="41"/>
      <c r="BE100" s="41"/>
      <c r="BF100" s="41"/>
      <c r="BG100" s="41"/>
      <c r="BH100" s="63">
        <f t="shared" si="25"/>
        <v>15</v>
      </c>
      <c r="BI100" s="93">
        <f>ifs(BH100=0,"na",BH100="NR","NR",BH100="?","?",BK100&gt;0,"?",iserror(Calcs!AB100),"?",1,Calcs!AB100)</f>
        <v>0.5482634678</v>
      </c>
      <c r="BJ100" s="43" t="s">
        <v>282</v>
      </c>
      <c r="BK100" s="41"/>
      <c r="BL100" s="63">
        <f t="shared" si="6"/>
        <v>15</v>
      </c>
      <c r="BM100" s="43">
        <v>3.0</v>
      </c>
      <c r="BN100" s="41"/>
      <c r="BO100" s="43" t="s">
        <v>382</v>
      </c>
      <c r="BP100" s="94">
        <f>ifs(isblank(AX100),0,BH100="NR","NR",BH100="?","?",1,(AY100*vlookup(AX100,Ores[],2,FALSE)+if(isblank(AZ100),0,BA100*vlookup(AZ100,Ores[],2,FALSE))+if(isblank(BB100),0,BC100*vlookup(BB100,Ores[],2,FALSE))+if(isblank(BD100),0,BE100*vlookup(BD100,Ores[],2,FALSE))+if(isblank(BF100),0,BG100*vlookup(BF100,Ores[],2,FALSE)))/BH100)</f>
        <v>4.838709677</v>
      </c>
      <c r="BQ100" s="94">
        <f>ifs(isblank(AX100),0,BH100="NR","NR",BH100="?","?",1,(AY100*vlookup(AX100,Ores[],4,FALSE)+if(isblank(AZ100),0,BA100*vlookup(AZ100,Ores[],4,FALSE))+if(isblank(BB100),0,BC100*vlookup(BB100,Ores[],4,FALSE))+if(isblank(BD100),0,BE100*vlookup(BD100,Ores[],4,FALSE))+if(isblank(BF100),0,BG100*vlookup(BF100,Ores[],4,FALSE)))/BH100)</f>
        <v>2.516129032</v>
      </c>
      <c r="BR100" s="95">
        <f>ifs(isblank(AX100),0,BH100="NR","NR",BH100="?","?",1,(AY100*vlookup(AX100,Ores[],8,FALSE)+if(isblank(AZ100),0,BA100*vlookup(AZ100,Ores[],8,FALSE))+if(isblank(BB100),0,BC100*vlookup(BB100,Ores[],8,FALSE))+if(isblank(BD100),0,BE100*vlookup(BD100,Ores[],8,FALSE))+if(isblank(BF100),0,BG100*vlookup(BF100,Ores[],8,FALSE)))/BH100)</f>
        <v>0</v>
      </c>
      <c r="BS100" s="95">
        <f>ifs(isblank(AX100),0,BH100="NR","NR",BH100="?","?",1,(AY100*vlookup(AX100,Ores[],7,FALSE)+if(isblank(AZ100),0,BA100*vlookup(AZ100,Ores[],7,FALSE))+if(isblank(BB100),0,BC100*vlookup(BB100,Ores[],7,FALSE))+if(isblank(BD100),0,BE100*vlookup(BD100,Ores[],7,FALSE))+if(isblank(BF100),0,BG100*vlookup(BF100,Ores[],7,FALSE)))/BH100)</f>
        <v>0</v>
      </c>
      <c r="BT100" s="95">
        <f>ifs(isblank(AX100),0,BH100="NR","NR",BH100="?","?",1,(AY100*vlookup(AX100,Ores[],3,FALSE)+if(isblank(AZ100),0,BA100*vlookup(AZ100,Ores[],3,FALSE))+if(isblank(BB100),0,BC100*vlookup(BB100,Ores[],3,FALSE))+if(isblank(BD100),0,BE100*vlookup(BD100,Ores[],3,FALSE))+if(isblank(BF100),0,BG100*vlookup(BF100,Ores[],3,FALSE)))/BH100)</f>
        <v>1.935483871</v>
      </c>
      <c r="BU100" s="95">
        <f>ifs(isblank(AX100),0,BH100="NR","NR",BH100="?","?",1,(AY100*vlookup(AX100,Ores[],5,FALSE)+if(isblank(AZ100),0,BA100*vlookup(AZ100,Ores[],5,FALSE))+if(isblank(BB100),0,BC100*vlookup(BB100,Ores[],5,FALSE))+if(isblank(BD100),0,BE100*vlookup(BD100,Ores[],5,FALSE))+if(isblank(BF100),0,BG100*vlookup(BF100,Ores[],5,FALSE)))/BH100)</f>
        <v>0</v>
      </c>
      <c r="BV100" s="53">
        <f t="shared" si="30"/>
        <v>18.01204819</v>
      </c>
      <c r="BW100" s="40">
        <v>177.0</v>
      </c>
      <c r="BX100" s="43">
        <f>20.75*1.6</f>
        <v>33.2</v>
      </c>
      <c r="BY100" s="47"/>
      <c r="BZ100" s="56">
        <f t="shared" si="31"/>
        <v>33.2</v>
      </c>
      <c r="CA100" s="53">
        <f t="shared" si="32"/>
        <v>20.75</v>
      </c>
      <c r="CB100" s="43" t="s">
        <v>864</v>
      </c>
      <c r="CC100" s="41" t="s">
        <v>865</v>
      </c>
      <c r="CD100" s="44">
        <f t="shared" si="33"/>
        <v>20.75</v>
      </c>
      <c r="CE100" s="43">
        <f t="shared" si="34"/>
        <v>332</v>
      </c>
      <c r="CF100" s="41"/>
      <c r="CG100" s="43">
        <v>124.0</v>
      </c>
      <c r="CH100" s="43">
        <v>208.0</v>
      </c>
      <c r="CI100" s="43">
        <v>540.0</v>
      </c>
      <c r="CJ100" s="43">
        <v>598.0</v>
      </c>
      <c r="CK100" s="43">
        <v>10.0</v>
      </c>
      <c r="CL100" s="43">
        <v>11.2</v>
      </c>
      <c r="CM100" s="43">
        <v>7.0</v>
      </c>
      <c r="CN100" s="43">
        <v>16.0</v>
      </c>
      <c r="CO100" s="43">
        <v>10.0</v>
      </c>
      <c r="CP100" s="43">
        <v>1.2</v>
      </c>
      <c r="CQ100" s="43">
        <v>1.0</v>
      </c>
      <c r="CR100" s="43" t="s">
        <v>257</v>
      </c>
      <c r="CS100" s="44">
        <v>3.302</v>
      </c>
      <c r="CT100" s="43" t="s">
        <v>884</v>
      </c>
      <c r="CU100" s="53"/>
      <c r="CV100" s="97"/>
      <c r="CW100" s="96">
        <f t="shared" si="12"/>
        <v>0.2201333333</v>
      </c>
      <c r="CX100" s="98">
        <f t="shared" si="19"/>
        <v>0.4015101247</v>
      </c>
      <c r="CY100" s="41"/>
      <c r="CZ100" s="41"/>
      <c r="DA100" s="43" t="s">
        <v>866</v>
      </c>
      <c r="DB100" s="43" t="s">
        <v>867</v>
      </c>
      <c r="DC100" s="41" t="s">
        <v>868</v>
      </c>
      <c r="DD100" s="101"/>
      <c r="DE100" s="101"/>
      <c r="DF100" s="101"/>
      <c r="DG100" s="101"/>
      <c r="DH100" s="101"/>
      <c r="DI100" s="101"/>
      <c r="DJ100" s="101"/>
      <c r="DK100" s="101"/>
      <c r="DL100" s="101"/>
      <c r="DM100" s="101"/>
    </row>
    <row r="101" ht="21.75" customHeight="1">
      <c r="A101" s="43">
        <v>97.0</v>
      </c>
      <c r="B101" s="43" t="s">
        <v>885</v>
      </c>
      <c r="C101" s="43" t="s">
        <v>886</v>
      </c>
      <c r="D101" s="43"/>
      <c r="E101" s="99">
        <v>45584.0</v>
      </c>
      <c r="F101" s="43" t="s">
        <v>109</v>
      </c>
      <c r="G101" s="43" t="s">
        <v>110</v>
      </c>
      <c r="H101" s="43"/>
      <c r="I101" s="36" t="s">
        <v>887</v>
      </c>
      <c r="J101" s="36" t="s">
        <v>888</v>
      </c>
      <c r="K101" s="43"/>
      <c r="L101" s="43"/>
      <c r="M101" s="43" t="s">
        <v>150</v>
      </c>
      <c r="N101" s="43" t="s">
        <v>168</v>
      </c>
      <c r="O101" s="43">
        <v>86.0</v>
      </c>
      <c r="P101" s="43">
        <v>86.0</v>
      </c>
      <c r="Q101" s="43">
        <v>86.0</v>
      </c>
      <c r="R101" s="41"/>
      <c r="S101" s="43">
        <v>43.0</v>
      </c>
      <c r="T101" s="43">
        <v>39.0</v>
      </c>
      <c r="U101" s="43">
        <v>29.0</v>
      </c>
      <c r="V101" s="41"/>
      <c r="W101" s="41"/>
      <c r="X101" s="43">
        <v>29.0</v>
      </c>
      <c r="Y101" s="41"/>
      <c r="Z101" s="41"/>
      <c r="AA101" s="37">
        <f>Calcs!O101</f>
        <v>660.5</v>
      </c>
      <c r="AB101" s="43">
        <v>5.0</v>
      </c>
      <c r="AC101" s="43" t="s">
        <v>312</v>
      </c>
      <c r="AD101" s="43" t="s">
        <v>253</v>
      </c>
      <c r="AE101" s="43" t="s">
        <v>116</v>
      </c>
      <c r="AF101" s="43" t="s">
        <v>123</v>
      </c>
      <c r="AG101" s="43">
        <v>22.5</v>
      </c>
      <c r="AH101" s="43" t="s">
        <v>170</v>
      </c>
      <c r="AI101" s="41"/>
      <c r="AJ101" s="43">
        <v>5.0</v>
      </c>
      <c r="AK101" s="41"/>
      <c r="AL101" s="41"/>
      <c r="AM101" s="41"/>
      <c r="AN101" s="43">
        <v>12.0</v>
      </c>
      <c r="AO101" s="43">
        <v>12.0</v>
      </c>
      <c r="AP101" s="41"/>
      <c r="AQ101" s="43" t="s">
        <v>889</v>
      </c>
      <c r="AR101" s="43"/>
      <c r="AS101" s="41"/>
      <c r="AT101" s="43" t="s">
        <v>116</v>
      </c>
      <c r="AU101" s="41"/>
      <c r="AV101" s="49"/>
      <c r="AW101" s="38">
        <f t="shared" si="4"/>
        <v>792.6</v>
      </c>
      <c r="AX101" s="36" t="s">
        <v>890</v>
      </c>
      <c r="AY101" s="36">
        <v>31.0</v>
      </c>
      <c r="AZ101" s="34"/>
      <c r="BA101" s="34"/>
      <c r="BB101" s="34"/>
      <c r="BC101" s="34"/>
      <c r="BD101" s="41"/>
      <c r="BE101" s="41"/>
      <c r="BF101" s="41"/>
      <c r="BG101" s="41"/>
      <c r="BH101" s="63">
        <f t="shared" si="25"/>
        <v>31</v>
      </c>
      <c r="BI101" s="93" t="str">
        <f>ifs(BH101=0,"na",BH101="NR","NR",BH101="?","?",BK101&gt;0,"?",iserror(Calcs!AB101),"?",1,Calcs!AB101)</f>
        <v>?</v>
      </c>
      <c r="BJ101" s="41"/>
      <c r="BK101" s="43"/>
      <c r="BL101" s="63">
        <f t="shared" si="6"/>
        <v>31</v>
      </c>
      <c r="BM101" s="41"/>
      <c r="BN101" s="41"/>
      <c r="BO101" s="41"/>
      <c r="BP101" s="94">
        <f>ifs(isblank(AX101),0,BH101="NR","NR",BH101="?","?",1,(AY101*vlookup(AX101,Ores[],2,FALSE)+if(isblank(AZ101),0,BA101*vlookup(AZ101,Ores[],2,FALSE))+if(isblank(BB101),0,BC101*vlookup(BB101,Ores[],2,FALSE))+if(isblank(BD101),0,BE101*vlookup(BD101,Ores[],2,FALSE))+if(isblank(BF101),0,BG101*vlookup(BF101,Ores[],2,FALSE)))/BH101)</f>
        <v>0</v>
      </c>
      <c r="BQ101" s="94">
        <f>ifs(isblank(AX101),0,BH101="NR","NR",BH101="?","?",1,(AY101*vlookup(AX101,Ores[],4,FALSE)+if(isblank(AZ101),0,BA101*vlookup(AZ101,Ores[],4,FALSE))+if(isblank(BB101),0,BC101*vlookup(BB101,Ores[],4,FALSE))+if(isblank(BD101),0,BE101*vlookup(BD101,Ores[],4,FALSE))+if(isblank(BF101),0,BG101*vlookup(BF101,Ores[],4,FALSE)))/BH101)</f>
        <v>0</v>
      </c>
      <c r="BR101" s="95">
        <f>ifs(isblank(AX101),0,BH101="NR","NR",BH101="?","?",1,(AY101*vlookup(AX101,Ores[],8,FALSE)+if(isblank(AZ101),0,BA101*vlookup(AZ101,Ores[],8,FALSE))+if(isblank(BB101),0,BC101*vlookup(BB101,Ores[],8,FALSE))+if(isblank(BD101),0,BE101*vlookup(BD101,Ores[],8,FALSE))+if(isblank(BF101),0,BG101*vlookup(BF101,Ores[],8,FALSE)))/BH101)</f>
        <v>0</v>
      </c>
      <c r="BS101" s="95">
        <f>ifs(isblank(AX101),0,BH101="NR","NR",BH101="?","?",1,(AY101*vlookup(AX101,Ores[],7,FALSE)+if(isblank(AZ101),0,BA101*vlookup(AZ101,Ores[],7,FALSE))+if(isblank(BB101),0,BC101*vlookup(BB101,Ores[],7,FALSE))+if(isblank(BD101),0,BE101*vlookup(BD101,Ores[],7,FALSE))+if(isblank(BF101),0,BG101*vlookup(BF101,Ores[],7,FALSE)))/BH101)</f>
        <v>0</v>
      </c>
      <c r="BT101" s="95">
        <f>ifs(isblank(AX101),0,BH101="NR","NR",BH101="?","?",1,(AY101*vlookup(AX101,Ores[],3,FALSE)+if(isblank(AZ101),0,BA101*vlookup(AZ101,Ores[],3,FALSE))+if(isblank(BB101),0,BC101*vlookup(BB101,Ores[],3,FALSE))+if(isblank(BD101),0,BE101*vlookup(BD101,Ores[],3,FALSE))+if(isblank(BF101),0,BG101*vlookup(BF101,Ores[],3,FALSE)))/BH101)</f>
        <v>0</v>
      </c>
      <c r="BU101" s="95">
        <f>ifs(isblank(AX101),0,BH101="NR","NR",BH101="?","?",1,(AY101*vlookup(AX101,Ores[],5,FALSE)+if(isblank(AZ101),0,BA101*vlookup(AZ101,Ores[],5,FALSE))+if(isblank(BB101),0,BC101*vlookup(BB101,Ores[],5,FALSE))+if(isblank(BD101),0,BE101*vlookup(BD101,Ores[],5,FALSE))+if(isblank(BF101),0,BG101*vlookup(BF101,Ores[],5,FALSE)))/BH101)</f>
        <v>0</v>
      </c>
      <c r="BV101" s="53">
        <f t="shared" si="30"/>
        <v>8.615136876</v>
      </c>
      <c r="BW101" s="40">
        <v>125.0</v>
      </c>
      <c r="BX101" s="43">
        <v>37.26</v>
      </c>
      <c r="BY101" s="47"/>
      <c r="BZ101" s="56">
        <f t="shared" si="31"/>
        <v>9.9375</v>
      </c>
      <c r="CA101" s="53">
        <f t="shared" si="32"/>
        <v>13.12964492</v>
      </c>
      <c r="CB101" s="43" t="s">
        <v>891</v>
      </c>
      <c r="CC101" s="43" t="s">
        <v>892</v>
      </c>
      <c r="CD101" s="44">
        <f t="shared" si="33"/>
        <v>13.12964492</v>
      </c>
      <c r="CE101" s="41">
        <f t="shared" si="34"/>
        <v>159</v>
      </c>
      <c r="CF101" s="43" t="s">
        <v>123</v>
      </c>
      <c r="CG101" s="41"/>
      <c r="CH101" s="43">
        <v>105.0</v>
      </c>
      <c r="CI101" s="43">
        <v>264.0</v>
      </c>
      <c r="CJ101" s="43">
        <f>264+57</f>
        <v>321</v>
      </c>
      <c r="CK101" s="43">
        <v>15.0</v>
      </c>
      <c r="CL101" s="43">
        <v>31.0</v>
      </c>
      <c r="CM101" s="43">
        <v>7.0</v>
      </c>
      <c r="CN101" s="43">
        <v>12.11</v>
      </c>
      <c r="CO101" s="43">
        <v>16.0</v>
      </c>
      <c r="CP101" s="43">
        <v>25.15</v>
      </c>
      <c r="CQ101" s="43">
        <v>1.0</v>
      </c>
      <c r="CR101" s="43" t="s">
        <v>257</v>
      </c>
      <c r="CS101" s="44">
        <v>2.8</v>
      </c>
      <c r="CT101" s="43" t="s">
        <v>893</v>
      </c>
      <c r="CU101" s="53"/>
      <c r="CV101" s="97"/>
      <c r="CW101" s="96">
        <f t="shared" si="12"/>
        <v>0.09032258065</v>
      </c>
      <c r="CX101" s="98" t="str">
        <f t="shared" si="19"/>
        <v>?</v>
      </c>
      <c r="CY101" s="41"/>
      <c r="CZ101" s="41"/>
      <c r="DA101" s="41"/>
      <c r="DB101" s="41"/>
      <c r="DC101" s="41"/>
      <c r="DD101" s="101"/>
      <c r="DE101" s="101"/>
      <c r="DF101" s="101"/>
      <c r="DG101" s="101"/>
      <c r="DH101" s="101"/>
      <c r="DI101" s="101"/>
      <c r="DJ101" s="101"/>
      <c r="DK101" s="101"/>
      <c r="DL101" s="101"/>
      <c r="DM101" s="101"/>
    </row>
    <row r="102" ht="21.75" customHeight="1">
      <c r="A102" s="43" t="s">
        <v>894</v>
      </c>
      <c r="B102" s="43" t="s">
        <v>895</v>
      </c>
      <c r="C102" s="43" t="s">
        <v>896</v>
      </c>
      <c r="D102" s="43" t="s">
        <v>138</v>
      </c>
      <c r="E102" s="99">
        <v>45599.0</v>
      </c>
      <c r="F102" s="43" t="s">
        <v>109</v>
      </c>
      <c r="G102" s="43" t="s">
        <v>110</v>
      </c>
      <c r="H102" s="43" t="s">
        <v>348</v>
      </c>
      <c r="I102" s="34" t="s">
        <v>704</v>
      </c>
      <c r="J102" s="36" t="s">
        <v>656</v>
      </c>
      <c r="K102" s="43">
        <v>3.0</v>
      </c>
      <c r="L102" s="43" t="s">
        <v>897</v>
      </c>
      <c r="M102" s="43" t="s">
        <v>427</v>
      </c>
      <c r="N102" s="43" t="s">
        <v>168</v>
      </c>
      <c r="O102" s="43">
        <v>63.0</v>
      </c>
      <c r="P102" s="43">
        <v>63.0</v>
      </c>
      <c r="Q102" s="43">
        <v>63.0</v>
      </c>
      <c r="R102" s="41"/>
      <c r="S102" s="43">
        <v>40.0</v>
      </c>
      <c r="T102" s="41"/>
      <c r="U102" s="43">
        <v>28.0</v>
      </c>
      <c r="V102" s="43">
        <v>40.0</v>
      </c>
      <c r="W102" s="41"/>
      <c r="X102" s="43">
        <v>28.0</v>
      </c>
      <c r="Y102" s="43">
        <v>40.0</v>
      </c>
      <c r="Z102" s="41"/>
      <c r="AA102" s="37">
        <f>Calcs!O102</f>
        <v>879.6</v>
      </c>
      <c r="AB102" s="41"/>
      <c r="AC102" s="41"/>
      <c r="AD102" s="43" t="s">
        <v>262</v>
      </c>
      <c r="AE102" s="43">
        <v>2.5</v>
      </c>
      <c r="AF102" s="43" t="s">
        <v>110</v>
      </c>
      <c r="AG102" s="43">
        <v>22.0</v>
      </c>
      <c r="AH102" s="43" t="s">
        <v>170</v>
      </c>
      <c r="AI102" s="41"/>
      <c r="AJ102" s="43">
        <v>4.0</v>
      </c>
      <c r="AK102" s="41"/>
      <c r="AL102" s="41"/>
      <c r="AM102" s="41"/>
      <c r="AN102" s="43"/>
      <c r="AO102" s="43">
        <v>19.0</v>
      </c>
      <c r="AP102" s="41"/>
      <c r="AQ102" s="43" t="s">
        <v>862</v>
      </c>
      <c r="AR102" s="41"/>
      <c r="AS102" s="41"/>
      <c r="AT102" s="43">
        <v>525.0</v>
      </c>
      <c r="AU102" s="43" t="s">
        <v>123</v>
      </c>
      <c r="AV102" s="49"/>
      <c r="AW102" s="38">
        <f t="shared" si="4"/>
        <v>1055.52</v>
      </c>
      <c r="AX102" s="36" t="s">
        <v>544</v>
      </c>
      <c r="AY102" s="55">
        <v>16.952</v>
      </c>
      <c r="AZ102" s="34"/>
      <c r="BA102" s="34"/>
      <c r="BB102" s="34"/>
      <c r="BC102" s="34"/>
      <c r="BD102" s="41"/>
      <c r="BE102" s="41"/>
      <c r="BF102" s="41"/>
      <c r="BG102" s="41"/>
      <c r="BH102" s="63">
        <f t="shared" si="25"/>
        <v>16.952</v>
      </c>
      <c r="BI102" s="93">
        <f>ifs(BH102=0,"na",BH102="NR","NR",BH102="?","?",BK102&gt;0,"?",iserror(Calcs!AB102),"?",1,Calcs!AB102)</f>
        <v>0.5482634678</v>
      </c>
      <c r="BJ102" s="43" t="s">
        <v>282</v>
      </c>
      <c r="BK102" s="41"/>
      <c r="BL102" s="63">
        <f t="shared" si="6"/>
        <v>16.952</v>
      </c>
      <c r="BM102" s="43">
        <v>4.0</v>
      </c>
      <c r="BN102" s="41"/>
      <c r="BO102" s="43" t="s">
        <v>382</v>
      </c>
      <c r="BP102" s="94">
        <f>ifs(isblank(AX102),0,BH102="NR","NR",BH102="?","?",1,(AY102*vlookup(AX102,Ores[],2,FALSE)+if(isblank(AZ102),0,BA102*vlookup(AZ102,Ores[],2,FALSE))+if(isblank(BB102),0,BC102*vlookup(BB102,Ores[],2,FALSE))+if(isblank(BD102),0,BE102*vlookup(BD102,Ores[],2,FALSE))+if(isblank(BF102),0,BG102*vlookup(BF102,Ores[],2,FALSE)))/BH102)</f>
        <v>4.838709677</v>
      </c>
      <c r="BQ102" s="94">
        <f>ifs(isblank(AX102),0,BH102="NR","NR",BH102="?","?",1,(AY102*vlookup(AX102,Ores[],4,FALSE)+if(isblank(AZ102),0,BA102*vlookup(AZ102,Ores[],4,FALSE))+if(isblank(BB102),0,BC102*vlookup(BB102,Ores[],4,FALSE))+if(isblank(BD102),0,BE102*vlookup(BD102,Ores[],4,FALSE))+if(isblank(BF102),0,BG102*vlookup(BF102,Ores[],4,FALSE)))/BH102)</f>
        <v>2.516129032</v>
      </c>
      <c r="BR102" s="95">
        <f>ifs(isblank(AX102),0,BH102="NR","NR",BH102="?","?",1,(AY102*vlookup(AX102,Ores[],8,FALSE)+if(isblank(AZ102),0,BA102*vlookup(AZ102,Ores[],8,FALSE))+if(isblank(BB102),0,BC102*vlookup(BB102,Ores[],8,FALSE))+if(isblank(BD102),0,BE102*vlookup(BD102,Ores[],8,FALSE))+if(isblank(BF102),0,BG102*vlookup(BF102,Ores[],8,FALSE)))/BH102)</f>
        <v>0</v>
      </c>
      <c r="BS102" s="95">
        <f>ifs(isblank(AX102),0,BH102="NR","NR",BH102="?","?",1,(AY102*vlookup(AX102,Ores[],7,FALSE)+if(isblank(AZ102),0,BA102*vlookup(AZ102,Ores[],7,FALSE))+if(isblank(BB102),0,BC102*vlookup(BB102,Ores[],7,FALSE))+if(isblank(BD102),0,BE102*vlookup(BD102,Ores[],7,FALSE))+if(isblank(BF102),0,BG102*vlookup(BF102,Ores[],7,FALSE)))/BH102)</f>
        <v>0</v>
      </c>
      <c r="BT102" s="95">
        <f>ifs(isblank(AX102),0,BH102="NR","NR",BH102="?","?",1,(AY102*vlookup(AX102,Ores[],3,FALSE)+if(isblank(AZ102),0,BA102*vlookup(AZ102,Ores[],3,FALSE))+if(isblank(BB102),0,BC102*vlookup(BB102,Ores[],3,FALSE))+if(isblank(BD102),0,BE102*vlookup(BD102,Ores[],3,FALSE))+if(isblank(BF102),0,BG102*vlookup(BF102,Ores[],3,FALSE)))/BH102)</f>
        <v>1.935483871</v>
      </c>
      <c r="BU102" s="95">
        <f>ifs(isblank(AX102),0,BH102="NR","NR",BH102="?","?",1,(AY102*vlookup(AX102,Ores[],5,FALSE)+if(isblank(AZ102),0,BA102*vlookup(AZ102,Ores[],5,FALSE))+if(isblank(BB102),0,BC102*vlookup(BB102,Ores[],5,FALSE))+if(isblank(BD102),0,BE102*vlookup(BD102,Ores[],5,FALSE))+if(isblank(BF102),0,BG102*vlookup(BF102,Ores[],5,FALSE)))/BH102)</f>
        <v>0</v>
      </c>
      <c r="BV102" s="53">
        <f t="shared" si="30"/>
        <v>7.55952381</v>
      </c>
      <c r="BW102" s="40">
        <v>119.0</v>
      </c>
      <c r="BX102" s="41">
        <f>28*1.8</f>
        <v>50.4</v>
      </c>
      <c r="BY102" s="47"/>
      <c r="BZ102" s="56">
        <f t="shared" si="31"/>
        <v>13.90909091</v>
      </c>
      <c r="CA102" s="53">
        <f t="shared" si="32"/>
        <v>7.727272727</v>
      </c>
      <c r="CB102" s="43" t="s">
        <v>127</v>
      </c>
      <c r="CC102" s="41" t="s">
        <v>128</v>
      </c>
      <c r="CD102" s="44">
        <f t="shared" si="33"/>
        <v>7.727272727</v>
      </c>
      <c r="CE102" s="41">
        <f t="shared" si="34"/>
        <v>153</v>
      </c>
      <c r="CF102" s="43" t="s">
        <v>123</v>
      </c>
      <c r="CG102" s="43">
        <v>68.0</v>
      </c>
      <c r="CH102" s="43">
        <v>128.0</v>
      </c>
      <c r="CI102" s="43">
        <v>281.0</v>
      </c>
      <c r="CJ102" s="43">
        <v>381.0</v>
      </c>
      <c r="CK102" s="43">
        <v>11.0</v>
      </c>
      <c r="CL102" s="41">
        <f>8*1.8</f>
        <v>14.4</v>
      </c>
      <c r="CM102" s="43">
        <v>8.0</v>
      </c>
      <c r="CN102" s="43">
        <v>19.8</v>
      </c>
      <c r="CO102" s="43">
        <v>11.0</v>
      </c>
      <c r="CP102" s="43">
        <v>3.6</v>
      </c>
      <c r="CQ102" s="43">
        <v>2.0</v>
      </c>
      <c r="CR102" s="43" t="s">
        <v>157</v>
      </c>
      <c r="CS102" s="43">
        <v>0.971</v>
      </c>
      <c r="CT102" s="41"/>
      <c r="CU102" s="53"/>
      <c r="CV102" s="97"/>
      <c r="CW102" s="96">
        <f t="shared" si="12"/>
        <v>0.05727937706</v>
      </c>
      <c r="CX102" s="98">
        <f t="shared" si="19"/>
        <v>0.1044741815</v>
      </c>
      <c r="CY102" s="41"/>
      <c r="CZ102" s="41"/>
      <c r="DA102" s="43" t="s">
        <v>571</v>
      </c>
      <c r="DB102" s="43" t="s">
        <v>898</v>
      </c>
      <c r="DC102" s="41"/>
      <c r="DD102" s="101"/>
      <c r="DE102" s="101"/>
      <c r="DF102" s="101"/>
      <c r="DG102" s="101"/>
      <c r="DH102" s="101"/>
      <c r="DI102" s="101"/>
      <c r="DJ102" s="101"/>
      <c r="DK102" s="101"/>
      <c r="DL102" s="101"/>
      <c r="DM102" s="101"/>
    </row>
    <row r="103" ht="21.75" customHeight="1">
      <c r="A103" s="43">
        <v>99.0</v>
      </c>
      <c r="B103" s="43" t="s">
        <v>800</v>
      </c>
      <c r="C103" s="43" t="s">
        <v>899</v>
      </c>
      <c r="D103" s="43" t="s">
        <v>138</v>
      </c>
      <c r="E103" s="99">
        <v>45605.0</v>
      </c>
      <c r="F103" s="43" t="s">
        <v>109</v>
      </c>
      <c r="G103" s="43" t="s">
        <v>110</v>
      </c>
      <c r="H103" s="43" t="s">
        <v>249</v>
      </c>
      <c r="I103" s="43" t="s">
        <v>286</v>
      </c>
      <c r="J103" s="36" t="s">
        <v>888</v>
      </c>
      <c r="K103" s="41"/>
      <c r="L103" s="41"/>
      <c r="M103" s="43" t="s">
        <v>150</v>
      </c>
      <c r="N103" s="43" t="s">
        <v>168</v>
      </c>
      <c r="O103" s="43">
        <v>61.0</v>
      </c>
      <c r="P103" s="43">
        <v>61.0</v>
      </c>
      <c r="Q103" s="43">
        <v>61.0</v>
      </c>
      <c r="R103" s="41"/>
      <c r="S103" s="43">
        <v>40.0</v>
      </c>
      <c r="T103" s="43" t="s">
        <v>496</v>
      </c>
      <c r="U103" s="43">
        <v>23.0</v>
      </c>
      <c r="V103" s="41"/>
      <c r="W103" s="41"/>
      <c r="X103" s="43">
        <v>23.0</v>
      </c>
      <c r="Y103" s="41"/>
      <c r="Z103" s="41"/>
      <c r="AA103" s="37">
        <f>Calcs!O103</f>
        <v>415.5</v>
      </c>
      <c r="AB103" s="43" t="s">
        <v>900</v>
      </c>
      <c r="AC103" s="41"/>
      <c r="AD103" s="43" t="s">
        <v>253</v>
      </c>
      <c r="AE103" s="43">
        <v>2.5</v>
      </c>
      <c r="AF103" s="43" t="s">
        <v>123</v>
      </c>
      <c r="AG103" s="43">
        <v>20.0</v>
      </c>
      <c r="AH103" s="43" t="s">
        <v>170</v>
      </c>
      <c r="AI103" s="41"/>
      <c r="AJ103" s="43">
        <v>5.0</v>
      </c>
      <c r="AK103" s="41"/>
      <c r="AL103" s="43" t="s">
        <v>849</v>
      </c>
      <c r="AM103" s="41"/>
      <c r="AN103" s="43">
        <v>4.0</v>
      </c>
      <c r="AO103" s="43">
        <v>13.5</v>
      </c>
      <c r="AP103" s="41"/>
      <c r="AQ103" s="43" t="s">
        <v>254</v>
      </c>
      <c r="AR103" s="41"/>
      <c r="AS103" s="41"/>
      <c r="AT103" s="43">
        <v>700.0</v>
      </c>
      <c r="AU103" s="41"/>
      <c r="AV103" s="49"/>
      <c r="AW103" s="38">
        <f t="shared" si="4"/>
        <v>498.6</v>
      </c>
      <c r="AX103" s="36" t="s">
        <v>901</v>
      </c>
      <c r="AY103" s="36">
        <v>34.5</v>
      </c>
      <c r="AZ103" s="34"/>
      <c r="BA103" s="34"/>
      <c r="BB103" s="34"/>
      <c r="BC103" s="34"/>
      <c r="BD103" s="41"/>
      <c r="BE103" s="41"/>
      <c r="BF103" s="41"/>
      <c r="BG103" s="41"/>
      <c r="BH103" s="63">
        <f t="shared" si="25"/>
        <v>34.5</v>
      </c>
      <c r="BI103" s="93" t="str">
        <f>ifs(BH103=0,"na",BH103="NR","NR",BH103="?","?",BK103&gt;0,"?",iserror(Calcs!AB103),"?",1,Calcs!AB103)</f>
        <v>?</v>
      </c>
      <c r="BJ103" s="41"/>
      <c r="BK103" s="41"/>
      <c r="BL103" s="63">
        <f t="shared" si="6"/>
        <v>34.5</v>
      </c>
      <c r="BM103" s="43">
        <v>2.0</v>
      </c>
      <c r="BN103" s="41"/>
      <c r="BO103" s="43" t="s">
        <v>382</v>
      </c>
      <c r="BP103" s="94">
        <f>ifs(isblank(AX103),0,BH103="NR","NR",BH103="?","?",1,(AY103*vlookup(AX103,Ores[],2,FALSE)+if(isblank(AZ103),0,BA103*vlookup(AZ103,Ores[],2,FALSE))+if(isblank(BB103),0,BC103*vlookup(BB103,Ores[],2,FALSE))+if(isblank(BD103),0,BE103*vlookup(BD103,Ores[],2,FALSE))+if(isblank(BF103),0,BG103*vlookup(BF103,Ores[],2,FALSE)))/BH103)</f>
        <v>0</v>
      </c>
      <c r="BQ103" s="94">
        <f>ifs(isblank(AX103),0,BH103="NR","NR",BH103="?","?",1,(AY103*vlookup(AX103,Ores[],4,FALSE)+if(isblank(AZ103),0,BA103*vlookup(AZ103,Ores[],4,FALSE))+if(isblank(BB103),0,BC103*vlookup(BB103,Ores[],4,FALSE))+if(isblank(BD103),0,BE103*vlookup(BD103,Ores[],4,FALSE))+if(isblank(BF103),0,BG103*vlookup(BF103,Ores[],4,FALSE)))/BH103)</f>
        <v>0</v>
      </c>
      <c r="BR103" s="95">
        <f>ifs(isblank(AX103),0,BH103="NR","NR",BH103="?","?",1,(AY103*vlookup(AX103,Ores[],8,FALSE)+if(isblank(AZ103),0,BA103*vlookup(AZ103,Ores[],8,FALSE))+if(isblank(BB103),0,BC103*vlookup(BB103,Ores[],8,FALSE))+if(isblank(BD103),0,BE103*vlookup(BD103,Ores[],8,FALSE))+if(isblank(BF103),0,BG103*vlookup(BF103,Ores[],8,FALSE)))/BH103)</f>
        <v>0</v>
      </c>
      <c r="BS103" s="95">
        <f>ifs(isblank(AX103),0,BH103="NR","NR",BH103="?","?",1,(AY103*vlookup(AX103,Ores[],7,FALSE)+if(isblank(AZ103),0,BA103*vlookup(AZ103,Ores[],7,FALSE))+if(isblank(BB103),0,BC103*vlookup(BB103,Ores[],7,FALSE))+if(isblank(BD103),0,BE103*vlookup(BD103,Ores[],7,FALSE))+if(isblank(BF103),0,BG103*vlookup(BF103,Ores[],7,FALSE)))/BH103)</f>
        <v>0</v>
      </c>
      <c r="BT103" s="95">
        <f>ifs(isblank(AX103),0,BH103="NR","NR",BH103="?","?",1,(AY103*vlookup(AX103,Ores[],3,FALSE)+if(isblank(AZ103),0,BA103*vlookup(AZ103,Ores[],3,FALSE))+if(isblank(BB103),0,BC103*vlookup(BB103,Ores[],3,FALSE))+if(isblank(BD103),0,BE103*vlookup(BD103,Ores[],3,FALSE))+if(isblank(BF103),0,BG103*vlookup(BF103,Ores[],3,FALSE)))/BH103)</f>
        <v>0</v>
      </c>
      <c r="BU103" s="95">
        <f>ifs(isblank(AX103),0,BH103="NR","NR",BH103="?","?",1,(AY103*vlookup(AX103,Ores[],5,FALSE)+if(isblank(AZ103),0,BA103*vlookup(AZ103,Ores[],5,FALSE))+if(isblank(BB103),0,BC103*vlookup(BB103,Ores[],5,FALSE))+if(isblank(BD103),0,BE103*vlookup(BD103,Ores[],5,FALSE))+if(isblank(BF103),0,BG103*vlookup(BF103,Ores[],5,FALSE)))/BH103)</f>
        <v>0</v>
      </c>
      <c r="BV103" s="53" t="str">
        <f t="shared" si="30"/>
        <v>NR</v>
      </c>
      <c r="BW103" s="40">
        <v>76.0</v>
      </c>
      <c r="BX103" s="43">
        <v>83.0</v>
      </c>
      <c r="BY103" s="47"/>
      <c r="BZ103" s="56">
        <f t="shared" si="31"/>
        <v>17.4</v>
      </c>
      <c r="CA103" s="53">
        <f t="shared" si="32"/>
        <v>6.744186047</v>
      </c>
      <c r="CB103" s="43" t="s">
        <v>902</v>
      </c>
      <c r="CC103" s="41"/>
      <c r="CD103" s="44">
        <f t="shared" si="33"/>
        <v>6.744186047</v>
      </c>
      <c r="CE103" s="41">
        <f t="shared" si="34"/>
        <v>348</v>
      </c>
      <c r="CF103" s="41"/>
      <c r="CG103" s="43">
        <v>71.0</v>
      </c>
      <c r="CH103" s="43">
        <v>109.0</v>
      </c>
      <c r="CI103" s="43">
        <v>457.0</v>
      </c>
      <c r="CJ103" s="43" t="s">
        <v>116</v>
      </c>
      <c r="CK103" s="43">
        <v>20.0</v>
      </c>
      <c r="CL103" s="41">
        <f>7*2.58</f>
        <v>18.06</v>
      </c>
      <c r="CM103" s="43">
        <v>7.0</v>
      </c>
      <c r="CN103" s="41">
        <f>20*2.58</f>
        <v>51.6</v>
      </c>
      <c r="CO103" s="43">
        <v>20.0</v>
      </c>
      <c r="CP103" s="43">
        <v>2.58</v>
      </c>
      <c r="CQ103" s="43">
        <v>1.0</v>
      </c>
      <c r="CR103" s="43" t="s">
        <v>257</v>
      </c>
      <c r="CS103" s="43">
        <v>0.0</v>
      </c>
      <c r="CT103" s="43" t="s">
        <v>903</v>
      </c>
      <c r="CU103" s="53"/>
      <c r="CV103" s="97"/>
      <c r="CW103" s="96" t="str">
        <f t="shared" si="12"/>
        <v>na</v>
      </c>
      <c r="CX103" s="98" t="str">
        <f t="shared" si="19"/>
        <v>?</v>
      </c>
      <c r="CY103" s="41"/>
      <c r="CZ103" s="41"/>
      <c r="DA103" s="41"/>
      <c r="DB103" s="41"/>
      <c r="DC103" s="41"/>
      <c r="DD103" s="101"/>
      <c r="DE103" s="101"/>
      <c r="DF103" s="101"/>
      <c r="DG103" s="101"/>
      <c r="DH103" s="101"/>
      <c r="DI103" s="101"/>
      <c r="DJ103" s="101"/>
      <c r="DK103" s="101"/>
      <c r="DL103" s="101"/>
      <c r="DM103" s="101"/>
    </row>
    <row r="104" ht="21.75" customHeight="1">
      <c r="A104" s="43">
        <v>100.0</v>
      </c>
      <c r="B104" s="41"/>
      <c r="C104" s="41"/>
      <c r="D104" s="41"/>
      <c r="E104" s="90"/>
      <c r="F104" s="41"/>
      <c r="G104" s="41"/>
      <c r="H104" s="41"/>
      <c r="I104" s="41"/>
      <c r="J104" s="41"/>
      <c r="K104" s="41"/>
      <c r="L104" s="41"/>
      <c r="M104" s="41"/>
      <c r="N104" s="41"/>
      <c r="O104" s="41"/>
      <c r="P104" s="41"/>
      <c r="Q104" s="41"/>
      <c r="R104" s="41"/>
      <c r="S104" s="41"/>
      <c r="T104" s="41"/>
      <c r="U104" s="41"/>
      <c r="V104" s="41"/>
      <c r="W104" s="41"/>
      <c r="X104" s="41"/>
      <c r="Y104" s="41"/>
      <c r="Z104" s="41"/>
      <c r="AA104" s="100"/>
      <c r="AB104" s="41"/>
      <c r="AC104" s="41"/>
      <c r="AD104" s="41"/>
      <c r="AE104" s="41"/>
      <c r="AF104" s="41"/>
      <c r="AG104" s="41"/>
      <c r="AH104" s="41"/>
      <c r="AI104" s="41"/>
      <c r="AJ104" s="41"/>
      <c r="AK104" s="41"/>
      <c r="AL104" s="41"/>
      <c r="AM104" s="41"/>
      <c r="AN104" s="41"/>
      <c r="AO104" s="41"/>
      <c r="AP104" s="41"/>
      <c r="AQ104" s="41"/>
      <c r="AR104" s="41"/>
      <c r="AS104" s="41"/>
      <c r="AT104" s="41"/>
      <c r="AU104" s="41"/>
      <c r="AV104" s="49"/>
      <c r="AW104" s="49"/>
      <c r="AX104" s="34"/>
      <c r="AY104" s="34"/>
      <c r="AZ104" s="34"/>
      <c r="BA104" s="34"/>
      <c r="BB104" s="34"/>
      <c r="BC104" s="34"/>
      <c r="BD104" s="41"/>
      <c r="BE104" s="41"/>
      <c r="BF104" s="41"/>
      <c r="BG104" s="41"/>
      <c r="BH104" s="41"/>
      <c r="BI104" s="41"/>
      <c r="BJ104" s="41"/>
      <c r="BK104" s="41"/>
      <c r="BL104" s="41"/>
      <c r="BM104" s="41"/>
      <c r="BN104" s="41"/>
      <c r="BO104" s="41"/>
      <c r="BP104" s="41"/>
      <c r="BQ104" s="41"/>
      <c r="BR104" s="41"/>
      <c r="BS104" s="41"/>
      <c r="BT104" s="41"/>
      <c r="BU104" s="41"/>
      <c r="BV104" s="41"/>
      <c r="BW104" s="102"/>
      <c r="BX104" s="41"/>
      <c r="BY104" s="47"/>
      <c r="BZ104" s="47"/>
      <c r="CA104" s="53"/>
      <c r="CB104" s="41"/>
      <c r="CC104" s="41"/>
      <c r="CD104" s="41"/>
      <c r="CE104" s="41"/>
      <c r="CF104" s="41"/>
      <c r="CG104" s="41"/>
      <c r="CH104" s="41"/>
      <c r="CI104" s="41"/>
      <c r="CJ104" s="41"/>
      <c r="CK104" s="41"/>
      <c r="CL104" s="41"/>
      <c r="CM104" s="41"/>
      <c r="CN104" s="41"/>
      <c r="CO104" s="41"/>
      <c r="CP104" s="41"/>
      <c r="CQ104" s="41"/>
      <c r="CR104" s="41"/>
      <c r="CS104" s="41"/>
      <c r="CT104" s="41"/>
      <c r="CU104" s="53"/>
      <c r="CV104" s="97"/>
      <c r="CW104" s="53"/>
      <c r="CX104" s="97"/>
      <c r="CY104" s="41"/>
      <c r="CZ104" s="41"/>
      <c r="DA104" s="41"/>
      <c r="DB104" s="41"/>
      <c r="DC104" s="41"/>
      <c r="DD104" s="101"/>
      <c r="DE104" s="101"/>
      <c r="DF104" s="101"/>
      <c r="DG104" s="101"/>
      <c r="DH104" s="101"/>
      <c r="DI104" s="101"/>
      <c r="DJ104" s="101"/>
      <c r="DK104" s="101"/>
      <c r="DL104" s="101"/>
      <c r="DM104" s="101"/>
    </row>
    <row r="105" ht="21.75" customHeight="1">
      <c r="A105" s="101"/>
      <c r="B105" s="101"/>
      <c r="C105" s="101"/>
      <c r="D105" s="101"/>
      <c r="E105" s="103"/>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4"/>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5"/>
      <c r="AW105" s="105"/>
      <c r="AX105" s="106"/>
      <c r="AY105" s="106"/>
      <c r="AZ105" s="106"/>
      <c r="BA105" s="106"/>
      <c r="BB105" s="106"/>
      <c r="BC105" s="106"/>
      <c r="BD105" s="101"/>
      <c r="BE105" s="101"/>
      <c r="BF105" s="101"/>
      <c r="BG105" s="101"/>
      <c r="BH105" s="101"/>
      <c r="BI105" s="101"/>
      <c r="BJ105" s="101"/>
      <c r="BK105" s="101"/>
      <c r="BL105" s="101"/>
      <c r="BM105" s="101"/>
      <c r="BN105" s="101"/>
      <c r="BO105" s="101"/>
      <c r="BP105" s="101"/>
      <c r="BQ105" s="101"/>
      <c r="BR105" s="101"/>
      <c r="BS105" s="101"/>
      <c r="BT105" s="101"/>
      <c r="BU105" s="101"/>
      <c r="BV105" s="101"/>
      <c r="BW105" s="107"/>
      <c r="BX105" s="101"/>
      <c r="BY105" s="108"/>
      <c r="BZ105" s="108"/>
      <c r="CA105" s="109"/>
      <c r="CB105" s="101"/>
      <c r="CC105" s="101"/>
      <c r="CD105" s="101"/>
      <c r="CE105" s="101"/>
      <c r="CF105" s="101"/>
      <c r="CG105" s="101"/>
      <c r="CH105" s="101"/>
      <c r="CI105" s="101"/>
      <c r="CJ105" s="101"/>
      <c r="CK105" s="101"/>
      <c r="CL105" s="101"/>
      <c r="CM105" s="101"/>
      <c r="CN105" s="101"/>
      <c r="CO105" s="101"/>
      <c r="CP105" s="101"/>
      <c r="CQ105" s="101"/>
      <c r="CR105" s="101"/>
      <c r="CS105" s="101"/>
      <c r="CT105" s="101"/>
      <c r="CU105" s="109"/>
      <c r="CV105" s="110"/>
      <c r="CW105" s="109"/>
      <c r="CX105" s="110"/>
      <c r="CY105" s="101"/>
      <c r="CZ105" s="101"/>
      <c r="DA105" s="101"/>
      <c r="DB105" s="101"/>
      <c r="DC105" s="101"/>
      <c r="DD105" s="101"/>
      <c r="DE105" s="101"/>
      <c r="DF105" s="101"/>
      <c r="DG105" s="101"/>
      <c r="DH105" s="101"/>
      <c r="DI105" s="101"/>
      <c r="DJ105" s="101"/>
      <c r="DK105" s="101"/>
      <c r="DL105" s="101"/>
      <c r="DM105" s="101"/>
    </row>
    <row r="106" ht="21.75" customHeight="1">
      <c r="A106" s="101"/>
      <c r="B106" s="101"/>
      <c r="C106" s="101"/>
      <c r="D106" s="101"/>
      <c r="E106" s="103"/>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4"/>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5"/>
      <c r="AW106" s="105"/>
      <c r="AX106" s="106"/>
      <c r="AY106" s="106"/>
      <c r="AZ106" s="106"/>
      <c r="BA106" s="106"/>
      <c r="BB106" s="106"/>
      <c r="BC106" s="106"/>
      <c r="BD106" s="101"/>
      <c r="BE106" s="101"/>
      <c r="BF106" s="101"/>
      <c r="BG106" s="101"/>
      <c r="BH106" s="101"/>
      <c r="BI106" s="101"/>
      <c r="BJ106" s="101"/>
      <c r="BK106" s="101"/>
      <c r="BL106" s="101"/>
      <c r="BM106" s="101"/>
      <c r="BN106" s="101"/>
      <c r="BO106" s="101"/>
      <c r="BP106" s="101"/>
      <c r="BQ106" s="101"/>
      <c r="BR106" s="101"/>
      <c r="BS106" s="101"/>
      <c r="BT106" s="101"/>
      <c r="BU106" s="101"/>
      <c r="BV106" s="101"/>
      <c r="BW106" s="107"/>
      <c r="BX106" s="101"/>
      <c r="BY106" s="108"/>
      <c r="BZ106" s="108"/>
      <c r="CA106" s="109"/>
      <c r="CB106" s="101"/>
      <c r="CC106" s="101"/>
      <c r="CD106" s="101"/>
      <c r="CE106" s="101"/>
      <c r="CF106" s="101"/>
      <c r="CG106" s="101"/>
      <c r="CH106" s="101"/>
      <c r="CI106" s="101"/>
      <c r="CJ106" s="101"/>
      <c r="CK106" s="101"/>
      <c r="CL106" s="101"/>
      <c r="CM106" s="101"/>
      <c r="CN106" s="101"/>
      <c r="CO106" s="101"/>
      <c r="CP106" s="101"/>
      <c r="CQ106" s="101"/>
      <c r="CR106" s="101"/>
      <c r="CS106" s="101"/>
      <c r="CT106" s="101"/>
      <c r="CU106" s="109"/>
      <c r="CV106" s="110"/>
      <c r="CW106" s="109"/>
      <c r="CX106" s="110"/>
      <c r="CY106" s="101"/>
      <c r="CZ106" s="101"/>
      <c r="DA106" s="101"/>
      <c r="DB106" s="101"/>
      <c r="DC106" s="101"/>
      <c r="DD106" s="101"/>
      <c r="DE106" s="101"/>
      <c r="DF106" s="101"/>
      <c r="DG106" s="101"/>
      <c r="DH106" s="101"/>
      <c r="DI106" s="101"/>
      <c r="DJ106" s="101"/>
      <c r="DK106" s="101"/>
      <c r="DL106" s="101"/>
      <c r="DM106" s="101"/>
    </row>
    <row r="107" ht="21.75" customHeight="1">
      <c r="A107" s="101"/>
      <c r="B107" s="101"/>
      <c r="C107" s="101"/>
      <c r="D107" s="101"/>
      <c r="E107" s="103"/>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4"/>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5"/>
      <c r="AW107" s="105"/>
      <c r="AX107" s="106"/>
      <c r="AY107" s="106"/>
      <c r="AZ107" s="106"/>
      <c r="BA107" s="106"/>
      <c r="BB107" s="106"/>
      <c r="BC107" s="106"/>
      <c r="BD107" s="101"/>
      <c r="BE107" s="101"/>
      <c r="BF107" s="101"/>
      <c r="BG107" s="101"/>
      <c r="BH107" s="101"/>
      <c r="BI107" s="101"/>
      <c r="BJ107" s="101"/>
      <c r="BK107" s="101"/>
      <c r="BL107" s="101"/>
      <c r="BM107" s="101"/>
      <c r="BN107" s="101"/>
      <c r="BO107" s="101"/>
      <c r="BP107" s="101"/>
      <c r="BQ107" s="101"/>
      <c r="BR107" s="101"/>
      <c r="BS107" s="101"/>
      <c r="BT107" s="101"/>
      <c r="BU107" s="101"/>
      <c r="BV107" s="101"/>
      <c r="BW107" s="107"/>
      <c r="BX107" s="101"/>
      <c r="BY107" s="108"/>
      <c r="BZ107" s="108"/>
      <c r="CA107" s="109"/>
      <c r="CB107" s="101"/>
      <c r="CC107" s="101"/>
      <c r="CD107" s="101"/>
      <c r="CE107" s="101"/>
      <c r="CF107" s="101"/>
      <c r="CG107" s="101"/>
      <c r="CH107" s="101"/>
      <c r="CI107" s="101"/>
      <c r="CJ107" s="101"/>
      <c r="CK107" s="101"/>
      <c r="CL107" s="101"/>
      <c r="CM107" s="101"/>
      <c r="CN107" s="101"/>
      <c r="CO107" s="101"/>
      <c r="CP107" s="101"/>
      <c r="CQ107" s="101"/>
      <c r="CR107" s="101"/>
      <c r="CS107" s="101"/>
      <c r="CT107" s="101"/>
      <c r="CU107" s="109"/>
      <c r="CV107" s="110"/>
      <c r="CW107" s="109"/>
      <c r="CX107" s="110"/>
      <c r="CY107" s="101"/>
      <c r="CZ107" s="101"/>
      <c r="DA107" s="101"/>
      <c r="DB107" s="101"/>
      <c r="DC107" s="101"/>
      <c r="DD107" s="101"/>
      <c r="DE107" s="101"/>
      <c r="DF107" s="101"/>
      <c r="DG107" s="101"/>
      <c r="DH107" s="101"/>
      <c r="DI107" s="101"/>
      <c r="DJ107" s="101"/>
      <c r="DK107" s="101"/>
      <c r="DL107" s="101"/>
      <c r="DM107" s="101"/>
    </row>
    <row r="108" ht="21.75" customHeight="1">
      <c r="A108" s="101"/>
      <c r="B108" s="101"/>
      <c r="C108" s="101"/>
      <c r="D108" s="101"/>
      <c r="E108" s="103"/>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4"/>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5"/>
      <c r="AW108" s="105"/>
      <c r="AX108" s="106"/>
      <c r="AY108" s="106"/>
      <c r="AZ108" s="106"/>
      <c r="BA108" s="106"/>
      <c r="BB108" s="106"/>
      <c r="BC108" s="106"/>
      <c r="BD108" s="101"/>
      <c r="BE108" s="101"/>
      <c r="BF108" s="101"/>
      <c r="BG108" s="101"/>
      <c r="BH108" s="101"/>
      <c r="BI108" s="101"/>
      <c r="BJ108" s="101"/>
      <c r="BK108" s="101"/>
      <c r="BL108" s="101"/>
      <c r="BM108" s="101"/>
      <c r="BN108" s="101"/>
      <c r="BO108" s="101"/>
      <c r="BP108" s="101"/>
      <c r="BQ108" s="101"/>
      <c r="BR108" s="101"/>
      <c r="BS108" s="101"/>
      <c r="BT108" s="101"/>
      <c r="BU108" s="101"/>
      <c r="BV108" s="101"/>
      <c r="BW108" s="107"/>
      <c r="BX108" s="101"/>
      <c r="BY108" s="108"/>
      <c r="BZ108" s="108"/>
      <c r="CA108" s="109"/>
      <c r="CB108" s="101"/>
      <c r="CC108" s="101"/>
      <c r="CD108" s="101"/>
      <c r="CE108" s="101"/>
      <c r="CF108" s="101"/>
      <c r="CG108" s="101"/>
      <c r="CH108" s="101"/>
      <c r="CI108" s="101"/>
      <c r="CJ108" s="101"/>
      <c r="CK108" s="101"/>
      <c r="CL108" s="101"/>
      <c r="CM108" s="101"/>
      <c r="CN108" s="101"/>
      <c r="CO108" s="101"/>
      <c r="CP108" s="101"/>
      <c r="CQ108" s="101"/>
      <c r="CR108" s="101"/>
      <c r="CS108" s="101"/>
      <c r="CT108" s="101"/>
      <c r="CU108" s="109"/>
      <c r="CV108" s="110"/>
      <c r="CW108" s="109"/>
      <c r="CX108" s="110"/>
      <c r="CY108" s="101"/>
      <c r="CZ108" s="101"/>
      <c r="DA108" s="101"/>
      <c r="DB108" s="101"/>
      <c r="DC108" s="101"/>
      <c r="DD108" s="101"/>
      <c r="DE108" s="101"/>
      <c r="DF108" s="101"/>
      <c r="DG108" s="101"/>
      <c r="DH108" s="101"/>
      <c r="DI108" s="101"/>
      <c r="DJ108" s="101"/>
      <c r="DK108" s="101"/>
      <c r="DL108" s="101"/>
      <c r="DM108" s="101"/>
    </row>
    <row r="109" ht="21.75" customHeight="1">
      <c r="A109" s="101"/>
      <c r="B109" s="101"/>
      <c r="C109" s="101"/>
      <c r="D109" s="101"/>
      <c r="E109" s="103"/>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4"/>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5"/>
      <c r="AW109" s="105"/>
      <c r="AX109" s="106"/>
      <c r="AY109" s="106"/>
      <c r="AZ109" s="106"/>
      <c r="BA109" s="106"/>
      <c r="BB109" s="106"/>
      <c r="BC109" s="106"/>
      <c r="BD109" s="101"/>
      <c r="BE109" s="101"/>
      <c r="BF109" s="101"/>
      <c r="BG109" s="101"/>
      <c r="BH109" s="101"/>
      <c r="BI109" s="101"/>
      <c r="BJ109" s="101"/>
      <c r="BK109" s="101"/>
      <c r="BL109" s="101"/>
      <c r="BM109" s="101"/>
      <c r="BN109" s="101"/>
      <c r="BO109" s="101"/>
      <c r="BP109" s="101"/>
      <c r="BQ109" s="101"/>
      <c r="BR109" s="101"/>
      <c r="BS109" s="101"/>
      <c r="BT109" s="101"/>
      <c r="BU109" s="101"/>
      <c r="BV109" s="101"/>
      <c r="BW109" s="107"/>
      <c r="BX109" s="101"/>
      <c r="BY109" s="108"/>
      <c r="BZ109" s="108"/>
      <c r="CA109" s="109"/>
      <c r="CB109" s="101"/>
      <c r="CC109" s="101"/>
      <c r="CD109" s="101"/>
      <c r="CE109" s="101"/>
      <c r="CF109" s="101"/>
      <c r="CG109" s="101"/>
      <c r="CH109" s="101"/>
      <c r="CI109" s="101"/>
      <c r="CJ109" s="101"/>
      <c r="CK109" s="101"/>
      <c r="CL109" s="101"/>
      <c r="CM109" s="101"/>
      <c r="CN109" s="101"/>
      <c r="CO109" s="101"/>
      <c r="CP109" s="101"/>
      <c r="CQ109" s="101"/>
      <c r="CR109" s="101"/>
      <c r="CS109" s="101"/>
      <c r="CT109" s="101"/>
      <c r="CU109" s="109"/>
      <c r="CV109" s="110"/>
      <c r="CW109" s="109"/>
      <c r="CX109" s="110"/>
      <c r="CY109" s="101"/>
      <c r="CZ109" s="101"/>
      <c r="DA109" s="101"/>
      <c r="DB109" s="101"/>
      <c r="DC109" s="101"/>
      <c r="DD109" s="101"/>
      <c r="DE109" s="101"/>
      <c r="DF109" s="101"/>
      <c r="DG109" s="101"/>
      <c r="DH109" s="101"/>
      <c r="DI109" s="101"/>
      <c r="DJ109" s="101"/>
      <c r="DK109" s="101"/>
      <c r="DL109" s="101"/>
      <c r="DM109" s="101"/>
    </row>
    <row r="110" ht="21.75" customHeight="1">
      <c r="A110" s="101"/>
      <c r="B110" s="101"/>
      <c r="C110" s="101"/>
      <c r="D110" s="101"/>
      <c r="E110" s="103"/>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4"/>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5"/>
      <c r="AW110" s="105"/>
      <c r="AX110" s="106"/>
      <c r="AY110" s="106"/>
      <c r="AZ110" s="106"/>
      <c r="BA110" s="106"/>
      <c r="BB110" s="106"/>
      <c r="BC110" s="106"/>
      <c r="BD110" s="101"/>
      <c r="BE110" s="101"/>
      <c r="BF110" s="101"/>
      <c r="BG110" s="101"/>
      <c r="BH110" s="101"/>
      <c r="BI110" s="101"/>
      <c r="BJ110" s="101"/>
      <c r="BK110" s="101"/>
      <c r="BL110" s="101"/>
      <c r="BM110" s="101"/>
      <c r="BN110" s="101"/>
      <c r="BO110" s="101"/>
      <c r="BP110" s="101"/>
      <c r="BQ110" s="101"/>
      <c r="BR110" s="101"/>
      <c r="BS110" s="101"/>
      <c r="BT110" s="101"/>
      <c r="BU110" s="101"/>
      <c r="BV110" s="101"/>
      <c r="BW110" s="107"/>
      <c r="BX110" s="101"/>
      <c r="BY110" s="108"/>
      <c r="BZ110" s="108"/>
      <c r="CA110" s="109"/>
      <c r="CB110" s="101"/>
      <c r="CC110" s="101"/>
      <c r="CD110" s="101"/>
      <c r="CE110" s="101"/>
      <c r="CF110" s="101"/>
      <c r="CG110" s="101"/>
      <c r="CH110" s="101"/>
      <c r="CI110" s="101"/>
      <c r="CJ110" s="101"/>
      <c r="CK110" s="101"/>
      <c r="CL110" s="101"/>
      <c r="CM110" s="101"/>
      <c r="CN110" s="101"/>
      <c r="CO110" s="101"/>
      <c r="CP110" s="101"/>
      <c r="CQ110" s="101"/>
      <c r="CR110" s="101"/>
      <c r="CS110" s="101"/>
      <c r="CT110" s="101"/>
      <c r="CU110" s="109"/>
      <c r="CV110" s="110"/>
      <c r="CW110" s="109"/>
      <c r="CX110" s="110"/>
      <c r="CY110" s="101"/>
      <c r="CZ110" s="101"/>
      <c r="DA110" s="101"/>
      <c r="DB110" s="101"/>
      <c r="DC110" s="101"/>
      <c r="DD110" s="101"/>
      <c r="DE110" s="101"/>
      <c r="DF110" s="101"/>
      <c r="DG110" s="101"/>
      <c r="DH110" s="101"/>
      <c r="DI110" s="101"/>
      <c r="DJ110" s="101"/>
      <c r="DK110" s="101"/>
      <c r="DL110" s="101"/>
      <c r="DM110" s="101"/>
    </row>
    <row r="111" ht="21.75" customHeight="1">
      <c r="A111" s="101"/>
      <c r="B111" s="101"/>
      <c r="C111" s="101"/>
      <c r="D111" s="101"/>
      <c r="E111" s="103"/>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4"/>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5"/>
      <c r="AW111" s="105"/>
      <c r="AX111" s="106"/>
      <c r="AY111" s="106"/>
      <c r="AZ111" s="106"/>
      <c r="BA111" s="106"/>
      <c r="BB111" s="106"/>
      <c r="BC111" s="106"/>
      <c r="BD111" s="101"/>
      <c r="BE111" s="101"/>
      <c r="BF111" s="101"/>
      <c r="BG111" s="101"/>
      <c r="BH111" s="101"/>
      <c r="BI111" s="101"/>
      <c r="BJ111" s="101"/>
      <c r="BK111" s="101"/>
      <c r="BL111" s="101"/>
      <c r="BM111" s="101"/>
      <c r="BN111" s="101"/>
      <c r="BO111" s="101"/>
      <c r="BP111" s="101"/>
      <c r="BQ111" s="101"/>
      <c r="BR111" s="101"/>
      <c r="BS111" s="101"/>
      <c r="BT111" s="101"/>
      <c r="BU111" s="101"/>
      <c r="BV111" s="101"/>
      <c r="BW111" s="107"/>
      <c r="BX111" s="101"/>
      <c r="BY111" s="108"/>
      <c r="BZ111" s="108"/>
      <c r="CA111" s="109"/>
      <c r="CB111" s="101"/>
      <c r="CC111" s="101"/>
      <c r="CD111" s="101"/>
      <c r="CE111" s="101"/>
      <c r="CF111" s="101"/>
      <c r="CG111" s="101"/>
      <c r="CH111" s="101"/>
      <c r="CI111" s="101"/>
      <c r="CJ111" s="101"/>
      <c r="CK111" s="101"/>
      <c r="CL111" s="101"/>
      <c r="CM111" s="101"/>
      <c r="CN111" s="101"/>
      <c r="CO111" s="101"/>
      <c r="CP111" s="101"/>
      <c r="CQ111" s="101"/>
      <c r="CR111" s="101"/>
      <c r="CS111" s="101"/>
      <c r="CT111" s="101"/>
      <c r="CU111" s="109"/>
      <c r="CV111" s="110"/>
      <c r="CW111" s="109"/>
      <c r="CX111" s="110"/>
      <c r="CY111" s="101"/>
      <c r="CZ111" s="101"/>
      <c r="DA111" s="101"/>
      <c r="DB111" s="101"/>
      <c r="DC111" s="101"/>
      <c r="DD111" s="101"/>
      <c r="DE111" s="101"/>
      <c r="DF111" s="101"/>
      <c r="DG111" s="101"/>
      <c r="DH111" s="101"/>
      <c r="DI111" s="101"/>
      <c r="DJ111" s="101"/>
      <c r="DK111" s="101"/>
      <c r="DL111" s="101"/>
      <c r="DM111" s="101"/>
    </row>
    <row r="112" ht="21.75" customHeight="1">
      <c r="A112" s="101"/>
      <c r="B112" s="101"/>
      <c r="C112" s="101"/>
      <c r="D112" s="101"/>
      <c r="E112" s="103"/>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4"/>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5"/>
      <c r="AW112" s="105"/>
      <c r="AX112" s="106"/>
      <c r="AY112" s="106"/>
      <c r="AZ112" s="106"/>
      <c r="BA112" s="106"/>
      <c r="BB112" s="106"/>
      <c r="BC112" s="106"/>
      <c r="BD112" s="101"/>
      <c r="BE112" s="101"/>
      <c r="BF112" s="101"/>
      <c r="BG112" s="101"/>
      <c r="BH112" s="101"/>
      <c r="BI112" s="101"/>
      <c r="BJ112" s="101"/>
      <c r="BK112" s="101"/>
      <c r="BL112" s="101"/>
      <c r="BM112" s="101"/>
      <c r="BN112" s="101"/>
      <c r="BO112" s="101"/>
      <c r="BP112" s="101"/>
      <c r="BQ112" s="101"/>
      <c r="BR112" s="101"/>
      <c r="BS112" s="101"/>
      <c r="BT112" s="101"/>
      <c r="BU112" s="101"/>
      <c r="BV112" s="101"/>
      <c r="BW112" s="107"/>
      <c r="BX112" s="101"/>
      <c r="BY112" s="108"/>
      <c r="BZ112" s="108"/>
      <c r="CA112" s="109"/>
      <c r="CB112" s="101"/>
      <c r="CC112" s="101"/>
      <c r="CD112" s="101"/>
      <c r="CE112" s="101"/>
      <c r="CF112" s="101"/>
      <c r="CG112" s="101"/>
      <c r="CH112" s="101"/>
      <c r="CI112" s="101"/>
      <c r="CJ112" s="101"/>
      <c r="CK112" s="101"/>
      <c r="CL112" s="101"/>
      <c r="CM112" s="101"/>
      <c r="CN112" s="101"/>
      <c r="CO112" s="101"/>
      <c r="CP112" s="101"/>
      <c r="CQ112" s="101"/>
      <c r="CR112" s="101"/>
      <c r="CS112" s="101"/>
      <c r="CT112" s="101"/>
      <c r="CU112" s="109"/>
      <c r="CV112" s="110"/>
      <c r="CW112" s="109"/>
      <c r="CX112" s="110"/>
      <c r="CY112" s="101"/>
      <c r="CZ112" s="101"/>
      <c r="DA112" s="101"/>
      <c r="DB112" s="101"/>
      <c r="DC112" s="101"/>
      <c r="DD112" s="101"/>
      <c r="DE112" s="101"/>
      <c r="DF112" s="101"/>
      <c r="DG112" s="101"/>
      <c r="DH112" s="101"/>
      <c r="DI112" s="101"/>
      <c r="DJ112" s="101"/>
      <c r="DK112" s="101"/>
      <c r="DL112" s="101"/>
      <c r="DM112" s="101"/>
    </row>
    <row r="113" ht="21.75" customHeight="1">
      <c r="A113" s="101"/>
      <c r="B113" s="101"/>
      <c r="C113" s="101"/>
      <c r="D113" s="101"/>
      <c r="E113" s="103"/>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4"/>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5"/>
      <c r="AW113" s="105"/>
      <c r="AX113" s="106"/>
      <c r="AY113" s="106"/>
      <c r="AZ113" s="106"/>
      <c r="BA113" s="106"/>
      <c r="BB113" s="106"/>
      <c r="BC113" s="106"/>
      <c r="BD113" s="101"/>
      <c r="BE113" s="101"/>
      <c r="BF113" s="101"/>
      <c r="BG113" s="101"/>
      <c r="BH113" s="101"/>
      <c r="BI113" s="101"/>
      <c r="BJ113" s="101"/>
      <c r="BK113" s="101"/>
      <c r="BL113" s="101"/>
      <c r="BM113" s="101"/>
      <c r="BN113" s="101"/>
      <c r="BO113" s="101"/>
      <c r="BP113" s="101"/>
      <c r="BQ113" s="101"/>
      <c r="BR113" s="101"/>
      <c r="BS113" s="101"/>
      <c r="BT113" s="101"/>
      <c r="BU113" s="101"/>
      <c r="BV113" s="101"/>
      <c r="BW113" s="107"/>
      <c r="BX113" s="101"/>
      <c r="BY113" s="108"/>
      <c r="BZ113" s="108"/>
      <c r="CA113" s="109"/>
      <c r="CB113" s="101"/>
      <c r="CC113" s="101"/>
      <c r="CD113" s="101"/>
      <c r="CE113" s="101"/>
      <c r="CF113" s="101"/>
      <c r="CG113" s="101"/>
      <c r="CH113" s="101"/>
      <c r="CI113" s="101"/>
      <c r="CJ113" s="101"/>
      <c r="CK113" s="101"/>
      <c r="CL113" s="101"/>
      <c r="CM113" s="101"/>
      <c r="CN113" s="101"/>
      <c r="CO113" s="101"/>
      <c r="CP113" s="101"/>
      <c r="CQ113" s="101"/>
      <c r="CR113" s="101"/>
      <c r="CS113" s="101"/>
      <c r="CT113" s="101"/>
      <c r="CU113" s="109"/>
      <c r="CV113" s="110"/>
      <c r="CW113" s="109"/>
      <c r="CX113" s="110"/>
      <c r="CY113" s="101"/>
      <c r="CZ113" s="101"/>
      <c r="DA113" s="101"/>
      <c r="DB113" s="101"/>
      <c r="DC113" s="101"/>
      <c r="DD113" s="101"/>
      <c r="DE113" s="101"/>
      <c r="DF113" s="101"/>
      <c r="DG113" s="101"/>
      <c r="DH113" s="101"/>
      <c r="DI113" s="101"/>
      <c r="DJ113" s="101"/>
      <c r="DK113" s="101"/>
      <c r="DL113" s="101"/>
      <c r="DM113" s="101"/>
    </row>
    <row r="114" ht="21.75" customHeight="1">
      <c r="A114" s="101"/>
      <c r="B114" s="101"/>
      <c r="C114" s="101"/>
      <c r="D114" s="101"/>
      <c r="E114" s="103"/>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4"/>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5"/>
      <c r="AW114" s="105"/>
      <c r="AX114" s="106"/>
      <c r="AY114" s="106"/>
      <c r="AZ114" s="106"/>
      <c r="BA114" s="106"/>
      <c r="BB114" s="106"/>
      <c r="BC114" s="106"/>
      <c r="BD114" s="101"/>
      <c r="BE114" s="101"/>
      <c r="BF114" s="101"/>
      <c r="BG114" s="101"/>
      <c r="BH114" s="101"/>
      <c r="BI114" s="101"/>
      <c r="BJ114" s="101"/>
      <c r="BK114" s="101"/>
      <c r="BL114" s="101"/>
      <c r="BM114" s="101"/>
      <c r="BN114" s="101"/>
      <c r="BO114" s="101"/>
      <c r="BP114" s="101"/>
      <c r="BQ114" s="101"/>
      <c r="BR114" s="101"/>
      <c r="BS114" s="101"/>
      <c r="BT114" s="101"/>
      <c r="BU114" s="101"/>
      <c r="BV114" s="101"/>
      <c r="BW114" s="107"/>
      <c r="BX114" s="101"/>
      <c r="BY114" s="108"/>
      <c r="BZ114" s="108"/>
      <c r="CA114" s="109"/>
      <c r="CB114" s="101"/>
      <c r="CC114" s="101"/>
      <c r="CD114" s="101"/>
      <c r="CE114" s="101"/>
      <c r="CF114" s="101"/>
      <c r="CG114" s="101"/>
      <c r="CH114" s="101"/>
      <c r="CI114" s="101"/>
      <c r="CJ114" s="101"/>
      <c r="CK114" s="101"/>
      <c r="CL114" s="101"/>
      <c r="CM114" s="101"/>
      <c r="CN114" s="101"/>
      <c r="CO114" s="101"/>
      <c r="CP114" s="101"/>
      <c r="CQ114" s="101"/>
      <c r="CR114" s="101"/>
      <c r="CS114" s="101"/>
      <c r="CT114" s="101"/>
      <c r="CU114" s="109"/>
      <c r="CV114" s="110"/>
      <c r="CW114" s="109"/>
      <c r="CX114" s="110"/>
      <c r="CY114" s="101"/>
      <c r="CZ114" s="101"/>
      <c r="DA114" s="101"/>
      <c r="DB114" s="101"/>
      <c r="DC114" s="101"/>
      <c r="DD114" s="101"/>
      <c r="DE114" s="101"/>
      <c r="DF114" s="101"/>
      <c r="DG114" s="101"/>
      <c r="DH114" s="101"/>
      <c r="DI114" s="101"/>
      <c r="DJ114" s="101"/>
      <c r="DK114" s="101"/>
      <c r="DL114" s="101"/>
      <c r="DM114" s="101"/>
    </row>
    <row r="115" ht="21.75" customHeight="1">
      <c r="A115" s="101"/>
      <c r="B115" s="101"/>
      <c r="C115" s="101"/>
      <c r="D115" s="101"/>
      <c r="E115" s="103"/>
      <c r="F115" s="101"/>
      <c r="G115" s="101"/>
      <c r="H115" s="101"/>
      <c r="I115" s="101"/>
      <c r="J115" s="101"/>
      <c r="K115" s="101"/>
      <c r="L115" s="101"/>
      <c r="M115" s="101"/>
      <c r="N115" s="101"/>
      <c r="O115" s="101"/>
      <c r="P115" s="101"/>
      <c r="Q115" s="101"/>
      <c r="R115" s="101"/>
      <c r="S115" s="101"/>
      <c r="T115" s="101"/>
      <c r="U115" s="101"/>
      <c r="V115" s="101"/>
      <c r="W115" s="101"/>
      <c r="X115" s="101"/>
      <c r="Y115" s="101"/>
      <c r="Z115" s="101"/>
      <c r="AA115" s="104"/>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5"/>
      <c r="AW115" s="105"/>
      <c r="AX115" s="106"/>
      <c r="AY115" s="106"/>
      <c r="AZ115" s="106"/>
      <c r="BA115" s="106"/>
      <c r="BB115" s="106"/>
      <c r="BC115" s="106"/>
      <c r="BD115" s="101"/>
      <c r="BE115" s="101"/>
      <c r="BF115" s="101"/>
      <c r="BG115" s="101"/>
      <c r="BH115" s="101"/>
      <c r="BI115" s="101"/>
      <c r="BJ115" s="101"/>
      <c r="BK115" s="101"/>
      <c r="BL115" s="101"/>
      <c r="BM115" s="101"/>
      <c r="BN115" s="101"/>
      <c r="BO115" s="101"/>
      <c r="BP115" s="101"/>
      <c r="BQ115" s="101"/>
      <c r="BR115" s="101"/>
      <c r="BS115" s="101"/>
      <c r="BT115" s="101"/>
      <c r="BU115" s="101"/>
      <c r="BV115" s="101"/>
      <c r="BW115" s="107"/>
      <c r="BX115" s="101"/>
      <c r="BY115" s="108"/>
      <c r="BZ115" s="108"/>
      <c r="CA115" s="109"/>
      <c r="CB115" s="101"/>
      <c r="CC115" s="101"/>
      <c r="CD115" s="101"/>
      <c r="CE115" s="101"/>
      <c r="CF115" s="101"/>
      <c r="CG115" s="101"/>
      <c r="CH115" s="101"/>
      <c r="CI115" s="101"/>
      <c r="CJ115" s="101"/>
      <c r="CK115" s="101"/>
      <c r="CL115" s="101"/>
      <c r="CM115" s="101"/>
      <c r="CN115" s="101"/>
      <c r="CO115" s="101"/>
      <c r="CP115" s="101"/>
      <c r="CQ115" s="101"/>
      <c r="CR115" s="101"/>
      <c r="CS115" s="101"/>
      <c r="CT115" s="101"/>
      <c r="CU115" s="109"/>
      <c r="CV115" s="110"/>
      <c r="CW115" s="109"/>
      <c r="CX115" s="110"/>
      <c r="CY115" s="101"/>
      <c r="CZ115" s="101"/>
      <c r="DA115" s="101"/>
      <c r="DB115" s="101"/>
      <c r="DC115" s="101"/>
      <c r="DD115" s="101"/>
      <c r="DE115" s="101"/>
      <c r="DF115" s="101"/>
      <c r="DG115" s="101"/>
      <c r="DH115" s="101"/>
      <c r="DI115" s="101"/>
      <c r="DJ115" s="101"/>
      <c r="DK115" s="101"/>
      <c r="DL115" s="101"/>
      <c r="DM115" s="101"/>
    </row>
    <row r="116" ht="21.75" customHeight="1">
      <c r="A116" s="101"/>
      <c r="B116" s="101"/>
      <c r="C116" s="101"/>
      <c r="D116" s="101"/>
      <c r="E116" s="103"/>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4"/>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5"/>
      <c r="AW116" s="105"/>
      <c r="AX116" s="106"/>
      <c r="AY116" s="106"/>
      <c r="AZ116" s="106"/>
      <c r="BA116" s="106"/>
      <c r="BB116" s="106"/>
      <c r="BC116" s="106"/>
      <c r="BD116" s="101"/>
      <c r="BE116" s="101"/>
      <c r="BF116" s="101"/>
      <c r="BG116" s="101"/>
      <c r="BH116" s="101"/>
      <c r="BI116" s="101"/>
      <c r="BJ116" s="101"/>
      <c r="BK116" s="101"/>
      <c r="BL116" s="101"/>
      <c r="BM116" s="101"/>
      <c r="BN116" s="101"/>
      <c r="BO116" s="101"/>
      <c r="BP116" s="101"/>
      <c r="BQ116" s="101"/>
      <c r="BR116" s="101"/>
      <c r="BS116" s="101"/>
      <c r="BT116" s="101"/>
      <c r="BU116" s="101"/>
      <c r="BV116" s="101"/>
      <c r="BW116" s="107"/>
      <c r="BX116" s="101"/>
      <c r="BY116" s="108"/>
      <c r="BZ116" s="108"/>
      <c r="CA116" s="109"/>
      <c r="CB116" s="101"/>
      <c r="CC116" s="101"/>
      <c r="CD116" s="101"/>
      <c r="CE116" s="101"/>
      <c r="CF116" s="101"/>
      <c r="CG116" s="101"/>
      <c r="CH116" s="101"/>
      <c r="CI116" s="101"/>
      <c r="CJ116" s="101"/>
      <c r="CK116" s="101"/>
      <c r="CL116" s="101"/>
      <c r="CM116" s="101"/>
      <c r="CN116" s="101"/>
      <c r="CO116" s="101"/>
      <c r="CP116" s="101"/>
      <c r="CQ116" s="101"/>
      <c r="CR116" s="101"/>
      <c r="CS116" s="101"/>
      <c r="CT116" s="101"/>
      <c r="CU116" s="109"/>
      <c r="CV116" s="110"/>
      <c r="CW116" s="109"/>
      <c r="CX116" s="110"/>
      <c r="CY116" s="101"/>
      <c r="CZ116" s="101"/>
      <c r="DA116" s="101"/>
      <c r="DB116" s="101"/>
      <c r="DC116" s="101"/>
      <c r="DD116" s="101"/>
      <c r="DE116" s="101"/>
      <c r="DF116" s="101"/>
      <c r="DG116" s="101"/>
      <c r="DH116" s="101"/>
      <c r="DI116" s="101"/>
      <c r="DJ116" s="101"/>
      <c r="DK116" s="101"/>
      <c r="DL116" s="101"/>
      <c r="DM116" s="101"/>
    </row>
    <row r="117" ht="21.75" customHeight="1">
      <c r="A117" s="101"/>
      <c r="B117" s="101"/>
      <c r="C117" s="101"/>
      <c r="D117" s="101"/>
      <c r="E117" s="103"/>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4"/>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5"/>
      <c r="AW117" s="105"/>
      <c r="AX117" s="106"/>
      <c r="AY117" s="106"/>
      <c r="AZ117" s="106"/>
      <c r="BA117" s="106"/>
      <c r="BB117" s="106"/>
      <c r="BC117" s="106"/>
      <c r="BD117" s="101"/>
      <c r="BE117" s="101"/>
      <c r="BF117" s="101"/>
      <c r="BG117" s="101"/>
      <c r="BH117" s="101"/>
      <c r="BI117" s="101"/>
      <c r="BJ117" s="101"/>
      <c r="BK117" s="101"/>
      <c r="BL117" s="101"/>
      <c r="BM117" s="101"/>
      <c r="BN117" s="101"/>
      <c r="BO117" s="101"/>
      <c r="BP117" s="101"/>
      <c r="BQ117" s="101"/>
      <c r="BR117" s="101"/>
      <c r="BS117" s="101"/>
      <c r="BT117" s="101"/>
      <c r="BU117" s="101"/>
      <c r="BV117" s="101"/>
      <c r="BW117" s="107"/>
      <c r="BX117" s="101"/>
      <c r="BY117" s="108"/>
      <c r="BZ117" s="108"/>
      <c r="CA117" s="109"/>
      <c r="CB117" s="101"/>
      <c r="CC117" s="101"/>
      <c r="CD117" s="101"/>
      <c r="CE117" s="101"/>
      <c r="CF117" s="101"/>
      <c r="CG117" s="101"/>
      <c r="CH117" s="101"/>
      <c r="CI117" s="101"/>
      <c r="CJ117" s="101"/>
      <c r="CK117" s="101"/>
      <c r="CL117" s="101"/>
      <c r="CM117" s="101"/>
      <c r="CN117" s="101"/>
      <c r="CO117" s="101"/>
      <c r="CP117" s="101"/>
      <c r="CQ117" s="101"/>
      <c r="CR117" s="101"/>
      <c r="CS117" s="101"/>
      <c r="CT117" s="101"/>
      <c r="CU117" s="109"/>
      <c r="CV117" s="110"/>
      <c r="CW117" s="109"/>
      <c r="CX117" s="110"/>
      <c r="CY117" s="101"/>
      <c r="CZ117" s="101"/>
      <c r="DA117" s="101"/>
      <c r="DB117" s="101"/>
      <c r="DC117" s="101"/>
      <c r="DD117" s="101"/>
      <c r="DE117" s="101"/>
      <c r="DF117" s="101"/>
      <c r="DG117" s="101"/>
      <c r="DH117" s="101"/>
      <c r="DI117" s="101"/>
      <c r="DJ117" s="101"/>
      <c r="DK117" s="101"/>
      <c r="DL117" s="101"/>
      <c r="DM117" s="101"/>
    </row>
    <row r="118" ht="21.75" customHeight="1">
      <c r="A118" s="101"/>
      <c r="B118" s="101"/>
      <c r="C118" s="101"/>
      <c r="D118" s="101"/>
      <c r="E118" s="103"/>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4"/>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5"/>
      <c r="AW118" s="105"/>
      <c r="AX118" s="106"/>
      <c r="AY118" s="106"/>
      <c r="AZ118" s="106"/>
      <c r="BA118" s="106"/>
      <c r="BB118" s="106"/>
      <c r="BC118" s="106"/>
      <c r="BD118" s="101"/>
      <c r="BE118" s="101"/>
      <c r="BF118" s="101"/>
      <c r="BG118" s="101"/>
      <c r="BH118" s="101"/>
      <c r="BI118" s="101"/>
      <c r="BJ118" s="101"/>
      <c r="BK118" s="101"/>
      <c r="BL118" s="101"/>
      <c r="BM118" s="101"/>
      <c r="BN118" s="101"/>
      <c r="BO118" s="101"/>
      <c r="BP118" s="101"/>
      <c r="BQ118" s="101"/>
      <c r="BR118" s="101"/>
      <c r="BS118" s="101"/>
      <c r="BT118" s="101"/>
      <c r="BU118" s="101"/>
      <c r="BV118" s="101"/>
      <c r="BW118" s="107"/>
      <c r="BX118" s="101"/>
      <c r="BY118" s="108"/>
      <c r="BZ118" s="108"/>
      <c r="CA118" s="109"/>
      <c r="CB118" s="101"/>
      <c r="CC118" s="101"/>
      <c r="CD118" s="101"/>
      <c r="CE118" s="101"/>
      <c r="CF118" s="101"/>
      <c r="CG118" s="101"/>
      <c r="CH118" s="101"/>
      <c r="CI118" s="101"/>
      <c r="CJ118" s="101"/>
      <c r="CK118" s="101"/>
      <c r="CL118" s="101"/>
      <c r="CM118" s="101"/>
      <c r="CN118" s="101"/>
      <c r="CO118" s="101"/>
      <c r="CP118" s="101"/>
      <c r="CQ118" s="101"/>
      <c r="CR118" s="101"/>
      <c r="CS118" s="101"/>
      <c r="CT118" s="101"/>
      <c r="CU118" s="109"/>
      <c r="CV118" s="110"/>
      <c r="CW118" s="109"/>
      <c r="CX118" s="110"/>
      <c r="CY118" s="101"/>
      <c r="CZ118" s="101"/>
      <c r="DA118" s="101"/>
      <c r="DB118" s="101"/>
      <c r="DC118" s="101"/>
      <c r="DD118" s="101"/>
      <c r="DE118" s="101"/>
      <c r="DF118" s="101"/>
      <c r="DG118" s="101"/>
      <c r="DH118" s="101"/>
      <c r="DI118" s="101"/>
      <c r="DJ118" s="101"/>
      <c r="DK118" s="101"/>
      <c r="DL118" s="101"/>
      <c r="DM118" s="101"/>
    </row>
    <row r="119" ht="21.75" customHeight="1">
      <c r="A119" s="101"/>
      <c r="B119" s="101"/>
      <c r="C119" s="101"/>
      <c r="D119" s="101"/>
      <c r="E119" s="103"/>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4"/>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5"/>
      <c r="AW119" s="105"/>
      <c r="AX119" s="106"/>
      <c r="AY119" s="106"/>
      <c r="AZ119" s="106"/>
      <c r="BA119" s="106"/>
      <c r="BB119" s="106"/>
      <c r="BC119" s="106"/>
      <c r="BD119" s="101"/>
      <c r="BE119" s="101"/>
      <c r="BF119" s="101"/>
      <c r="BG119" s="101"/>
      <c r="BH119" s="101"/>
      <c r="BI119" s="101"/>
      <c r="BJ119" s="101"/>
      <c r="BK119" s="101"/>
      <c r="BL119" s="101"/>
      <c r="BM119" s="101"/>
      <c r="BN119" s="101"/>
      <c r="BO119" s="101"/>
      <c r="BP119" s="101"/>
      <c r="BQ119" s="101"/>
      <c r="BR119" s="101"/>
      <c r="BS119" s="101"/>
      <c r="BT119" s="101"/>
      <c r="BU119" s="101"/>
      <c r="BV119" s="101"/>
      <c r="BW119" s="107"/>
      <c r="BX119" s="101"/>
      <c r="BY119" s="108"/>
      <c r="BZ119" s="108"/>
      <c r="CA119" s="109"/>
      <c r="CB119" s="101"/>
      <c r="CC119" s="101"/>
      <c r="CD119" s="101"/>
      <c r="CE119" s="101"/>
      <c r="CF119" s="101"/>
      <c r="CG119" s="101"/>
      <c r="CH119" s="101"/>
      <c r="CI119" s="101"/>
      <c r="CJ119" s="101"/>
      <c r="CK119" s="101"/>
      <c r="CL119" s="101"/>
      <c r="CM119" s="101"/>
      <c r="CN119" s="101"/>
      <c r="CO119" s="101"/>
      <c r="CP119" s="101"/>
      <c r="CQ119" s="101"/>
      <c r="CR119" s="101"/>
      <c r="CS119" s="101"/>
      <c r="CT119" s="101"/>
      <c r="CU119" s="109"/>
      <c r="CV119" s="110"/>
      <c r="CW119" s="109"/>
      <c r="CX119" s="110"/>
      <c r="CY119" s="101"/>
      <c r="CZ119" s="101"/>
      <c r="DA119" s="101"/>
      <c r="DB119" s="101"/>
      <c r="DC119" s="101"/>
      <c r="DD119" s="101"/>
      <c r="DE119" s="101"/>
      <c r="DF119" s="101"/>
      <c r="DG119" s="101"/>
      <c r="DH119" s="101"/>
      <c r="DI119" s="101"/>
      <c r="DJ119" s="101"/>
      <c r="DK119" s="101"/>
      <c r="DL119" s="101"/>
      <c r="DM119" s="101"/>
    </row>
    <row r="120" ht="21.75" customHeight="1">
      <c r="A120" s="101"/>
      <c r="B120" s="101"/>
      <c r="C120" s="101"/>
      <c r="D120" s="101"/>
      <c r="E120" s="103"/>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4"/>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5"/>
      <c r="AW120" s="105"/>
      <c r="AX120" s="106"/>
      <c r="AY120" s="106"/>
      <c r="AZ120" s="106"/>
      <c r="BA120" s="106"/>
      <c r="BB120" s="106"/>
      <c r="BC120" s="106"/>
      <c r="BD120" s="101"/>
      <c r="BE120" s="101"/>
      <c r="BF120" s="101"/>
      <c r="BG120" s="101"/>
      <c r="BH120" s="101"/>
      <c r="BI120" s="101"/>
      <c r="BJ120" s="101"/>
      <c r="BK120" s="101"/>
      <c r="BL120" s="101"/>
      <c r="BM120" s="101"/>
      <c r="BN120" s="101"/>
      <c r="BO120" s="101"/>
      <c r="BP120" s="101"/>
      <c r="BQ120" s="101"/>
      <c r="BR120" s="101"/>
      <c r="BS120" s="101"/>
      <c r="BT120" s="101"/>
      <c r="BU120" s="101"/>
      <c r="BV120" s="101"/>
      <c r="BW120" s="107"/>
      <c r="BX120" s="101"/>
      <c r="BY120" s="108"/>
      <c r="BZ120" s="108"/>
      <c r="CA120" s="109"/>
      <c r="CB120" s="101"/>
      <c r="CC120" s="101"/>
      <c r="CD120" s="101"/>
      <c r="CE120" s="101"/>
      <c r="CF120" s="101"/>
      <c r="CG120" s="101"/>
      <c r="CH120" s="101"/>
      <c r="CI120" s="101"/>
      <c r="CJ120" s="101"/>
      <c r="CK120" s="101"/>
      <c r="CL120" s="101"/>
      <c r="CM120" s="101"/>
      <c r="CN120" s="101"/>
      <c r="CO120" s="101"/>
      <c r="CP120" s="101"/>
      <c r="CQ120" s="101"/>
      <c r="CR120" s="101"/>
      <c r="CS120" s="101"/>
      <c r="CT120" s="101"/>
      <c r="CU120" s="109"/>
      <c r="CV120" s="110"/>
      <c r="CW120" s="109"/>
      <c r="CX120" s="110"/>
      <c r="CY120" s="101"/>
      <c r="CZ120" s="101"/>
      <c r="DA120" s="101"/>
      <c r="DB120" s="101"/>
      <c r="DC120" s="101"/>
      <c r="DD120" s="101"/>
      <c r="DE120" s="101"/>
      <c r="DF120" s="101"/>
      <c r="DG120" s="101"/>
      <c r="DH120" s="101"/>
      <c r="DI120" s="101"/>
      <c r="DJ120" s="101"/>
      <c r="DK120" s="101"/>
      <c r="DL120" s="101"/>
      <c r="DM120" s="101"/>
    </row>
    <row r="121" ht="21.75" customHeight="1">
      <c r="A121" s="101"/>
      <c r="B121" s="101"/>
      <c r="C121" s="101"/>
      <c r="D121" s="101"/>
      <c r="E121" s="103"/>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4"/>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5"/>
      <c r="AW121" s="105"/>
      <c r="AX121" s="106"/>
      <c r="AY121" s="106"/>
      <c r="AZ121" s="106"/>
      <c r="BA121" s="106"/>
      <c r="BB121" s="106"/>
      <c r="BC121" s="106"/>
      <c r="BD121" s="101"/>
      <c r="BE121" s="101"/>
      <c r="BF121" s="101"/>
      <c r="BG121" s="101"/>
      <c r="BH121" s="101"/>
      <c r="BI121" s="101"/>
      <c r="BJ121" s="101"/>
      <c r="BK121" s="101"/>
      <c r="BL121" s="101"/>
      <c r="BM121" s="101"/>
      <c r="BN121" s="101"/>
      <c r="BO121" s="101"/>
      <c r="BP121" s="101"/>
      <c r="BQ121" s="101"/>
      <c r="BR121" s="101"/>
      <c r="BS121" s="101"/>
      <c r="BT121" s="101"/>
      <c r="BU121" s="101"/>
      <c r="BV121" s="101"/>
      <c r="BW121" s="107"/>
      <c r="BX121" s="101"/>
      <c r="BY121" s="108"/>
      <c r="BZ121" s="108"/>
      <c r="CA121" s="109"/>
      <c r="CB121" s="101"/>
      <c r="CC121" s="101"/>
      <c r="CD121" s="101"/>
      <c r="CE121" s="101"/>
      <c r="CF121" s="101"/>
      <c r="CG121" s="101"/>
      <c r="CH121" s="101"/>
      <c r="CI121" s="101"/>
      <c r="CJ121" s="101"/>
      <c r="CK121" s="101"/>
      <c r="CL121" s="101"/>
      <c r="CM121" s="101"/>
      <c r="CN121" s="101"/>
      <c r="CO121" s="101"/>
      <c r="CP121" s="101"/>
      <c r="CQ121" s="101"/>
      <c r="CR121" s="101"/>
      <c r="CS121" s="101"/>
      <c r="CT121" s="101"/>
      <c r="CU121" s="109"/>
      <c r="CV121" s="110"/>
      <c r="CW121" s="109"/>
      <c r="CX121" s="110"/>
      <c r="CY121" s="101"/>
      <c r="CZ121" s="101"/>
      <c r="DA121" s="101"/>
      <c r="DB121" s="101"/>
      <c r="DC121" s="101"/>
      <c r="DD121" s="101"/>
      <c r="DE121" s="101"/>
      <c r="DF121" s="101"/>
      <c r="DG121" s="101"/>
      <c r="DH121" s="101"/>
      <c r="DI121" s="101"/>
      <c r="DJ121" s="101"/>
      <c r="DK121" s="101"/>
      <c r="DL121" s="101"/>
      <c r="DM121" s="101"/>
    </row>
    <row r="122" ht="21.75" customHeight="1">
      <c r="A122" s="101"/>
      <c r="B122" s="101"/>
      <c r="C122" s="101"/>
      <c r="D122" s="101"/>
      <c r="E122" s="103"/>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4"/>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5"/>
      <c r="AW122" s="105"/>
      <c r="AX122" s="106"/>
      <c r="AY122" s="106"/>
      <c r="AZ122" s="106"/>
      <c r="BA122" s="106"/>
      <c r="BB122" s="106"/>
      <c r="BC122" s="106"/>
      <c r="BD122" s="101"/>
      <c r="BE122" s="101"/>
      <c r="BF122" s="101"/>
      <c r="BG122" s="101"/>
      <c r="BH122" s="101"/>
      <c r="BI122" s="101"/>
      <c r="BJ122" s="101"/>
      <c r="BK122" s="101"/>
      <c r="BL122" s="101"/>
      <c r="BM122" s="101"/>
      <c r="BN122" s="101"/>
      <c r="BO122" s="101"/>
      <c r="BP122" s="101"/>
      <c r="BQ122" s="101"/>
      <c r="BR122" s="101"/>
      <c r="BS122" s="101"/>
      <c r="BT122" s="101"/>
      <c r="BU122" s="101"/>
      <c r="BV122" s="101"/>
      <c r="BW122" s="107"/>
      <c r="BX122" s="101"/>
      <c r="BY122" s="108"/>
      <c r="BZ122" s="108"/>
      <c r="CA122" s="109"/>
      <c r="CB122" s="101"/>
      <c r="CC122" s="101"/>
      <c r="CD122" s="101"/>
      <c r="CE122" s="101"/>
      <c r="CF122" s="101"/>
      <c r="CG122" s="101"/>
      <c r="CH122" s="101"/>
      <c r="CI122" s="101"/>
      <c r="CJ122" s="101"/>
      <c r="CK122" s="101"/>
      <c r="CL122" s="101"/>
      <c r="CM122" s="101"/>
      <c r="CN122" s="101"/>
      <c r="CO122" s="101"/>
      <c r="CP122" s="101"/>
      <c r="CQ122" s="101"/>
      <c r="CR122" s="101"/>
      <c r="CS122" s="101"/>
      <c r="CT122" s="101"/>
      <c r="CU122" s="109"/>
      <c r="CV122" s="110"/>
      <c r="CW122" s="109"/>
      <c r="CX122" s="110"/>
      <c r="CY122" s="101"/>
      <c r="CZ122" s="101"/>
      <c r="DA122" s="101"/>
      <c r="DB122" s="101"/>
      <c r="DC122" s="101"/>
      <c r="DD122" s="101"/>
      <c r="DE122" s="101"/>
      <c r="DF122" s="101"/>
      <c r="DG122" s="101"/>
      <c r="DH122" s="101"/>
      <c r="DI122" s="101"/>
      <c r="DJ122" s="101"/>
      <c r="DK122" s="101"/>
      <c r="DL122" s="101"/>
      <c r="DM122" s="101"/>
    </row>
    <row r="123" ht="21.75" customHeight="1">
      <c r="A123" s="101"/>
      <c r="B123" s="101"/>
      <c r="C123" s="101"/>
      <c r="D123" s="101"/>
      <c r="E123" s="103"/>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4"/>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5"/>
      <c r="AW123" s="105"/>
      <c r="AX123" s="106"/>
      <c r="AY123" s="106"/>
      <c r="AZ123" s="106"/>
      <c r="BA123" s="106"/>
      <c r="BB123" s="106"/>
      <c r="BC123" s="106"/>
      <c r="BD123" s="101"/>
      <c r="BE123" s="101"/>
      <c r="BF123" s="101"/>
      <c r="BG123" s="101"/>
      <c r="BH123" s="101"/>
      <c r="BI123" s="101"/>
      <c r="BJ123" s="101"/>
      <c r="BK123" s="101"/>
      <c r="BL123" s="101"/>
      <c r="BM123" s="101"/>
      <c r="BN123" s="101"/>
      <c r="BO123" s="101"/>
      <c r="BP123" s="101"/>
      <c r="BQ123" s="101"/>
      <c r="BR123" s="101"/>
      <c r="BS123" s="101"/>
      <c r="BT123" s="101"/>
      <c r="BU123" s="101"/>
      <c r="BV123" s="101"/>
      <c r="BW123" s="107"/>
      <c r="BX123" s="101"/>
      <c r="BY123" s="108"/>
      <c r="BZ123" s="108"/>
      <c r="CA123" s="109"/>
      <c r="CB123" s="101"/>
      <c r="CC123" s="101"/>
      <c r="CD123" s="101"/>
      <c r="CE123" s="101"/>
      <c r="CF123" s="101"/>
      <c r="CG123" s="101"/>
      <c r="CH123" s="101"/>
      <c r="CI123" s="101"/>
      <c r="CJ123" s="101"/>
      <c r="CK123" s="101"/>
      <c r="CL123" s="101"/>
      <c r="CM123" s="101"/>
      <c r="CN123" s="101"/>
      <c r="CO123" s="101"/>
      <c r="CP123" s="101"/>
      <c r="CQ123" s="101"/>
      <c r="CR123" s="101"/>
      <c r="CS123" s="101"/>
      <c r="CT123" s="101"/>
      <c r="CU123" s="109"/>
      <c r="CV123" s="110"/>
      <c r="CW123" s="109"/>
      <c r="CX123" s="110"/>
      <c r="CY123" s="101"/>
      <c r="CZ123" s="101"/>
      <c r="DA123" s="101"/>
      <c r="DB123" s="101"/>
      <c r="DC123" s="101"/>
      <c r="DD123" s="101"/>
      <c r="DE123" s="101"/>
      <c r="DF123" s="101"/>
      <c r="DG123" s="101"/>
      <c r="DH123" s="101"/>
      <c r="DI123" s="101"/>
      <c r="DJ123" s="101"/>
      <c r="DK123" s="101"/>
      <c r="DL123" s="101"/>
      <c r="DM123" s="101"/>
    </row>
    <row r="124" ht="21.75" customHeight="1">
      <c r="A124" s="101"/>
      <c r="B124" s="101"/>
      <c r="C124" s="101"/>
      <c r="D124" s="101"/>
      <c r="E124" s="103"/>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4"/>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5"/>
      <c r="AW124" s="105"/>
      <c r="AX124" s="106"/>
      <c r="AY124" s="106"/>
      <c r="AZ124" s="106"/>
      <c r="BA124" s="106"/>
      <c r="BB124" s="106"/>
      <c r="BC124" s="106"/>
      <c r="BD124" s="101"/>
      <c r="BE124" s="101"/>
      <c r="BF124" s="101"/>
      <c r="BG124" s="101"/>
      <c r="BH124" s="101"/>
      <c r="BI124" s="101"/>
      <c r="BJ124" s="101"/>
      <c r="BK124" s="101"/>
      <c r="BL124" s="101"/>
      <c r="BM124" s="101"/>
      <c r="BN124" s="101"/>
      <c r="BO124" s="101"/>
      <c r="BP124" s="101"/>
      <c r="BQ124" s="101"/>
      <c r="BR124" s="101"/>
      <c r="BS124" s="101"/>
      <c r="BT124" s="101"/>
      <c r="BU124" s="101"/>
      <c r="BV124" s="101"/>
      <c r="BW124" s="107"/>
      <c r="BX124" s="101"/>
      <c r="BY124" s="108"/>
      <c r="BZ124" s="108"/>
      <c r="CA124" s="109"/>
      <c r="CB124" s="101"/>
      <c r="CC124" s="101"/>
      <c r="CD124" s="101"/>
      <c r="CE124" s="101"/>
      <c r="CF124" s="101"/>
      <c r="CG124" s="101"/>
      <c r="CH124" s="101"/>
      <c r="CI124" s="101"/>
      <c r="CJ124" s="101"/>
      <c r="CK124" s="101"/>
      <c r="CL124" s="101"/>
      <c r="CM124" s="101"/>
      <c r="CN124" s="101"/>
      <c r="CO124" s="101"/>
      <c r="CP124" s="101"/>
      <c r="CQ124" s="101"/>
      <c r="CR124" s="101"/>
      <c r="CS124" s="101"/>
      <c r="CT124" s="101"/>
      <c r="CU124" s="109"/>
      <c r="CV124" s="110"/>
      <c r="CW124" s="109"/>
      <c r="CX124" s="110"/>
      <c r="CY124" s="101"/>
      <c r="CZ124" s="101"/>
      <c r="DA124" s="101"/>
      <c r="DB124" s="101"/>
      <c r="DC124" s="101"/>
      <c r="DD124" s="101"/>
      <c r="DE124" s="101"/>
      <c r="DF124" s="101"/>
      <c r="DG124" s="101"/>
      <c r="DH124" s="101"/>
      <c r="DI124" s="101"/>
      <c r="DJ124" s="101"/>
      <c r="DK124" s="101"/>
      <c r="DL124" s="101"/>
      <c r="DM124" s="101"/>
    </row>
    <row r="125" ht="21.75" customHeight="1">
      <c r="A125" s="101"/>
      <c r="B125" s="101"/>
      <c r="C125" s="101"/>
      <c r="D125" s="101"/>
      <c r="E125" s="103"/>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4"/>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5"/>
      <c r="AW125" s="105"/>
      <c r="AX125" s="106"/>
      <c r="AY125" s="106"/>
      <c r="AZ125" s="106"/>
      <c r="BA125" s="106"/>
      <c r="BB125" s="106"/>
      <c r="BC125" s="106"/>
      <c r="BD125" s="101"/>
      <c r="BE125" s="101"/>
      <c r="BF125" s="101"/>
      <c r="BG125" s="101"/>
      <c r="BH125" s="101"/>
      <c r="BI125" s="101"/>
      <c r="BJ125" s="101"/>
      <c r="BK125" s="101"/>
      <c r="BL125" s="101"/>
      <c r="BM125" s="101"/>
      <c r="BN125" s="101"/>
      <c r="BO125" s="101"/>
      <c r="BP125" s="101"/>
      <c r="BQ125" s="101"/>
      <c r="BR125" s="101"/>
      <c r="BS125" s="101"/>
      <c r="BT125" s="101"/>
      <c r="BU125" s="101"/>
      <c r="BV125" s="101"/>
      <c r="BW125" s="107"/>
      <c r="BX125" s="101"/>
      <c r="BY125" s="108"/>
      <c r="BZ125" s="108"/>
      <c r="CA125" s="109"/>
      <c r="CB125" s="101"/>
      <c r="CC125" s="101"/>
      <c r="CD125" s="101"/>
      <c r="CE125" s="101"/>
      <c r="CF125" s="101"/>
      <c r="CG125" s="101"/>
      <c r="CH125" s="101"/>
      <c r="CI125" s="101"/>
      <c r="CJ125" s="101"/>
      <c r="CK125" s="101"/>
      <c r="CL125" s="101"/>
      <c r="CM125" s="101"/>
      <c r="CN125" s="101"/>
      <c r="CO125" s="101"/>
      <c r="CP125" s="101"/>
      <c r="CQ125" s="101"/>
      <c r="CR125" s="101"/>
      <c r="CS125" s="101"/>
      <c r="CT125" s="101"/>
      <c r="CU125" s="109"/>
      <c r="CV125" s="110"/>
      <c r="CW125" s="109"/>
      <c r="CX125" s="110"/>
      <c r="CY125" s="101"/>
      <c r="CZ125" s="101"/>
      <c r="DA125" s="101"/>
      <c r="DB125" s="101"/>
      <c r="DC125" s="101"/>
      <c r="DD125" s="101"/>
      <c r="DE125" s="101"/>
      <c r="DF125" s="101"/>
      <c r="DG125" s="101"/>
      <c r="DH125" s="101"/>
      <c r="DI125" s="101"/>
      <c r="DJ125" s="101"/>
      <c r="DK125" s="101"/>
      <c r="DL125" s="101"/>
      <c r="DM125" s="101"/>
    </row>
    <row r="126" ht="21.75" customHeight="1">
      <c r="A126" s="101"/>
      <c r="B126" s="101"/>
      <c r="C126" s="101"/>
      <c r="D126" s="101"/>
      <c r="E126" s="103"/>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4"/>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5"/>
      <c r="AW126" s="105"/>
      <c r="AX126" s="106"/>
      <c r="AY126" s="106"/>
      <c r="AZ126" s="106"/>
      <c r="BA126" s="106"/>
      <c r="BB126" s="106"/>
      <c r="BC126" s="106"/>
      <c r="BD126" s="101"/>
      <c r="BE126" s="101"/>
      <c r="BF126" s="101"/>
      <c r="BG126" s="101"/>
      <c r="BH126" s="101"/>
      <c r="BI126" s="101"/>
      <c r="BJ126" s="101"/>
      <c r="BK126" s="101"/>
      <c r="BL126" s="101"/>
      <c r="BM126" s="101"/>
      <c r="BN126" s="101"/>
      <c r="BO126" s="101"/>
      <c r="BP126" s="101"/>
      <c r="BQ126" s="101"/>
      <c r="BR126" s="101"/>
      <c r="BS126" s="101"/>
      <c r="BT126" s="101"/>
      <c r="BU126" s="101"/>
      <c r="BV126" s="101"/>
      <c r="BW126" s="107"/>
      <c r="BX126" s="101"/>
      <c r="BY126" s="108"/>
      <c r="BZ126" s="108"/>
      <c r="CA126" s="109"/>
      <c r="CB126" s="101"/>
      <c r="CC126" s="101"/>
      <c r="CD126" s="101"/>
      <c r="CE126" s="101"/>
      <c r="CF126" s="101"/>
      <c r="CG126" s="101"/>
      <c r="CH126" s="101"/>
      <c r="CI126" s="101"/>
      <c r="CJ126" s="101"/>
      <c r="CK126" s="101"/>
      <c r="CL126" s="101"/>
      <c r="CM126" s="101"/>
      <c r="CN126" s="101"/>
      <c r="CO126" s="101"/>
      <c r="CP126" s="101"/>
      <c r="CQ126" s="101"/>
      <c r="CR126" s="101"/>
      <c r="CS126" s="101"/>
      <c r="CT126" s="101"/>
      <c r="CU126" s="109"/>
      <c r="CV126" s="110"/>
      <c r="CW126" s="109"/>
      <c r="CX126" s="110"/>
      <c r="CY126" s="101"/>
      <c r="CZ126" s="101"/>
      <c r="DA126" s="101"/>
      <c r="DB126" s="101"/>
      <c r="DC126" s="101"/>
      <c r="DD126" s="101"/>
      <c r="DE126" s="101"/>
      <c r="DF126" s="101"/>
      <c r="DG126" s="101"/>
      <c r="DH126" s="101"/>
      <c r="DI126" s="101"/>
      <c r="DJ126" s="101"/>
      <c r="DK126" s="101"/>
      <c r="DL126" s="101"/>
      <c r="DM126" s="101"/>
    </row>
    <row r="127" ht="21.75" customHeight="1">
      <c r="A127" s="101"/>
      <c r="B127" s="101"/>
      <c r="C127" s="101"/>
      <c r="D127" s="101"/>
      <c r="E127" s="103"/>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4"/>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5"/>
      <c r="AW127" s="105"/>
      <c r="AX127" s="106"/>
      <c r="AY127" s="106"/>
      <c r="AZ127" s="106"/>
      <c r="BA127" s="106"/>
      <c r="BB127" s="106"/>
      <c r="BC127" s="106"/>
      <c r="BD127" s="101"/>
      <c r="BE127" s="101"/>
      <c r="BF127" s="101"/>
      <c r="BG127" s="101"/>
      <c r="BH127" s="101"/>
      <c r="BI127" s="101"/>
      <c r="BJ127" s="101"/>
      <c r="BK127" s="101"/>
      <c r="BL127" s="101"/>
      <c r="BM127" s="101"/>
      <c r="BN127" s="101"/>
      <c r="BO127" s="101"/>
      <c r="BP127" s="101"/>
      <c r="BQ127" s="101"/>
      <c r="BR127" s="101"/>
      <c r="BS127" s="101"/>
      <c r="BT127" s="101"/>
      <c r="BU127" s="101"/>
      <c r="BV127" s="101"/>
      <c r="BW127" s="107"/>
      <c r="BX127" s="101"/>
      <c r="BY127" s="108"/>
      <c r="BZ127" s="108"/>
      <c r="CA127" s="109"/>
      <c r="CB127" s="101"/>
      <c r="CC127" s="101"/>
      <c r="CD127" s="101"/>
      <c r="CE127" s="101"/>
      <c r="CF127" s="101"/>
      <c r="CG127" s="101"/>
      <c r="CH127" s="101"/>
      <c r="CI127" s="101"/>
      <c r="CJ127" s="101"/>
      <c r="CK127" s="101"/>
      <c r="CL127" s="101"/>
      <c r="CM127" s="101"/>
      <c r="CN127" s="101"/>
      <c r="CO127" s="101"/>
      <c r="CP127" s="101"/>
      <c r="CQ127" s="101"/>
      <c r="CR127" s="101"/>
      <c r="CS127" s="101"/>
      <c r="CT127" s="101"/>
      <c r="CU127" s="109"/>
      <c r="CV127" s="110"/>
      <c r="CW127" s="109"/>
      <c r="CX127" s="110"/>
      <c r="CY127" s="101"/>
      <c r="CZ127" s="101"/>
      <c r="DA127" s="101"/>
      <c r="DB127" s="101"/>
      <c r="DC127" s="101"/>
      <c r="DD127" s="101"/>
      <c r="DE127" s="101"/>
      <c r="DF127" s="101"/>
      <c r="DG127" s="101"/>
      <c r="DH127" s="101"/>
      <c r="DI127" s="101"/>
      <c r="DJ127" s="101"/>
      <c r="DK127" s="101"/>
      <c r="DL127" s="101"/>
      <c r="DM127" s="101"/>
    </row>
    <row r="128" ht="21.75" customHeight="1">
      <c r="A128" s="101"/>
      <c r="B128" s="101"/>
      <c r="C128" s="101"/>
      <c r="D128" s="101"/>
      <c r="E128" s="103"/>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4"/>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5"/>
      <c r="AW128" s="105"/>
      <c r="AX128" s="106"/>
      <c r="AY128" s="106"/>
      <c r="AZ128" s="106"/>
      <c r="BA128" s="106"/>
      <c r="BB128" s="106"/>
      <c r="BC128" s="106"/>
      <c r="BD128" s="101"/>
      <c r="BE128" s="101"/>
      <c r="BF128" s="101"/>
      <c r="BG128" s="101"/>
      <c r="BH128" s="101"/>
      <c r="BI128" s="101"/>
      <c r="BJ128" s="101"/>
      <c r="BK128" s="101"/>
      <c r="BL128" s="101"/>
      <c r="BM128" s="101"/>
      <c r="BN128" s="101"/>
      <c r="BO128" s="101"/>
      <c r="BP128" s="101"/>
      <c r="BQ128" s="101"/>
      <c r="BR128" s="101"/>
      <c r="BS128" s="101"/>
      <c r="BT128" s="101"/>
      <c r="BU128" s="101"/>
      <c r="BV128" s="101"/>
      <c r="BW128" s="107"/>
      <c r="BX128" s="101"/>
      <c r="BY128" s="108"/>
      <c r="BZ128" s="108"/>
      <c r="CA128" s="109"/>
      <c r="CB128" s="101"/>
      <c r="CC128" s="101"/>
      <c r="CD128" s="101"/>
      <c r="CE128" s="101"/>
      <c r="CF128" s="101"/>
      <c r="CG128" s="101"/>
      <c r="CH128" s="101"/>
      <c r="CI128" s="101"/>
      <c r="CJ128" s="101"/>
      <c r="CK128" s="101"/>
      <c r="CL128" s="101"/>
      <c r="CM128" s="101"/>
      <c r="CN128" s="101"/>
      <c r="CO128" s="101"/>
      <c r="CP128" s="101"/>
      <c r="CQ128" s="101"/>
      <c r="CR128" s="101"/>
      <c r="CS128" s="101"/>
      <c r="CT128" s="101"/>
      <c r="CU128" s="109"/>
      <c r="CV128" s="110"/>
      <c r="CW128" s="109"/>
      <c r="CX128" s="110"/>
      <c r="CY128" s="101"/>
      <c r="CZ128" s="101"/>
      <c r="DA128" s="101"/>
      <c r="DB128" s="101"/>
      <c r="DC128" s="101"/>
      <c r="DD128" s="101"/>
      <c r="DE128" s="101"/>
      <c r="DF128" s="101"/>
      <c r="DG128" s="101"/>
      <c r="DH128" s="101"/>
      <c r="DI128" s="101"/>
      <c r="DJ128" s="101"/>
      <c r="DK128" s="101"/>
      <c r="DL128" s="101"/>
      <c r="DM128" s="101"/>
    </row>
    <row r="129" ht="21.75" customHeight="1">
      <c r="A129" s="101"/>
      <c r="B129" s="101"/>
      <c r="C129" s="101"/>
      <c r="D129" s="101"/>
      <c r="E129" s="103"/>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4"/>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5"/>
      <c r="AW129" s="105"/>
      <c r="AX129" s="106"/>
      <c r="AY129" s="106"/>
      <c r="AZ129" s="106"/>
      <c r="BA129" s="106"/>
      <c r="BB129" s="106"/>
      <c r="BC129" s="106"/>
      <c r="BD129" s="101"/>
      <c r="BE129" s="101"/>
      <c r="BF129" s="101"/>
      <c r="BG129" s="101"/>
      <c r="BH129" s="101"/>
      <c r="BI129" s="101"/>
      <c r="BJ129" s="101"/>
      <c r="BK129" s="101"/>
      <c r="BL129" s="101"/>
      <c r="BM129" s="101"/>
      <c r="BN129" s="101"/>
      <c r="BO129" s="101"/>
      <c r="BP129" s="101"/>
      <c r="BQ129" s="101"/>
      <c r="BR129" s="101"/>
      <c r="BS129" s="101"/>
      <c r="BT129" s="101"/>
      <c r="BU129" s="101"/>
      <c r="BV129" s="101"/>
      <c r="BW129" s="107"/>
      <c r="BX129" s="101"/>
      <c r="BY129" s="108"/>
      <c r="BZ129" s="108"/>
      <c r="CA129" s="109"/>
      <c r="CB129" s="101"/>
      <c r="CC129" s="101"/>
      <c r="CD129" s="101"/>
      <c r="CE129" s="101"/>
      <c r="CF129" s="101"/>
      <c r="CG129" s="101"/>
      <c r="CH129" s="101"/>
      <c r="CI129" s="101"/>
      <c r="CJ129" s="101"/>
      <c r="CK129" s="101"/>
      <c r="CL129" s="101"/>
      <c r="CM129" s="101"/>
      <c r="CN129" s="101"/>
      <c r="CO129" s="101"/>
      <c r="CP129" s="101"/>
      <c r="CQ129" s="101"/>
      <c r="CR129" s="101"/>
      <c r="CS129" s="101"/>
      <c r="CT129" s="101"/>
      <c r="CU129" s="109"/>
      <c r="CV129" s="110"/>
      <c r="CW129" s="109"/>
      <c r="CX129" s="110"/>
      <c r="CY129" s="101"/>
      <c r="CZ129" s="101"/>
      <c r="DA129" s="101"/>
      <c r="DB129" s="101"/>
      <c r="DC129" s="101"/>
      <c r="DD129" s="101"/>
      <c r="DE129" s="101"/>
      <c r="DF129" s="101"/>
      <c r="DG129" s="101"/>
      <c r="DH129" s="101"/>
      <c r="DI129" s="101"/>
      <c r="DJ129" s="101"/>
      <c r="DK129" s="101"/>
      <c r="DL129" s="101"/>
      <c r="DM129" s="101"/>
    </row>
    <row r="130" ht="21.75" customHeight="1">
      <c r="A130" s="101"/>
      <c r="B130" s="101"/>
      <c r="C130" s="101"/>
      <c r="D130" s="101"/>
      <c r="E130" s="103"/>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4"/>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5"/>
      <c r="AW130" s="105"/>
      <c r="AX130" s="106"/>
      <c r="AY130" s="106"/>
      <c r="AZ130" s="106"/>
      <c r="BA130" s="106"/>
      <c r="BB130" s="106"/>
      <c r="BC130" s="106"/>
      <c r="BD130" s="101"/>
      <c r="BE130" s="101"/>
      <c r="BF130" s="101"/>
      <c r="BG130" s="101"/>
      <c r="BH130" s="101"/>
      <c r="BI130" s="101"/>
      <c r="BJ130" s="101"/>
      <c r="BK130" s="101"/>
      <c r="BL130" s="101"/>
      <c r="BM130" s="101"/>
      <c r="BN130" s="101"/>
      <c r="BO130" s="101"/>
      <c r="BP130" s="101"/>
      <c r="BQ130" s="101"/>
      <c r="BR130" s="101"/>
      <c r="BS130" s="101"/>
      <c r="BT130" s="101"/>
      <c r="BU130" s="101"/>
      <c r="BV130" s="101"/>
      <c r="BW130" s="107"/>
      <c r="BX130" s="101"/>
      <c r="BY130" s="108"/>
      <c r="BZ130" s="108"/>
      <c r="CA130" s="109"/>
      <c r="CB130" s="101"/>
      <c r="CC130" s="101"/>
      <c r="CD130" s="101"/>
      <c r="CE130" s="101"/>
      <c r="CF130" s="101"/>
      <c r="CG130" s="101"/>
      <c r="CH130" s="101"/>
      <c r="CI130" s="101"/>
      <c r="CJ130" s="101"/>
      <c r="CK130" s="101"/>
      <c r="CL130" s="101"/>
      <c r="CM130" s="101"/>
      <c r="CN130" s="101"/>
      <c r="CO130" s="101"/>
      <c r="CP130" s="101"/>
      <c r="CQ130" s="101"/>
      <c r="CR130" s="101"/>
      <c r="CS130" s="101"/>
      <c r="CT130" s="101"/>
      <c r="CU130" s="109"/>
      <c r="CV130" s="110"/>
      <c r="CW130" s="109"/>
      <c r="CX130" s="110"/>
      <c r="CY130" s="101"/>
      <c r="CZ130" s="101"/>
      <c r="DA130" s="101"/>
      <c r="DB130" s="101"/>
      <c r="DC130" s="101"/>
      <c r="DD130" s="101"/>
      <c r="DE130" s="101"/>
      <c r="DF130" s="101"/>
      <c r="DG130" s="101"/>
      <c r="DH130" s="101"/>
      <c r="DI130" s="101"/>
      <c r="DJ130" s="101"/>
      <c r="DK130" s="101"/>
      <c r="DL130" s="101"/>
      <c r="DM130" s="101"/>
    </row>
    <row r="131" ht="21.75" customHeight="1">
      <c r="A131" s="101"/>
      <c r="B131" s="101"/>
      <c r="C131" s="101"/>
      <c r="D131" s="101"/>
      <c r="E131" s="103"/>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4"/>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5"/>
      <c r="AW131" s="105"/>
      <c r="AX131" s="106"/>
      <c r="AY131" s="106"/>
      <c r="AZ131" s="106"/>
      <c r="BA131" s="106"/>
      <c r="BB131" s="106"/>
      <c r="BC131" s="106"/>
      <c r="BD131" s="101"/>
      <c r="BE131" s="101"/>
      <c r="BF131" s="101"/>
      <c r="BG131" s="101"/>
      <c r="BH131" s="101"/>
      <c r="BI131" s="101"/>
      <c r="BJ131" s="101"/>
      <c r="BK131" s="101"/>
      <c r="BL131" s="101"/>
      <c r="BM131" s="101"/>
      <c r="BN131" s="101"/>
      <c r="BO131" s="101"/>
      <c r="BP131" s="101"/>
      <c r="BQ131" s="101"/>
      <c r="BR131" s="101"/>
      <c r="BS131" s="101"/>
      <c r="BT131" s="101"/>
      <c r="BU131" s="101"/>
      <c r="BV131" s="101"/>
      <c r="BW131" s="107"/>
      <c r="BX131" s="101"/>
      <c r="BY131" s="108"/>
      <c r="BZ131" s="108"/>
      <c r="CA131" s="109"/>
      <c r="CB131" s="101"/>
      <c r="CC131" s="101"/>
      <c r="CD131" s="101"/>
      <c r="CE131" s="101"/>
      <c r="CF131" s="101"/>
      <c r="CG131" s="101"/>
      <c r="CH131" s="101"/>
      <c r="CI131" s="101"/>
      <c r="CJ131" s="101"/>
      <c r="CK131" s="101"/>
      <c r="CL131" s="101"/>
      <c r="CM131" s="101"/>
      <c r="CN131" s="101"/>
      <c r="CO131" s="101"/>
      <c r="CP131" s="101"/>
      <c r="CQ131" s="101"/>
      <c r="CR131" s="101"/>
      <c r="CS131" s="101"/>
      <c r="CT131" s="101"/>
      <c r="CU131" s="109"/>
      <c r="CV131" s="110"/>
      <c r="CW131" s="109"/>
      <c r="CX131" s="110"/>
      <c r="CY131" s="101"/>
      <c r="CZ131" s="101"/>
      <c r="DA131" s="101"/>
      <c r="DB131" s="101"/>
      <c r="DC131" s="101"/>
      <c r="DD131" s="101"/>
      <c r="DE131" s="101"/>
      <c r="DF131" s="101"/>
      <c r="DG131" s="101"/>
      <c r="DH131" s="101"/>
      <c r="DI131" s="101"/>
      <c r="DJ131" s="101"/>
      <c r="DK131" s="101"/>
      <c r="DL131" s="101"/>
      <c r="DM131" s="101"/>
    </row>
    <row r="132" ht="21.75" customHeight="1">
      <c r="A132" s="101"/>
      <c r="B132" s="101"/>
      <c r="C132" s="101"/>
      <c r="D132" s="101"/>
      <c r="E132" s="103"/>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4"/>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5"/>
      <c r="AW132" s="105"/>
      <c r="AX132" s="106"/>
      <c r="AY132" s="106"/>
      <c r="AZ132" s="106"/>
      <c r="BA132" s="106"/>
      <c r="BB132" s="106"/>
      <c r="BC132" s="106"/>
      <c r="BD132" s="101"/>
      <c r="BE132" s="101"/>
      <c r="BF132" s="101"/>
      <c r="BG132" s="101"/>
      <c r="BH132" s="101"/>
      <c r="BI132" s="101"/>
      <c r="BJ132" s="101"/>
      <c r="BK132" s="101"/>
      <c r="BL132" s="101"/>
      <c r="BM132" s="101"/>
      <c r="BN132" s="101"/>
      <c r="BO132" s="101"/>
      <c r="BP132" s="101"/>
      <c r="BQ132" s="101"/>
      <c r="BR132" s="101"/>
      <c r="BS132" s="101"/>
      <c r="BT132" s="101"/>
      <c r="BU132" s="101"/>
      <c r="BV132" s="101"/>
      <c r="BW132" s="107"/>
      <c r="BX132" s="101"/>
      <c r="BY132" s="108"/>
      <c r="BZ132" s="108"/>
      <c r="CA132" s="109"/>
      <c r="CB132" s="101"/>
      <c r="CC132" s="101"/>
      <c r="CD132" s="101"/>
      <c r="CE132" s="101"/>
      <c r="CF132" s="101"/>
      <c r="CG132" s="101"/>
      <c r="CH132" s="101"/>
      <c r="CI132" s="101"/>
      <c r="CJ132" s="101"/>
      <c r="CK132" s="101"/>
      <c r="CL132" s="101"/>
      <c r="CM132" s="101"/>
      <c r="CN132" s="101"/>
      <c r="CO132" s="101"/>
      <c r="CP132" s="101"/>
      <c r="CQ132" s="101"/>
      <c r="CR132" s="101"/>
      <c r="CS132" s="101"/>
      <c r="CT132" s="101"/>
      <c r="CU132" s="109"/>
      <c r="CV132" s="110"/>
      <c r="CW132" s="109"/>
      <c r="CX132" s="110"/>
      <c r="CY132" s="101"/>
      <c r="CZ132" s="101"/>
      <c r="DA132" s="101"/>
      <c r="DB132" s="101"/>
      <c r="DC132" s="101"/>
      <c r="DD132" s="101"/>
      <c r="DE132" s="101"/>
      <c r="DF132" s="101"/>
      <c r="DG132" s="101"/>
      <c r="DH132" s="101"/>
      <c r="DI132" s="101"/>
      <c r="DJ132" s="101"/>
      <c r="DK132" s="101"/>
      <c r="DL132" s="101"/>
      <c r="DM132" s="101"/>
    </row>
    <row r="133" ht="21.75" customHeight="1">
      <c r="A133" s="101"/>
      <c r="B133" s="101"/>
      <c r="C133" s="101"/>
      <c r="D133" s="101"/>
      <c r="E133" s="103"/>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4"/>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5"/>
      <c r="AW133" s="105"/>
      <c r="AX133" s="106"/>
      <c r="AY133" s="106"/>
      <c r="AZ133" s="106"/>
      <c r="BA133" s="106"/>
      <c r="BB133" s="106"/>
      <c r="BC133" s="106"/>
      <c r="BD133" s="101"/>
      <c r="BE133" s="101"/>
      <c r="BF133" s="101"/>
      <c r="BG133" s="101"/>
      <c r="BH133" s="101"/>
      <c r="BI133" s="101"/>
      <c r="BJ133" s="101"/>
      <c r="BK133" s="101"/>
      <c r="BL133" s="101"/>
      <c r="BM133" s="101"/>
      <c r="BN133" s="101"/>
      <c r="BO133" s="101"/>
      <c r="BP133" s="101"/>
      <c r="BQ133" s="101"/>
      <c r="BR133" s="101"/>
      <c r="BS133" s="101"/>
      <c r="BT133" s="101"/>
      <c r="BU133" s="101"/>
      <c r="BV133" s="101"/>
      <c r="BW133" s="107"/>
      <c r="BX133" s="101"/>
      <c r="BY133" s="108"/>
      <c r="BZ133" s="108"/>
      <c r="CA133" s="109"/>
      <c r="CB133" s="101"/>
      <c r="CC133" s="101"/>
      <c r="CD133" s="101"/>
      <c r="CE133" s="101"/>
      <c r="CF133" s="101"/>
      <c r="CG133" s="101"/>
      <c r="CH133" s="101"/>
      <c r="CI133" s="101"/>
      <c r="CJ133" s="101"/>
      <c r="CK133" s="101"/>
      <c r="CL133" s="101"/>
      <c r="CM133" s="101"/>
      <c r="CN133" s="101"/>
      <c r="CO133" s="101"/>
      <c r="CP133" s="101"/>
      <c r="CQ133" s="101"/>
      <c r="CR133" s="101"/>
      <c r="CS133" s="101"/>
      <c r="CT133" s="101"/>
      <c r="CU133" s="109"/>
      <c r="CV133" s="110"/>
      <c r="CW133" s="109"/>
      <c r="CX133" s="110"/>
      <c r="CY133" s="101"/>
      <c r="CZ133" s="101"/>
      <c r="DA133" s="101"/>
      <c r="DB133" s="101"/>
      <c r="DC133" s="101"/>
      <c r="DD133" s="101"/>
      <c r="DE133" s="101"/>
      <c r="DF133" s="101"/>
      <c r="DG133" s="101"/>
      <c r="DH133" s="101"/>
      <c r="DI133" s="101"/>
      <c r="DJ133" s="101"/>
      <c r="DK133" s="101"/>
      <c r="DL133" s="101"/>
      <c r="DM133" s="101"/>
    </row>
    <row r="134" ht="21.75" customHeight="1">
      <c r="A134" s="101"/>
      <c r="B134" s="101"/>
      <c r="C134" s="101"/>
      <c r="D134" s="101"/>
      <c r="E134" s="103"/>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4"/>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5"/>
      <c r="AW134" s="105"/>
      <c r="AX134" s="106"/>
      <c r="AY134" s="106"/>
      <c r="AZ134" s="106"/>
      <c r="BA134" s="106"/>
      <c r="BB134" s="106"/>
      <c r="BC134" s="106"/>
      <c r="BD134" s="101"/>
      <c r="BE134" s="101"/>
      <c r="BF134" s="101"/>
      <c r="BG134" s="101"/>
      <c r="BH134" s="101"/>
      <c r="BI134" s="101"/>
      <c r="BJ134" s="101"/>
      <c r="BK134" s="101"/>
      <c r="BL134" s="101"/>
      <c r="BM134" s="101"/>
      <c r="BN134" s="101"/>
      <c r="BO134" s="101"/>
      <c r="BP134" s="101"/>
      <c r="BQ134" s="101"/>
      <c r="BR134" s="101"/>
      <c r="BS134" s="101"/>
      <c r="BT134" s="101"/>
      <c r="BU134" s="101"/>
      <c r="BV134" s="101"/>
      <c r="BW134" s="107"/>
      <c r="BX134" s="101"/>
      <c r="BY134" s="108"/>
      <c r="BZ134" s="108"/>
      <c r="CA134" s="109"/>
      <c r="CB134" s="101"/>
      <c r="CC134" s="101"/>
      <c r="CD134" s="101"/>
      <c r="CE134" s="101"/>
      <c r="CF134" s="101"/>
      <c r="CG134" s="101"/>
      <c r="CH134" s="101"/>
      <c r="CI134" s="101"/>
      <c r="CJ134" s="101"/>
      <c r="CK134" s="101"/>
      <c r="CL134" s="101"/>
      <c r="CM134" s="101"/>
      <c r="CN134" s="101"/>
      <c r="CO134" s="101"/>
      <c r="CP134" s="101"/>
      <c r="CQ134" s="101"/>
      <c r="CR134" s="101"/>
      <c r="CS134" s="101"/>
      <c r="CT134" s="101"/>
      <c r="CU134" s="109"/>
      <c r="CV134" s="110"/>
      <c r="CW134" s="109"/>
      <c r="CX134" s="110"/>
      <c r="CY134" s="101"/>
      <c r="CZ134" s="101"/>
      <c r="DA134" s="101"/>
      <c r="DB134" s="101"/>
      <c r="DC134" s="101"/>
      <c r="DD134" s="101"/>
      <c r="DE134" s="101"/>
      <c r="DF134" s="101"/>
      <c r="DG134" s="101"/>
      <c r="DH134" s="101"/>
      <c r="DI134" s="101"/>
      <c r="DJ134" s="101"/>
      <c r="DK134" s="101"/>
      <c r="DL134" s="101"/>
      <c r="DM134" s="101"/>
    </row>
    <row r="135" ht="21.75" customHeight="1">
      <c r="A135" s="101"/>
      <c r="B135" s="101"/>
      <c r="C135" s="101"/>
      <c r="D135" s="101"/>
      <c r="E135" s="103"/>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4"/>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5"/>
      <c r="AW135" s="105"/>
      <c r="AX135" s="106"/>
      <c r="AY135" s="106"/>
      <c r="AZ135" s="106"/>
      <c r="BA135" s="106"/>
      <c r="BB135" s="106"/>
      <c r="BC135" s="106"/>
      <c r="BD135" s="101"/>
      <c r="BE135" s="101"/>
      <c r="BF135" s="101"/>
      <c r="BG135" s="101"/>
      <c r="BH135" s="101"/>
      <c r="BI135" s="101"/>
      <c r="BJ135" s="101"/>
      <c r="BK135" s="101"/>
      <c r="BL135" s="101"/>
      <c r="BM135" s="101"/>
      <c r="BN135" s="101"/>
      <c r="BO135" s="101"/>
      <c r="BP135" s="101"/>
      <c r="BQ135" s="101"/>
      <c r="BR135" s="101"/>
      <c r="BS135" s="101"/>
      <c r="BT135" s="101"/>
      <c r="BU135" s="101"/>
      <c r="BV135" s="101"/>
      <c r="BW135" s="107"/>
      <c r="BX135" s="101"/>
      <c r="BY135" s="108"/>
      <c r="BZ135" s="108"/>
      <c r="CA135" s="109"/>
      <c r="CB135" s="101"/>
      <c r="CC135" s="101"/>
      <c r="CD135" s="101"/>
      <c r="CE135" s="101"/>
      <c r="CF135" s="101"/>
      <c r="CG135" s="101"/>
      <c r="CH135" s="101"/>
      <c r="CI135" s="101"/>
      <c r="CJ135" s="101"/>
      <c r="CK135" s="101"/>
      <c r="CL135" s="101"/>
      <c r="CM135" s="101"/>
      <c r="CN135" s="101"/>
      <c r="CO135" s="101"/>
      <c r="CP135" s="101"/>
      <c r="CQ135" s="101"/>
      <c r="CR135" s="101"/>
      <c r="CS135" s="101"/>
      <c r="CT135" s="101"/>
      <c r="CU135" s="109"/>
      <c r="CV135" s="110"/>
      <c r="CW135" s="109"/>
      <c r="CX135" s="110"/>
      <c r="CY135" s="101"/>
      <c r="CZ135" s="101"/>
      <c r="DA135" s="101"/>
      <c r="DB135" s="101"/>
      <c r="DC135" s="101"/>
      <c r="DD135" s="101"/>
      <c r="DE135" s="101"/>
      <c r="DF135" s="101"/>
      <c r="DG135" s="101"/>
      <c r="DH135" s="101"/>
      <c r="DI135" s="101"/>
      <c r="DJ135" s="101"/>
      <c r="DK135" s="101"/>
      <c r="DL135" s="101"/>
      <c r="DM135" s="101"/>
    </row>
    <row r="136" ht="21.75" customHeight="1">
      <c r="A136" s="101"/>
      <c r="B136" s="101"/>
      <c r="C136" s="101"/>
      <c r="D136" s="101"/>
      <c r="E136" s="103"/>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4"/>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5"/>
      <c r="AW136" s="105"/>
      <c r="AX136" s="106"/>
      <c r="AY136" s="106"/>
      <c r="AZ136" s="106"/>
      <c r="BA136" s="106"/>
      <c r="BB136" s="106"/>
      <c r="BC136" s="106"/>
      <c r="BD136" s="101"/>
      <c r="BE136" s="101"/>
      <c r="BF136" s="101"/>
      <c r="BG136" s="101"/>
      <c r="BH136" s="101"/>
      <c r="BI136" s="101"/>
      <c r="BJ136" s="101"/>
      <c r="BK136" s="101"/>
      <c r="BL136" s="101"/>
      <c r="BM136" s="101"/>
      <c r="BN136" s="101"/>
      <c r="BO136" s="101"/>
      <c r="BP136" s="101"/>
      <c r="BQ136" s="101"/>
      <c r="BR136" s="101"/>
      <c r="BS136" s="101"/>
      <c r="BT136" s="101"/>
      <c r="BU136" s="101"/>
      <c r="BV136" s="101"/>
      <c r="BW136" s="107"/>
      <c r="BX136" s="101"/>
      <c r="BY136" s="108"/>
      <c r="BZ136" s="108"/>
      <c r="CA136" s="109"/>
      <c r="CB136" s="101"/>
      <c r="CC136" s="101"/>
      <c r="CD136" s="101"/>
      <c r="CE136" s="101"/>
      <c r="CF136" s="101"/>
      <c r="CG136" s="101"/>
      <c r="CH136" s="101"/>
      <c r="CI136" s="101"/>
      <c r="CJ136" s="101"/>
      <c r="CK136" s="101"/>
      <c r="CL136" s="101"/>
      <c r="CM136" s="101"/>
      <c r="CN136" s="101"/>
      <c r="CO136" s="101"/>
      <c r="CP136" s="101"/>
      <c r="CQ136" s="101"/>
      <c r="CR136" s="101"/>
      <c r="CS136" s="101"/>
      <c r="CT136" s="101"/>
      <c r="CU136" s="109"/>
      <c r="CV136" s="110"/>
      <c r="CW136" s="109"/>
      <c r="CX136" s="110"/>
      <c r="CY136" s="101"/>
      <c r="CZ136" s="101"/>
      <c r="DA136" s="101"/>
      <c r="DB136" s="101"/>
      <c r="DC136" s="101"/>
      <c r="DD136" s="101"/>
      <c r="DE136" s="101"/>
      <c r="DF136" s="101"/>
      <c r="DG136" s="101"/>
      <c r="DH136" s="101"/>
      <c r="DI136" s="101"/>
      <c r="DJ136" s="101"/>
      <c r="DK136" s="101"/>
      <c r="DL136" s="101"/>
      <c r="DM136" s="101"/>
    </row>
    <row r="137" ht="21.75" customHeight="1">
      <c r="A137" s="101"/>
      <c r="B137" s="101"/>
      <c r="C137" s="101"/>
      <c r="D137" s="101"/>
      <c r="E137" s="103"/>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4"/>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5"/>
      <c r="AW137" s="105"/>
      <c r="AX137" s="106"/>
      <c r="AY137" s="106"/>
      <c r="AZ137" s="106"/>
      <c r="BA137" s="106"/>
      <c r="BB137" s="106"/>
      <c r="BC137" s="106"/>
      <c r="BD137" s="101"/>
      <c r="BE137" s="101"/>
      <c r="BF137" s="101"/>
      <c r="BG137" s="101"/>
      <c r="BH137" s="101"/>
      <c r="BI137" s="101"/>
      <c r="BJ137" s="101"/>
      <c r="BK137" s="101"/>
      <c r="BL137" s="101"/>
      <c r="BM137" s="101"/>
      <c r="BN137" s="101"/>
      <c r="BO137" s="101"/>
      <c r="BP137" s="101"/>
      <c r="BQ137" s="101"/>
      <c r="BR137" s="101"/>
      <c r="BS137" s="101"/>
      <c r="BT137" s="101"/>
      <c r="BU137" s="101"/>
      <c r="BV137" s="101"/>
      <c r="BW137" s="107"/>
      <c r="BX137" s="101"/>
      <c r="BY137" s="108"/>
      <c r="BZ137" s="108"/>
      <c r="CA137" s="109"/>
      <c r="CB137" s="101"/>
      <c r="CC137" s="101"/>
      <c r="CD137" s="101"/>
      <c r="CE137" s="101"/>
      <c r="CF137" s="101"/>
      <c r="CG137" s="101"/>
      <c r="CH137" s="101"/>
      <c r="CI137" s="101"/>
      <c r="CJ137" s="101"/>
      <c r="CK137" s="101"/>
      <c r="CL137" s="101"/>
      <c r="CM137" s="101"/>
      <c r="CN137" s="101"/>
      <c r="CO137" s="101"/>
      <c r="CP137" s="101"/>
      <c r="CQ137" s="101"/>
      <c r="CR137" s="101"/>
      <c r="CS137" s="101"/>
      <c r="CT137" s="101"/>
      <c r="CU137" s="109"/>
      <c r="CV137" s="110"/>
      <c r="CW137" s="109"/>
      <c r="CX137" s="110"/>
      <c r="CY137" s="101"/>
      <c r="CZ137" s="101"/>
      <c r="DA137" s="101"/>
      <c r="DB137" s="101"/>
      <c r="DC137" s="101"/>
      <c r="DD137" s="101"/>
      <c r="DE137" s="101"/>
      <c r="DF137" s="101"/>
      <c r="DG137" s="101"/>
      <c r="DH137" s="101"/>
      <c r="DI137" s="101"/>
      <c r="DJ137" s="101"/>
      <c r="DK137" s="101"/>
      <c r="DL137" s="101"/>
      <c r="DM137" s="101"/>
    </row>
    <row r="138" ht="21.75" customHeight="1">
      <c r="A138" s="101"/>
      <c r="B138" s="101"/>
      <c r="C138" s="101"/>
      <c r="D138" s="101"/>
      <c r="E138" s="103"/>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4"/>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5"/>
      <c r="AW138" s="105"/>
      <c r="AX138" s="106"/>
      <c r="AY138" s="106"/>
      <c r="AZ138" s="106"/>
      <c r="BA138" s="106"/>
      <c r="BB138" s="106"/>
      <c r="BC138" s="106"/>
      <c r="BD138" s="101"/>
      <c r="BE138" s="101"/>
      <c r="BF138" s="101"/>
      <c r="BG138" s="101"/>
      <c r="BH138" s="101"/>
      <c r="BI138" s="101"/>
      <c r="BJ138" s="101"/>
      <c r="BK138" s="101"/>
      <c r="BL138" s="101"/>
      <c r="BM138" s="101"/>
      <c r="BN138" s="101"/>
      <c r="BO138" s="101"/>
      <c r="BP138" s="101"/>
      <c r="BQ138" s="101"/>
      <c r="BR138" s="101"/>
      <c r="BS138" s="101"/>
      <c r="BT138" s="101"/>
      <c r="BU138" s="101"/>
      <c r="BV138" s="101"/>
      <c r="BW138" s="107"/>
      <c r="BX138" s="101"/>
      <c r="BY138" s="108"/>
      <c r="BZ138" s="108"/>
      <c r="CA138" s="109"/>
      <c r="CB138" s="101"/>
      <c r="CC138" s="101"/>
      <c r="CD138" s="101"/>
      <c r="CE138" s="101"/>
      <c r="CF138" s="101"/>
      <c r="CG138" s="101"/>
      <c r="CH138" s="101"/>
      <c r="CI138" s="101"/>
      <c r="CJ138" s="101"/>
      <c r="CK138" s="101"/>
      <c r="CL138" s="101"/>
      <c r="CM138" s="101"/>
      <c r="CN138" s="101"/>
      <c r="CO138" s="101"/>
      <c r="CP138" s="101"/>
      <c r="CQ138" s="101"/>
      <c r="CR138" s="101"/>
      <c r="CS138" s="101"/>
      <c r="CT138" s="101"/>
      <c r="CU138" s="109"/>
      <c r="CV138" s="110"/>
      <c r="CW138" s="109"/>
      <c r="CX138" s="110"/>
      <c r="CY138" s="101"/>
      <c r="CZ138" s="101"/>
      <c r="DA138" s="101"/>
      <c r="DB138" s="101"/>
      <c r="DC138" s="101"/>
      <c r="DD138" s="101"/>
      <c r="DE138" s="101"/>
      <c r="DF138" s="101"/>
      <c r="DG138" s="101"/>
      <c r="DH138" s="101"/>
      <c r="DI138" s="101"/>
      <c r="DJ138" s="101"/>
      <c r="DK138" s="101"/>
      <c r="DL138" s="101"/>
      <c r="DM138" s="101"/>
    </row>
    <row r="139" ht="21.75" customHeight="1">
      <c r="A139" s="101"/>
      <c r="B139" s="101"/>
      <c r="C139" s="101"/>
      <c r="D139" s="101"/>
      <c r="E139" s="103"/>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4"/>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5"/>
      <c r="AW139" s="105"/>
      <c r="AX139" s="106"/>
      <c r="AY139" s="106"/>
      <c r="AZ139" s="106"/>
      <c r="BA139" s="106"/>
      <c r="BB139" s="106"/>
      <c r="BC139" s="106"/>
      <c r="BD139" s="101"/>
      <c r="BE139" s="101"/>
      <c r="BF139" s="101"/>
      <c r="BG139" s="101"/>
      <c r="BH139" s="101"/>
      <c r="BI139" s="101"/>
      <c r="BJ139" s="101"/>
      <c r="BK139" s="101"/>
      <c r="BL139" s="101"/>
      <c r="BM139" s="101"/>
      <c r="BN139" s="101"/>
      <c r="BO139" s="101"/>
      <c r="BP139" s="101"/>
      <c r="BQ139" s="101"/>
      <c r="BR139" s="101"/>
      <c r="BS139" s="101"/>
      <c r="BT139" s="101"/>
      <c r="BU139" s="101"/>
      <c r="BV139" s="101"/>
      <c r="BW139" s="107"/>
      <c r="BX139" s="101"/>
      <c r="BY139" s="108"/>
      <c r="BZ139" s="108"/>
      <c r="CA139" s="109"/>
      <c r="CB139" s="101"/>
      <c r="CC139" s="101"/>
      <c r="CD139" s="101"/>
      <c r="CE139" s="101"/>
      <c r="CF139" s="101"/>
      <c r="CG139" s="101"/>
      <c r="CH139" s="101"/>
      <c r="CI139" s="101"/>
      <c r="CJ139" s="101"/>
      <c r="CK139" s="101"/>
      <c r="CL139" s="101"/>
      <c r="CM139" s="101"/>
      <c r="CN139" s="101"/>
      <c r="CO139" s="101"/>
      <c r="CP139" s="101"/>
      <c r="CQ139" s="101"/>
      <c r="CR139" s="101"/>
      <c r="CS139" s="101"/>
      <c r="CT139" s="101"/>
      <c r="CU139" s="109"/>
      <c r="CV139" s="110"/>
      <c r="CW139" s="109"/>
      <c r="CX139" s="110"/>
      <c r="CY139" s="101"/>
      <c r="CZ139" s="101"/>
      <c r="DA139" s="101"/>
      <c r="DB139" s="101"/>
      <c r="DC139" s="101"/>
      <c r="DD139" s="101"/>
      <c r="DE139" s="101"/>
      <c r="DF139" s="101"/>
      <c r="DG139" s="101"/>
      <c r="DH139" s="101"/>
      <c r="DI139" s="101"/>
      <c r="DJ139" s="101"/>
      <c r="DK139" s="101"/>
      <c r="DL139" s="101"/>
      <c r="DM139" s="101"/>
    </row>
    <row r="140" ht="21.75" customHeight="1">
      <c r="A140" s="101"/>
      <c r="B140" s="101"/>
      <c r="C140" s="101"/>
      <c r="D140" s="101"/>
      <c r="E140" s="103"/>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4"/>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5"/>
      <c r="AW140" s="105"/>
      <c r="AX140" s="106"/>
      <c r="AY140" s="106"/>
      <c r="AZ140" s="106"/>
      <c r="BA140" s="106"/>
      <c r="BB140" s="106"/>
      <c r="BC140" s="106"/>
      <c r="BD140" s="101"/>
      <c r="BE140" s="101"/>
      <c r="BF140" s="101"/>
      <c r="BG140" s="101"/>
      <c r="BH140" s="101"/>
      <c r="BI140" s="101"/>
      <c r="BJ140" s="101"/>
      <c r="BK140" s="101"/>
      <c r="BL140" s="101"/>
      <c r="BM140" s="101"/>
      <c r="BN140" s="101"/>
      <c r="BO140" s="101"/>
      <c r="BP140" s="101"/>
      <c r="BQ140" s="101"/>
      <c r="BR140" s="101"/>
      <c r="BS140" s="101"/>
      <c r="BT140" s="101"/>
      <c r="BU140" s="101"/>
      <c r="BV140" s="101"/>
      <c r="BW140" s="107"/>
      <c r="BX140" s="101"/>
      <c r="BY140" s="108"/>
      <c r="BZ140" s="108"/>
      <c r="CA140" s="109"/>
      <c r="CB140" s="101"/>
      <c r="CC140" s="101"/>
      <c r="CD140" s="101"/>
      <c r="CE140" s="101"/>
      <c r="CF140" s="101"/>
      <c r="CG140" s="101"/>
      <c r="CH140" s="101"/>
      <c r="CI140" s="101"/>
      <c r="CJ140" s="101"/>
      <c r="CK140" s="101"/>
      <c r="CL140" s="101"/>
      <c r="CM140" s="101"/>
      <c r="CN140" s="101"/>
      <c r="CO140" s="101"/>
      <c r="CP140" s="101"/>
      <c r="CQ140" s="101"/>
      <c r="CR140" s="101"/>
      <c r="CS140" s="101"/>
      <c r="CT140" s="101"/>
      <c r="CU140" s="109"/>
      <c r="CV140" s="110"/>
      <c r="CW140" s="109"/>
      <c r="CX140" s="110"/>
      <c r="CY140" s="101"/>
      <c r="CZ140" s="101"/>
      <c r="DA140" s="101"/>
      <c r="DB140" s="101"/>
      <c r="DC140" s="101"/>
      <c r="DD140" s="101"/>
      <c r="DE140" s="101"/>
      <c r="DF140" s="101"/>
      <c r="DG140" s="101"/>
      <c r="DH140" s="101"/>
      <c r="DI140" s="101"/>
      <c r="DJ140" s="101"/>
      <c r="DK140" s="101"/>
      <c r="DL140" s="101"/>
      <c r="DM140" s="101"/>
    </row>
    <row r="141" ht="21.75" customHeight="1">
      <c r="A141" s="101"/>
      <c r="B141" s="101"/>
      <c r="C141" s="101"/>
      <c r="D141" s="101"/>
      <c r="E141" s="103"/>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4"/>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5"/>
      <c r="AW141" s="105"/>
      <c r="AX141" s="106"/>
      <c r="AY141" s="106"/>
      <c r="AZ141" s="106"/>
      <c r="BA141" s="106"/>
      <c r="BB141" s="106"/>
      <c r="BC141" s="106"/>
      <c r="BD141" s="101"/>
      <c r="BE141" s="101"/>
      <c r="BF141" s="101"/>
      <c r="BG141" s="101"/>
      <c r="BH141" s="101"/>
      <c r="BI141" s="101"/>
      <c r="BJ141" s="101"/>
      <c r="BK141" s="101"/>
      <c r="BL141" s="101"/>
      <c r="BM141" s="101"/>
      <c r="BN141" s="101"/>
      <c r="BO141" s="101"/>
      <c r="BP141" s="101"/>
      <c r="BQ141" s="101"/>
      <c r="BR141" s="101"/>
      <c r="BS141" s="101"/>
      <c r="BT141" s="101"/>
      <c r="BU141" s="101"/>
      <c r="BV141" s="101"/>
      <c r="BW141" s="107"/>
      <c r="BX141" s="101"/>
      <c r="BY141" s="108"/>
      <c r="BZ141" s="108"/>
      <c r="CA141" s="109"/>
      <c r="CB141" s="101"/>
      <c r="CC141" s="101"/>
      <c r="CD141" s="101"/>
      <c r="CE141" s="101"/>
      <c r="CF141" s="101"/>
      <c r="CG141" s="101"/>
      <c r="CH141" s="101"/>
      <c r="CI141" s="101"/>
      <c r="CJ141" s="101"/>
      <c r="CK141" s="101"/>
      <c r="CL141" s="101"/>
      <c r="CM141" s="101"/>
      <c r="CN141" s="101"/>
      <c r="CO141" s="101"/>
      <c r="CP141" s="101"/>
      <c r="CQ141" s="101"/>
      <c r="CR141" s="101"/>
      <c r="CS141" s="101"/>
      <c r="CT141" s="101"/>
      <c r="CU141" s="109"/>
      <c r="CV141" s="110"/>
      <c r="CW141" s="109"/>
      <c r="CX141" s="110"/>
      <c r="CY141" s="101"/>
      <c r="CZ141" s="101"/>
      <c r="DA141" s="101"/>
      <c r="DB141" s="101"/>
      <c r="DC141" s="101"/>
      <c r="DD141" s="101"/>
      <c r="DE141" s="101"/>
      <c r="DF141" s="101"/>
      <c r="DG141" s="101"/>
      <c r="DH141" s="101"/>
      <c r="DI141" s="101"/>
      <c r="DJ141" s="101"/>
      <c r="DK141" s="101"/>
      <c r="DL141" s="101"/>
      <c r="DM141" s="101"/>
    </row>
    <row r="142" ht="21.75" customHeight="1">
      <c r="A142" s="101"/>
      <c r="B142" s="101"/>
      <c r="C142" s="101"/>
      <c r="D142" s="101"/>
      <c r="E142" s="103"/>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4"/>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5"/>
      <c r="AW142" s="105"/>
      <c r="AX142" s="106"/>
      <c r="AY142" s="106"/>
      <c r="AZ142" s="106"/>
      <c r="BA142" s="106"/>
      <c r="BB142" s="106"/>
      <c r="BC142" s="106"/>
      <c r="BD142" s="101"/>
      <c r="BE142" s="101"/>
      <c r="BF142" s="101"/>
      <c r="BG142" s="101"/>
      <c r="BH142" s="101"/>
      <c r="BI142" s="101"/>
      <c r="BJ142" s="101"/>
      <c r="BK142" s="101"/>
      <c r="BL142" s="101"/>
      <c r="BM142" s="101"/>
      <c r="BN142" s="101"/>
      <c r="BO142" s="101"/>
      <c r="BP142" s="101"/>
      <c r="BQ142" s="101"/>
      <c r="BR142" s="101"/>
      <c r="BS142" s="101"/>
      <c r="BT142" s="101"/>
      <c r="BU142" s="101"/>
      <c r="BV142" s="101"/>
      <c r="BW142" s="107"/>
      <c r="BX142" s="101"/>
      <c r="BY142" s="108"/>
      <c r="BZ142" s="108"/>
      <c r="CA142" s="109"/>
      <c r="CB142" s="101"/>
      <c r="CC142" s="101"/>
      <c r="CD142" s="101"/>
      <c r="CE142" s="101"/>
      <c r="CF142" s="101"/>
      <c r="CG142" s="101"/>
      <c r="CH142" s="101"/>
      <c r="CI142" s="101"/>
      <c r="CJ142" s="101"/>
      <c r="CK142" s="101"/>
      <c r="CL142" s="101"/>
      <c r="CM142" s="101"/>
      <c r="CN142" s="101"/>
      <c r="CO142" s="101"/>
      <c r="CP142" s="101"/>
      <c r="CQ142" s="101"/>
      <c r="CR142" s="101"/>
      <c r="CS142" s="101"/>
      <c r="CT142" s="101"/>
      <c r="CU142" s="109"/>
      <c r="CV142" s="110"/>
      <c r="CW142" s="109"/>
      <c r="CX142" s="110"/>
      <c r="CY142" s="101"/>
      <c r="CZ142" s="101"/>
      <c r="DA142" s="101"/>
      <c r="DB142" s="101"/>
      <c r="DC142" s="101"/>
      <c r="DD142" s="101"/>
      <c r="DE142" s="101"/>
      <c r="DF142" s="101"/>
      <c r="DG142" s="101"/>
      <c r="DH142" s="101"/>
      <c r="DI142" s="101"/>
      <c r="DJ142" s="101"/>
      <c r="DK142" s="101"/>
      <c r="DL142" s="101"/>
      <c r="DM142" s="101"/>
    </row>
    <row r="143" ht="21.75" customHeight="1">
      <c r="A143" s="101"/>
      <c r="B143" s="101"/>
      <c r="C143" s="101"/>
      <c r="D143" s="101"/>
      <c r="E143" s="103"/>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4"/>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5"/>
      <c r="AW143" s="105"/>
      <c r="AX143" s="106"/>
      <c r="AY143" s="106"/>
      <c r="AZ143" s="106"/>
      <c r="BA143" s="106"/>
      <c r="BB143" s="106"/>
      <c r="BC143" s="106"/>
      <c r="BD143" s="101"/>
      <c r="BE143" s="101"/>
      <c r="BF143" s="101"/>
      <c r="BG143" s="101"/>
      <c r="BH143" s="101"/>
      <c r="BI143" s="101"/>
      <c r="BJ143" s="101"/>
      <c r="BK143" s="101"/>
      <c r="BL143" s="101"/>
      <c r="BM143" s="101"/>
      <c r="BN143" s="101"/>
      <c r="BO143" s="101"/>
      <c r="BP143" s="101"/>
      <c r="BQ143" s="101"/>
      <c r="BR143" s="101"/>
      <c r="BS143" s="101"/>
      <c r="BT143" s="101"/>
      <c r="BU143" s="101"/>
      <c r="BV143" s="101"/>
      <c r="BW143" s="107"/>
      <c r="BX143" s="101"/>
      <c r="BY143" s="108"/>
      <c r="BZ143" s="108"/>
      <c r="CA143" s="109"/>
      <c r="CB143" s="101"/>
      <c r="CC143" s="101"/>
      <c r="CD143" s="101"/>
      <c r="CE143" s="101"/>
      <c r="CF143" s="101"/>
      <c r="CG143" s="101"/>
      <c r="CH143" s="101"/>
      <c r="CI143" s="101"/>
      <c r="CJ143" s="101"/>
      <c r="CK143" s="101"/>
      <c r="CL143" s="101"/>
      <c r="CM143" s="101"/>
      <c r="CN143" s="101"/>
      <c r="CO143" s="101"/>
      <c r="CP143" s="101"/>
      <c r="CQ143" s="101"/>
      <c r="CR143" s="101"/>
      <c r="CS143" s="101"/>
      <c r="CT143" s="101"/>
      <c r="CU143" s="109"/>
      <c r="CV143" s="110"/>
      <c r="CW143" s="109"/>
      <c r="CX143" s="110"/>
      <c r="CY143" s="101"/>
      <c r="CZ143" s="101"/>
      <c r="DA143" s="101"/>
      <c r="DB143" s="101"/>
      <c r="DC143" s="101"/>
      <c r="DD143" s="101"/>
      <c r="DE143" s="101"/>
      <c r="DF143" s="101"/>
      <c r="DG143" s="101"/>
      <c r="DH143" s="101"/>
      <c r="DI143" s="101"/>
      <c r="DJ143" s="101"/>
      <c r="DK143" s="101"/>
      <c r="DL143" s="101"/>
      <c r="DM143" s="101"/>
    </row>
    <row r="144" ht="21.75" customHeight="1">
      <c r="A144" s="101"/>
      <c r="B144" s="101"/>
      <c r="C144" s="101"/>
      <c r="D144" s="101"/>
      <c r="E144" s="103"/>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4"/>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5"/>
      <c r="AW144" s="105"/>
      <c r="AX144" s="106"/>
      <c r="AY144" s="106"/>
      <c r="AZ144" s="106"/>
      <c r="BA144" s="106"/>
      <c r="BB144" s="106"/>
      <c r="BC144" s="106"/>
      <c r="BD144" s="101"/>
      <c r="BE144" s="101"/>
      <c r="BF144" s="101"/>
      <c r="BG144" s="101"/>
      <c r="BH144" s="101"/>
      <c r="BI144" s="101"/>
      <c r="BJ144" s="101"/>
      <c r="BK144" s="101"/>
      <c r="BL144" s="101"/>
      <c r="BM144" s="101"/>
      <c r="BN144" s="101"/>
      <c r="BO144" s="101"/>
      <c r="BP144" s="101"/>
      <c r="BQ144" s="101"/>
      <c r="BR144" s="101"/>
      <c r="BS144" s="101"/>
      <c r="BT144" s="101"/>
      <c r="BU144" s="101"/>
      <c r="BV144" s="101"/>
      <c r="BW144" s="107"/>
      <c r="BX144" s="101"/>
      <c r="BY144" s="108"/>
      <c r="BZ144" s="108"/>
      <c r="CA144" s="109"/>
      <c r="CB144" s="101"/>
      <c r="CC144" s="101"/>
      <c r="CD144" s="101"/>
      <c r="CE144" s="101"/>
      <c r="CF144" s="101"/>
      <c r="CG144" s="101"/>
      <c r="CH144" s="101"/>
      <c r="CI144" s="101"/>
      <c r="CJ144" s="101"/>
      <c r="CK144" s="101"/>
      <c r="CL144" s="101"/>
      <c r="CM144" s="101"/>
      <c r="CN144" s="101"/>
      <c r="CO144" s="101"/>
      <c r="CP144" s="101"/>
      <c r="CQ144" s="101"/>
      <c r="CR144" s="101"/>
      <c r="CS144" s="101"/>
      <c r="CT144" s="101"/>
      <c r="CU144" s="109"/>
      <c r="CV144" s="110"/>
      <c r="CW144" s="109"/>
      <c r="CX144" s="110"/>
      <c r="CY144" s="101"/>
      <c r="CZ144" s="101"/>
      <c r="DA144" s="101"/>
      <c r="DB144" s="101"/>
      <c r="DC144" s="101"/>
      <c r="DD144" s="101"/>
      <c r="DE144" s="101"/>
      <c r="DF144" s="101"/>
      <c r="DG144" s="101"/>
      <c r="DH144" s="101"/>
      <c r="DI144" s="101"/>
      <c r="DJ144" s="101"/>
      <c r="DK144" s="101"/>
      <c r="DL144" s="101"/>
      <c r="DM144" s="101"/>
    </row>
    <row r="145" ht="21.75" customHeight="1">
      <c r="A145" s="101"/>
      <c r="B145" s="101"/>
      <c r="C145" s="101"/>
      <c r="D145" s="101"/>
      <c r="E145" s="103"/>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4"/>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5"/>
      <c r="AW145" s="105"/>
      <c r="AX145" s="106"/>
      <c r="AY145" s="106"/>
      <c r="AZ145" s="106"/>
      <c r="BA145" s="106"/>
      <c r="BB145" s="106"/>
      <c r="BC145" s="106"/>
      <c r="BD145" s="101"/>
      <c r="BE145" s="101"/>
      <c r="BF145" s="101"/>
      <c r="BG145" s="101"/>
      <c r="BH145" s="101"/>
      <c r="BI145" s="101"/>
      <c r="BJ145" s="101"/>
      <c r="BK145" s="101"/>
      <c r="BL145" s="101"/>
      <c r="BM145" s="101"/>
      <c r="BN145" s="101"/>
      <c r="BO145" s="101"/>
      <c r="BP145" s="101"/>
      <c r="BQ145" s="101"/>
      <c r="BR145" s="101"/>
      <c r="BS145" s="101"/>
      <c r="BT145" s="101"/>
      <c r="BU145" s="101"/>
      <c r="BV145" s="101"/>
      <c r="BW145" s="107"/>
      <c r="BX145" s="101"/>
      <c r="BY145" s="108"/>
      <c r="BZ145" s="108"/>
      <c r="CA145" s="109"/>
      <c r="CB145" s="101"/>
      <c r="CC145" s="101"/>
      <c r="CD145" s="101"/>
      <c r="CE145" s="101"/>
      <c r="CF145" s="101"/>
      <c r="CG145" s="101"/>
      <c r="CH145" s="101"/>
      <c r="CI145" s="101"/>
      <c r="CJ145" s="101"/>
      <c r="CK145" s="101"/>
      <c r="CL145" s="101"/>
      <c r="CM145" s="101"/>
      <c r="CN145" s="101"/>
      <c r="CO145" s="101"/>
      <c r="CP145" s="101"/>
      <c r="CQ145" s="101"/>
      <c r="CR145" s="101"/>
      <c r="CS145" s="101"/>
      <c r="CT145" s="101"/>
      <c r="CU145" s="109"/>
      <c r="CV145" s="110"/>
      <c r="CW145" s="109"/>
      <c r="CX145" s="110"/>
      <c r="CY145" s="101"/>
      <c r="CZ145" s="101"/>
      <c r="DA145" s="101"/>
      <c r="DB145" s="101"/>
      <c r="DC145" s="101"/>
      <c r="DD145" s="101"/>
      <c r="DE145" s="101"/>
      <c r="DF145" s="101"/>
      <c r="DG145" s="101"/>
      <c r="DH145" s="101"/>
      <c r="DI145" s="101"/>
      <c r="DJ145" s="101"/>
      <c r="DK145" s="101"/>
      <c r="DL145" s="101"/>
      <c r="DM145" s="101"/>
    </row>
    <row r="146" ht="21.75" customHeight="1">
      <c r="A146" s="101"/>
      <c r="B146" s="101"/>
      <c r="C146" s="101"/>
      <c r="D146" s="101"/>
      <c r="E146" s="103"/>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4"/>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5"/>
      <c r="AW146" s="105"/>
      <c r="AX146" s="106"/>
      <c r="AY146" s="106"/>
      <c r="AZ146" s="106"/>
      <c r="BA146" s="106"/>
      <c r="BB146" s="106"/>
      <c r="BC146" s="106"/>
      <c r="BD146" s="101"/>
      <c r="BE146" s="101"/>
      <c r="BF146" s="101"/>
      <c r="BG146" s="101"/>
      <c r="BH146" s="101"/>
      <c r="BI146" s="101"/>
      <c r="BJ146" s="101"/>
      <c r="BK146" s="101"/>
      <c r="BL146" s="101"/>
      <c r="BM146" s="101"/>
      <c r="BN146" s="101"/>
      <c r="BO146" s="101"/>
      <c r="BP146" s="101"/>
      <c r="BQ146" s="101"/>
      <c r="BR146" s="101"/>
      <c r="BS146" s="101"/>
      <c r="BT146" s="101"/>
      <c r="BU146" s="101"/>
      <c r="BV146" s="101"/>
      <c r="BW146" s="107"/>
      <c r="BX146" s="101"/>
      <c r="BY146" s="108"/>
      <c r="BZ146" s="108"/>
      <c r="CA146" s="109"/>
      <c r="CB146" s="101"/>
      <c r="CC146" s="101"/>
      <c r="CD146" s="101"/>
      <c r="CE146" s="101"/>
      <c r="CF146" s="101"/>
      <c r="CG146" s="101"/>
      <c r="CH146" s="101"/>
      <c r="CI146" s="101"/>
      <c r="CJ146" s="101"/>
      <c r="CK146" s="101"/>
      <c r="CL146" s="101"/>
      <c r="CM146" s="101"/>
      <c r="CN146" s="101"/>
      <c r="CO146" s="101"/>
      <c r="CP146" s="101"/>
      <c r="CQ146" s="101"/>
      <c r="CR146" s="101"/>
      <c r="CS146" s="101"/>
      <c r="CT146" s="101"/>
      <c r="CU146" s="109"/>
      <c r="CV146" s="110"/>
      <c r="CW146" s="109"/>
      <c r="CX146" s="110"/>
      <c r="CY146" s="101"/>
      <c r="CZ146" s="101"/>
      <c r="DA146" s="101"/>
      <c r="DB146" s="101"/>
      <c r="DC146" s="101"/>
      <c r="DD146" s="101"/>
      <c r="DE146" s="101"/>
      <c r="DF146" s="101"/>
      <c r="DG146" s="101"/>
      <c r="DH146" s="101"/>
      <c r="DI146" s="101"/>
      <c r="DJ146" s="101"/>
      <c r="DK146" s="101"/>
      <c r="DL146" s="101"/>
      <c r="DM146" s="101"/>
    </row>
    <row r="147" ht="21.75" customHeight="1">
      <c r="A147" s="101"/>
      <c r="B147" s="101"/>
      <c r="C147" s="101"/>
      <c r="D147" s="101"/>
      <c r="E147" s="103"/>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4"/>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5"/>
      <c r="AW147" s="105"/>
      <c r="AX147" s="106"/>
      <c r="AY147" s="106"/>
      <c r="AZ147" s="106"/>
      <c r="BA147" s="106"/>
      <c r="BB147" s="106"/>
      <c r="BC147" s="106"/>
      <c r="BD147" s="101"/>
      <c r="BE147" s="101"/>
      <c r="BF147" s="101"/>
      <c r="BG147" s="101"/>
      <c r="BH147" s="101"/>
      <c r="BI147" s="101"/>
      <c r="BJ147" s="101"/>
      <c r="BK147" s="101"/>
      <c r="BL147" s="101"/>
      <c r="BM147" s="101"/>
      <c r="BN147" s="101"/>
      <c r="BO147" s="101"/>
      <c r="BP147" s="101"/>
      <c r="BQ147" s="101"/>
      <c r="BR147" s="101"/>
      <c r="BS147" s="101"/>
      <c r="BT147" s="101"/>
      <c r="BU147" s="101"/>
      <c r="BV147" s="101"/>
      <c r="BW147" s="107"/>
      <c r="BX147" s="101"/>
      <c r="BY147" s="108"/>
      <c r="BZ147" s="108"/>
      <c r="CA147" s="109"/>
      <c r="CB147" s="101"/>
      <c r="CC147" s="101"/>
      <c r="CD147" s="101"/>
      <c r="CE147" s="101"/>
      <c r="CF147" s="101"/>
      <c r="CG147" s="101"/>
      <c r="CH147" s="101"/>
      <c r="CI147" s="101"/>
      <c r="CJ147" s="101"/>
      <c r="CK147" s="101"/>
      <c r="CL147" s="101"/>
      <c r="CM147" s="101"/>
      <c r="CN147" s="101"/>
      <c r="CO147" s="101"/>
      <c r="CP147" s="101"/>
      <c r="CQ147" s="101"/>
      <c r="CR147" s="101"/>
      <c r="CS147" s="101"/>
      <c r="CT147" s="101"/>
      <c r="CU147" s="109"/>
      <c r="CV147" s="110"/>
      <c r="CW147" s="109"/>
      <c r="CX147" s="110"/>
      <c r="CY147" s="101"/>
      <c r="CZ147" s="101"/>
      <c r="DA147" s="101"/>
      <c r="DB147" s="101"/>
      <c r="DC147" s="101"/>
      <c r="DD147" s="101"/>
      <c r="DE147" s="101"/>
      <c r="DF147" s="101"/>
      <c r="DG147" s="101"/>
      <c r="DH147" s="101"/>
      <c r="DI147" s="101"/>
      <c r="DJ147" s="101"/>
      <c r="DK147" s="101"/>
      <c r="DL147" s="101"/>
      <c r="DM147" s="101"/>
    </row>
    <row r="148" ht="21.75" customHeight="1">
      <c r="A148" s="101"/>
      <c r="B148" s="101"/>
      <c r="C148" s="101"/>
      <c r="D148" s="101"/>
      <c r="E148" s="103"/>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4"/>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5"/>
      <c r="AW148" s="105"/>
      <c r="AX148" s="106"/>
      <c r="AY148" s="106"/>
      <c r="AZ148" s="106"/>
      <c r="BA148" s="106"/>
      <c r="BB148" s="106"/>
      <c r="BC148" s="106"/>
      <c r="BD148" s="101"/>
      <c r="BE148" s="101"/>
      <c r="BF148" s="101"/>
      <c r="BG148" s="101"/>
      <c r="BH148" s="101"/>
      <c r="BI148" s="101"/>
      <c r="BJ148" s="101"/>
      <c r="BK148" s="101"/>
      <c r="BL148" s="101"/>
      <c r="BM148" s="101"/>
      <c r="BN148" s="101"/>
      <c r="BO148" s="101"/>
      <c r="BP148" s="101"/>
      <c r="BQ148" s="101"/>
      <c r="BR148" s="101"/>
      <c r="BS148" s="101"/>
      <c r="BT148" s="101"/>
      <c r="BU148" s="101"/>
      <c r="BV148" s="101"/>
      <c r="BW148" s="107"/>
      <c r="BX148" s="101"/>
      <c r="BY148" s="108"/>
      <c r="BZ148" s="108"/>
      <c r="CA148" s="109"/>
      <c r="CB148" s="101"/>
      <c r="CC148" s="101"/>
      <c r="CD148" s="101"/>
      <c r="CE148" s="101"/>
      <c r="CF148" s="101"/>
      <c r="CG148" s="101"/>
      <c r="CH148" s="101"/>
      <c r="CI148" s="101"/>
      <c r="CJ148" s="101"/>
      <c r="CK148" s="101"/>
      <c r="CL148" s="101"/>
      <c r="CM148" s="101"/>
      <c r="CN148" s="101"/>
      <c r="CO148" s="101"/>
      <c r="CP148" s="101"/>
      <c r="CQ148" s="101"/>
      <c r="CR148" s="101"/>
      <c r="CS148" s="101"/>
      <c r="CT148" s="101"/>
      <c r="CU148" s="109"/>
      <c r="CV148" s="110"/>
      <c r="CW148" s="109"/>
      <c r="CX148" s="110"/>
      <c r="CY148" s="101"/>
      <c r="CZ148" s="101"/>
      <c r="DA148" s="101"/>
      <c r="DB148" s="101"/>
      <c r="DC148" s="101"/>
      <c r="DD148" s="101"/>
      <c r="DE148" s="101"/>
      <c r="DF148" s="101"/>
      <c r="DG148" s="101"/>
      <c r="DH148" s="101"/>
      <c r="DI148" s="101"/>
      <c r="DJ148" s="101"/>
      <c r="DK148" s="101"/>
      <c r="DL148" s="101"/>
      <c r="DM148" s="101"/>
    </row>
    <row r="149" ht="21.75" customHeight="1">
      <c r="A149" s="101"/>
      <c r="B149" s="101"/>
      <c r="C149" s="101"/>
      <c r="D149" s="101"/>
      <c r="E149" s="103"/>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4"/>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5"/>
      <c r="AW149" s="105"/>
      <c r="AX149" s="106"/>
      <c r="AY149" s="106"/>
      <c r="AZ149" s="106"/>
      <c r="BA149" s="106"/>
      <c r="BB149" s="106"/>
      <c r="BC149" s="106"/>
      <c r="BD149" s="101"/>
      <c r="BE149" s="101"/>
      <c r="BF149" s="101"/>
      <c r="BG149" s="101"/>
      <c r="BH149" s="101"/>
      <c r="BI149" s="101"/>
      <c r="BJ149" s="101"/>
      <c r="BK149" s="101"/>
      <c r="BL149" s="101"/>
      <c r="BM149" s="101"/>
      <c r="BN149" s="101"/>
      <c r="BO149" s="101"/>
      <c r="BP149" s="101"/>
      <c r="BQ149" s="101"/>
      <c r="BR149" s="101"/>
      <c r="BS149" s="101"/>
      <c r="BT149" s="101"/>
      <c r="BU149" s="101"/>
      <c r="BV149" s="101"/>
      <c r="BW149" s="107"/>
      <c r="BX149" s="101"/>
      <c r="BY149" s="108"/>
      <c r="BZ149" s="108"/>
      <c r="CA149" s="109"/>
      <c r="CB149" s="101"/>
      <c r="CC149" s="101"/>
      <c r="CD149" s="101"/>
      <c r="CE149" s="101"/>
      <c r="CF149" s="101"/>
      <c r="CG149" s="101"/>
      <c r="CH149" s="101"/>
      <c r="CI149" s="101"/>
      <c r="CJ149" s="101"/>
      <c r="CK149" s="101"/>
      <c r="CL149" s="101"/>
      <c r="CM149" s="101"/>
      <c r="CN149" s="101"/>
      <c r="CO149" s="101"/>
      <c r="CP149" s="101"/>
      <c r="CQ149" s="101"/>
      <c r="CR149" s="101"/>
      <c r="CS149" s="101"/>
      <c r="CT149" s="101"/>
      <c r="CU149" s="109"/>
      <c r="CV149" s="110"/>
      <c r="CW149" s="109"/>
      <c r="CX149" s="110"/>
      <c r="CY149" s="101"/>
      <c r="CZ149" s="101"/>
      <c r="DA149" s="101"/>
      <c r="DB149" s="101"/>
      <c r="DC149" s="101"/>
      <c r="DD149" s="101"/>
      <c r="DE149" s="101"/>
      <c r="DF149" s="101"/>
      <c r="DG149" s="101"/>
      <c r="DH149" s="101"/>
      <c r="DI149" s="101"/>
      <c r="DJ149" s="101"/>
      <c r="DK149" s="101"/>
      <c r="DL149" s="101"/>
      <c r="DM149" s="101"/>
    </row>
    <row r="150" ht="21.75" customHeight="1">
      <c r="A150" s="101"/>
      <c r="B150" s="101"/>
      <c r="C150" s="101"/>
      <c r="D150" s="101"/>
      <c r="E150" s="103"/>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4"/>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5"/>
      <c r="AW150" s="105"/>
      <c r="AX150" s="106"/>
      <c r="AY150" s="106"/>
      <c r="AZ150" s="106"/>
      <c r="BA150" s="106"/>
      <c r="BB150" s="106"/>
      <c r="BC150" s="106"/>
      <c r="BD150" s="101"/>
      <c r="BE150" s="101"/>
      <c r="BF150" s="101"/>
      <c r="BG150" s="101"/>
      <c r="BH150" s="101"/>
      <c r="BI150" s="101"/>
      <c r="BJ150" s="101"/>
      <c r="BK150" s="101"/>
      <c r="BL150" s="101"/>
      <c r="BM150" s="101"/>
      <c r="BN150" s="101"/>
      <c r="BO150" s="101"/>
      <c r="BP150" s="101"/>
      <c r="BQ150" s="101"/>
      <c r="BR150" s="101"/>
      <c r="BS150" s="101"/>
      <c r="BT150" s="101"/>
      <c r="BU150" s="101"/>
      <c r="BV150" s="101"/>
      <c r="BW150" s="107"/>
      <c r="BX150" s="101"/>
      <c r="BY150" s="108"/>
      <c r="BZ150" s="108"/>
      <c r="CA150" s="109"/>
      <c r="CB150" s="101"/>
      <c r="CC150" s="101"/>
      <c r="CD150" s="101"/>
      <c r="CE150" s="101"/>
      <c r="CF150" s="101"/>
      <c r="CG150" s="101"/>
      <c r="CH150" s="101"/>
      <c r="CI150" s="101"/>
      <c r="CJ150" s="101"/>
      <c r="CK150" s="101"/>
      <c r="CL150" s="101"/>
      <c r="CM150" s="101"/>
      <c r="CN150" s="101"/>
      <c r="CO150" s="101"/>
      <c r="CP150" s="101"/>
      <c r="CQ150" s="101"/>
      <c r="CR150" s="101"/>
      <c r="CS150" s="101"/>
      <c r="CT150" s="101"/>
      <c r="CU150" s="109"/>
      <c r="CV150" s="110"/>
      <c r="CW150" s="109"/>
      <c r="CX150" s="110"/>
      <c r="CY150" s="101"/>
      <c r="CZ150" s="101"/>
      <c r="DA150" s="101"/>
      <c r="DB150" s="101"/>
      <c r="DC150" s="101"/>
      <c r="DD150" s="101"/>
      <c r="DE150" s="101"/>
      <c r="DF150" s="101"/>
      <c r="DG150" s="101"/>
      <c r="DH150" s="101"/>
      <c r="DI150" s="101"/>
      <c r="DJ150" s="101"/>
      <c r="DK150" s="101"/>
      <c r="DL150" s="101"/>
      <c r="DM150" s="101"/>
    </row>
    <row r="151" ht="21.75" customHeight="1">
      <c r="A151" s="101"/>
      <c r="B151" s="101"/>
      <c r="C151" s="101"/>
      <c r="D151" s="101"/>
      <c r="E151" s="103"/>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4"/>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5"/>
      <c r="AW151" s="105"/>
      <c r="AX151" s="106"/>
      <c r="AY151" s="106"/>
      <c r="AZ151" s="106"/>
      <c r="BA151" s="106"/>
      <c r="BB151" s="106"/>
      <c r="BC151" s="106"/>
      <c r="BD151" s="101"/>
      <c r="BE151" s="101"/>
      <c r="BF151" s="101"/>
      <c r="BG151" s="101"/>
      <c r="BH151" s="101"/>
      <c r="BI151" s="101"/>
      <c r="BJ151" s="101"/>
      <c r="BK151" s="101"/>
      <c r="BL151" s="101"/>
      <c r="BM151" s="101"/>
      <c r="BN151" s="101"/>
      <c r="BO151" s="101"/>
      <c r="BP151" s="101"/>
      <c r="BQ151" s="101"/>
      <c r="BR151" s="101"/>
      <c r="BS151" s="101"/>
      <c r="BT151" s="101"/>
      <c r="BU151" s="101"/>
      <c r="BV151" s="101"/>
      <c r="BW151" s="107"/>
      <c r="BX151" s="101"/>
      <c r="BY151" s="108"/>
      <c r="BZ151" s="108"/>
      <c r="CA151" s="109"/>
      <c r="CB151" s="101"/>
      <c r="CC151" s="101"/>
      <c r="CD151" s="101"/>
      <c r="CE151" s="101"/>
      <c r="CF151" s="101"/>
      <c r="CG151" s="101"/>
      <c r="CH151" s="101"/>
      <c r="CI151" s="101"/>
      <c r="CJ151" s="101"/>
      <c r="CK151" s="101"/>
      <c r="CL151" s="101"/>
      <c r="CM151" s="101"/>
      <c r="CN151" s="101"/>
      <c r="CO151" s="101"/>
      <c r="CP151" s="101"/>
      <c r="CQ151" s="101"/>
      <c r="CR151" s="101"/>
      <c r="CS151" s="101"/>
      <c r="CT151" s="101"/>
      <c r="CU151" s="109"/>
      <c r="CV151" s="110"/>
      <c r="CW151" s="109"/>
      <c r="CX151" s="110"/>
      <c r="CY151" s="101"/>
      <c r="CZ151" s="101"/>
      <c r="DA151" s="101"/>
      <c r="DB151" s="101"/>
      <c r="DC151" s="101"/>
      <c r="DD151" s="101"/>
      <c r="DE151" s="101"/>
      <c r="DF151" s="101"/>
      <c r="DG151" s="101"/>
      <c r="DH151" s="101"/>
      <c r="DI151" s="101"/>
      <c r="DJ151" s="101"/>
      <c r="DK151" s="101"/>
      <c r="DL151" s="101"/>
      <c r="DM151" s="101"/>
    </row>
    <row r="152" ht="21.75" customHeight="1">
      <c r="A152" s="101"/>
      <c r="B152" s="101"/>
      <c r="C152" s="101"/>
      <c r="D152" s="101"/>
      <c r="E152" s="103"/>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4"/>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5"/>
      <c r="AW152" s="105"/>
      <c r="AX152" s="106"/>
      <c r="AY152" s="106"/>
      <c r="AZ152" s="106"/>
      <c r="BA152" s="106"/>
      <c r="BB152" s="106"/>
      <c r="BC152" s="106"/>
      <c r="BD152" s="101"/>
      <c r="BE152" s="101"/>
      <c r="BF152" s="101"/>
      <c r="BG152" s="101"/>
      <c r="BH152" s="101"/>
      <c r="BI152" s="101"/>
      <c r="BJ152" s="101"/>
      <c r="BK152" s="101"/>
      <c r="BL152" s="101"/>
      <c r="BM152" s="101"/>
      <c r="BN152" s="101"/>
      <c r="BO152" s="101"/>
      <c r="BP152" s="101"/>
      <c r="BQ152" s="101"/>
      <c r="BR152" s="101"/>
      <c r="BS152" s="101"/>
      <c r="BT152" s="101"/>
      <c r="BU152" s="101"/>
      <c r="BV152" s="101"/>
      <c r="BW152" s="107"/>
      <c r="BX152" s="101"/>
      <c r="BY152" s="108"/>
      <c r="BZ152" s="108"/>
      <c r="CA152" s="109"/>
      <c r="CB152" s="101"/>
      <c r="CC152" s="101"/>
      <c r="CD152" s="101"/>
      <c r="CE152" s="101"/>
      <c r="CF152" s="101"/>
      <c r="CG152" s="101"/>
      <c r="CH152" s="101"/>
      <c r="CI152" s="101"/>
      <c r="CJ152" s="101"/>
      <c r="CK152" s="101"/>
      <c r="CL152" s="101"/>
      <c r="CM152" s="101"/>
      <c r="CN152" s="101"/>
      <c r="CO152" s="101"/>
      <c r="CP152" s="101"/>
      <c r="CQ152" s="101"/>
      <c r="CR152" s="101"/>
      <c r="CS152" s="101"/>
      <c r="CT152" s="101"/>
      <c r="CU152" s="109"/>
      <c r="CV152" s="110"/>
      <c r="CW152" s="109"/>
      <c r="CX152" s="110"/>
      <c r="CY152" s="101"/>
      <c r="CZ152" s="101"/>
      <c r="DA152" s="101"/>
      <c r="DB152" s="101"/>
      <c r="DC152" s="101"/>
      <c r="DD152" s="101"/>
      <c r="DE152" s="101"/>
      <c r="DF152" s="101"/>
      <c r="DG152" s="101"/>
      <c r="DH152" s="101"/>
      <c r="DI152" s="101"/>
      <c r="DJ152" s="101"/>
      <c r="DK152" s="101"/>
      <c r="DL152" s="101"/>
      <c r="DM152" s="101"/>
    </row>
    <row r="153" ht="21.75" customHeight="1">
      <c r="A153" s="101"/>
      <c r="B153" s="101"/>
      <c r="C153" s="101"/>
      <c r="D153" s="101"/>
      <c r="E153" s="103"/>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4"/>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5"/>
      <c r="AW153" s="105"/>
      <c r="AX153" s="106"/>
      <c r="AY153" s="106"/>
      <c r="AZ153" s="106"/>
      <c r="BA153" s="106"/>
      <c r="BB153" s="106"/>
      <c r="BC153" s="106"/>
      <c r="BD153" s="101"/>
      <c r="BE153" s="101"/>
      <c r="BF153" s="101"/>
      <c r="BG153" s="101"/>
      <c r="BH153" s="101"/>
      <c r="BI153" s="101"/>
      <c r="BJ153" s="101"/>
      <c r="BK153" s="101"/>
      <c r="BL153" s="101"/>
      <c r="BM153" s="101"/>
      <c r="BN153" s="101"/>
      <c r="BO153" s="101"/>
      <c r="BP153" s="101"/>
      <c r="BQ153" s="101"/>
      <c r="BR153" s="101"/>
      <c r="BS153" s="101"/>
      <c r="BT153" s="101"/>
      <c r="BU153" s="101"/>
      <c r="BV153" s="101"/>
      <c r="BW153" s="107"/>
      <c r="BX153" s="101"/>
      <c r="BY153" s="108"/>
      <c r="BZ153" s="108"/>
      <c r="CA153" s="109"/>
      <c r="CB153" s="101"/>
      <c r="CC153" s="101"/>
      <c r="CD153" s="101"/>
      <c r="CE153" s="101"/>
      <c r="CF153" s="101"/>
      <c r="CG153" s="101"/>
      <c r="CH153" s="101"/>
      <c r="CI153" s="101"/>
      <c r="CJ153" s="101"/>
      <c r="CK153" s="101"/>
      <c r="CL153" s="101"/>
      <c r="CM153" s="101"/>
      <c r="CN153" s="101"/>
      <c r="CO153" s="101"/>
      <c r="CP153" s="101"/>
      <c r="CQ153" s="101"/>
      <c r="CR153" s="101"/>
      <c r="CS153" s="101"/>
      <c r="CT153" s="101"/>
      <c r="CU153" s="109"/>
      <c r="CV153" s="110"/>
      <c r="CW153" s="109"/>
      <c r="CX153" s="110"/>
      <c r="CY153" s="101"/>
      <c r="CZ153" s="101"/>
      <c r="DA153" s="101"/>
      <c r="DB153" s="101"/>
      <c r="DC153" s="101"/>
      <c r="DD153" s="101"/>
      <c r="DE153" s="101"/>
      <c r="DF153" s="101"/>
      <c r="DG153" s="101"/>
      <c r="DH153" s="101"/>
      <c r="DI153" s="101"/>
      <c r="DJ153" s="101"/>
      <c r="DK153" s="101"/>
      <c r="DL153" s="101"/>
      <c r="DM153" s="101"/>
    </row>
    <row r="154" ht="21.75" customHeight="1">
      <c r="A154" s="101"/>
      <c r="B154" s="101"/>
      <c r="C154" s="101"/>
      <c r="D154" s="101"/>
      <c r="E154" s="103"/>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4"/>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5"/>
      <c r="AW154" s="105"/>
      <c r="AX154" s="106"/>
      <c r="AY154" s="106"/>
      <c r="AZ154" s="106"/>
      <c r="BA154" s="106"/>
      <c r="BB154" s="106"/>
      <c r="BC154" s="106"/>
      <c r="BD154" s="101"/>
      <c r="BE154" s="101"/>
      <c r="BF154" s="101"/>
      <c r="BG154" s="101"/>
      <c r="BH154" s="101"/>
      <c r="BI154" s="101"/>
      <c r="BJ154" s="101"/>
      <c r="BK154" s="101"/>
      <c r="BL154" s="101"/>
      <c r="BM154" s="101"/>
      <c r="BN154" s="101"/>
      <c r="BO154" s="101"/>
      <c r="BP154" s="101"/>
      <c r="BQ154" s="101"/>
      <c r="BR154" s="101"/>
      <c r="BS154" s="101"/>
      <c r="BT154" s="101"/>
      <c r="BU154" s="101"/>
      <c r="BV154" s="101"/>
      <c r="BW154" s="107"/>
      <c r="BX154" s="101"/>
      <c r="BY154" s="108"/>
      <c r="BZ154" s="108"/>
      <c r="CA154" s="109"/>
      <c r="CB154" s="101"/>
      <c r="CC154" s="101"/>
      <c r="CD154" s="101"/>
      <c r="CE154" s="101"/>
      <c r="CF154" s="101"/>
      <c r="CG154" s="101"/>
      <c r="CH154" s="101"/>
      <c r="CI154" s="101"/>
      <c r="CJ154" s="101"/>
      <c r="CK154" s="101"/>
      <c r="CL154" s="101"/>
      <c r="CM154" s="101"/>
      <c r="CN154" s="101"/>
      <c r="CO154" s="101"/>
      <c r="CP154" s="101"/>
      <c r="CQ154" s="101"/>
      <c r="CR154" s="101"/>
      <c r="CS154" s="101"/>
      <c r="CT154" s="101"/>
      <c r="CU154" s="109"/>
      <c r="CV154" s="110"/>
      <c r="CW154" s="109"/>
      <c r="CX154" s="110"/>
      <c r="CY154" s="101"/>
      <c r="CZ154" s="101"/>
      <c r="DA154" s="101"/>
      <c r="DB154" s="101"/>
      <c r="DC154" s="101"/>
      <c r="DD154" s="101"/>
      <c r="DE154" s="101"/>
      <c r="DF154" s="101"/>
      <c r="DG154" s="101"/>
      <c r="DH154" s="101"/>
      <c r="DI154" s="101"/>
      <c r="DJ154" s="101"/>
      <c r="DK154" s="101"/>
      <c r="DL154" s="101"/>
      <c r="DM154" s="101"/>
    </row>
    <row r="155" ht="21.75" customHeight="1">
      <c r="A155" s="101"/>
      <c r="B155" s="101"/>
      <c r="C155" s="101"/>
      <c r="D155" s="101"/>
      <c r="E155" s="103"/>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4"/>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5"/>
      <c r="AW155" s="105"/>
      <c r="AX155" s="106"/>
      <c r="AY155" s="106"/>
      <c r="AZ155" s="106"/>
      <c r="BA155" s="106"/>
      <c r="BB155" s="106"/>
      <c r="BC155" s="106"/>
      <c r="BD155" s="101"/>
      <c r="BE155" s="101"/>
      <c r="BF155" s="101"/>
      <c r="BG155" s="101"/>
      <c r="BH155" s="101"/>
      <c r="BI155" s="101"/>
      <c r="BJ155" s="101"/>
      <c r="BK155" s="101"/>
      <c r="BL155" s="101"/>
      <c r="BM155" s="101"/>
      <c r="BN155" s="101"/>
      <c r="BO155" s="101"/>
      <c r="BP155" s="101"/>
      <c r="BQ155" s="101"/>
      <c r="BR155" s="101"/>
      <c r="BS155" s="101"/>
      <c r="BT155" s="101"/>
      <c r="BU155" s="101"/>
      <c r="BV155" s="101"/>
      <c r="BW155" s="107"/>
      <c r="BX155" s="101"/>
      <c r="BY155" s="108"/>
      <c r="BZ155" s="108"/>
      <c r="CA155" s="109"/>
      <c r="CB155" s="101"/>
      <c r="CC155" s="101"/>
      <c r="CD155" s="101"/>
      <c r="CE155" s="101"/>
      <c r="CF155" s="101"/>
      <c r="CG155" s="101"/>
      <c r="CH155" s="101"/>
      <c r="CI155" s="101"/>
      <c r="CJ155" s="101"/>
      <c r="CK155" s="101"/>
      <c r="CL155" s="101"/>
      <c r="CM155" s="101"/>
      <c r="CN155" s="101"/>
      <c r="CO155" s="101"/>
      <c r="CP155" s="101"/>
      <c r="CQ155" s="101"/>
      <c r="CR155" s="101"/>
      <c r="CS155" s="101"/>
      <c r="CT155" s="101"/>
      <c r="CU155" s="109"/>
      <c r="CV155" s="110"/>
      <c r="CW155" s="109"/>
      <c r="CX155" s="110"/>
      <c r="CY155" s="101"/>
      <c r="CZ155" s="101"/>
      <c r="DA155" s="101"/>
      <c r="DB155" s="101"/>
      <c r="DC155" s="101"/>
      <c r="DD155" s="101"/>
      <c r="DE155" s="101"/>
      <c r="DF155" s="101"/>
      <c r="DG155" s="101"/>
      <c r="DH155" s="101"/>
      <c r="DI155" s="101"/>
      <c r="DJ155" s="101"/>
      <c r="DK155" s="101"/>
      <c r="DL155" s="101"/>
      <c r="DM155" s="101"/>
    </row>
    <row r="156" ht="21.75" customHeight="1">
      <c r="A156" s="101"/>
      <c r="B156" s="101"/>
      <c r="C156" s="101"/>
      <c r="D156" s="101"/>
      <c r="E156" s="103"/>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4"/>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5"/>
      <c r="AW156" s="105"/>
      <c r="AX156" s="106"/>
      <c r="AY156" s="106"/>
      <c r="AZ156" s="106"/>
      <c r="BA156" s="106"/>
      <c r="BB156" s="106"/>
      <c r="BC156" s="106"/>
      <c r="BD156" s="101"/>
      <c r="BE156" s="101"/>
      <c r="BF156" s="101"/>
      <c r="BG156" s="101"/>
      <c r="BH156" s="101"/>
      <c r="BI156" s="101"/>
      <c r="BJ156" s="101"/>
      <c r="BK156" s="101"/>
      <c r="BL156" s="101"/>
      <c r="BM156" s="101"/>
      <c r="BN156" s="101"/>
      <c r="BO156" s="101"/>
      <c r="BP156" s="101"/>
      <c r="BQ156" s="101"/>
      <c r="BR156" s="101"/>
      <c r="BS156" s="101"/>
      <c r="BT156" s="101"/>
      <c r="BU156" s="101"/>
      <c r="BV156" s="101"/>
      <c r="BW156" s="107"/>
      <c r="BX156" s="101"/>
      <c r="BY156" s="108"/>
      <c r="BZ156" s="108"/>
      <c r="CA156" s="109"/>
      <c r="CB156" s="101"/>
      <c r="CC156" s="101"/>
      <c r="CD156" s="101"/>
      <c r="CE156" s="101"/>
      <c r="CF156" s="101"/>
      <c r="CG156" s="101"/>
      <c r="CH156" s="101"/>
      <c r="CI156" s="101"/>
      <c r="CJ156" s="101"/>
      <c r="CK156" s="101"/>
      <c r="CL156" s="101"/>
      <c r="CM156" s="101"/>
      <c r="CN156" s="101"/>
      <c r="CO156" s="101"/>
      <c r="CP156" s="101"/>
      <c r="CQ156" s="101"/>
      <c r="CR156" s="101"/>
      <c r="CS156" s="101"/>
      <c r="CT156" s="101"/>
      <c r="CU156" s="109"/>
      <c r="CV156" s="110"/>
      <c r="CW156" s="109"/>
      <c r="CX156" s="110"/>
      <c r="CY156" s="101"/>
      <c r="CZ156" s="101"/>
      <c r="DA156" s="101"/>
      <c r="DB156" s="101"/>
      <c r="DC156" s="101"/>
      <c r="DD156" s="101"/>
      <c r="DE156" s="101"/>
      <c r="DF156" s="101"/>
      <c r="DG156" s="101"/>
      <c r="DH156" s="101"/>
      <c r="DI156" s="101"/>
      <c r="DJ156" s="101"/>
      <c r="DK156" s="101"/>
      <c r="DL156" s="101"/>
      <c r="DM156" s="101"/>
    </row>
    <row r="157" ht="21.75" customHeight="1">
      <c r="A157" s="101"/>
      <c r="B157" s="101"/>
      <c r="C157" s="101"/>
      <c r="D157" s="101"/>
      <c r="E157" s="103"/>
      <c r="F157" s="101"/>
      <c r="G157" s="101"/>
      <c r="H157" s="101"/>
      <c r="I157" s="101"/>
      <c r="J157" s="101"/>
      <c r="K157" s="101"/>
      <c r="L157" s="101"/>
      <c r="M157" s="101"/>
      <c r="N157" s="101"/>
      <c r="O157" s="101"/>
      <c r="P157" s="101"/>
      <c r="Q157" s="101"/>
      <c r="R157" s="101"/>
      <c r="S157" s="101"/>
      <c r="T157" s="101"/>
      <c r="U157" s="101"/>
      <c r="V157" s="101"/>
      <c r="W157" s="101"/>
      <c r="X157" s="101"/>
      <c r="Y157" s="101"/>
      <c r="Z157" s="101"/>
      <c r="AA157" s="104"/>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5"/>
      <c r="AW157" s="105"/>
      <c r="AX157" s="106"/>
      <c r="AY157" s="106"/>
      <c r="AZ157" s="106"/>
      <c r="BA157" s="106"/>
      <c r="BB157" s="106"/>
      <c r="BC157" s="106"/>
      <c r="BD157" s="101"/>
      <c r="BE157" s="101"/>
      <c r="BF157" s="101"/>
      <c r="BG157" s="101"/>
      <c r="BH157" s="101"/>
      <c r="BI157" s="101"/>
      <c r="BJ157" s="101"/>
      <c r="BK157" s="101"/>
      <c r="BL157" s="101"/>
      <c r="BM157" s="101"/>
      <c r="BN157" s="101"/>
      <c r="BO157" s="101"/>
      <c r="BP157" s="101"/>
      <c r="BQ157" s="101"/>
      <c r="BR157" s="101"/>
      <c r="BS157" s="101"/>
      <c r="BT157" s="101"/>
      <c r="BU157" s="101"/>
      <c r="BV157" s="101"/>
      <c r="BW157" s="107"/>
      <c r="BX157" s="101"/>
      <c r="BY157" s="108"/>
      <c r="BZ157" s="108"/>
      <c r="CA157" s="109"/>
      <c r="CB157" s="101"/>
      <c r="CC157" s="101"/>
      <c r="CD157" s="101"/>
      <c r="CE157" s="101"/>
      <c r="CF157" s="101"/>
      <c r="CG157" s="101"/>
      <c r="CH157" s="101"/>
      <c r="CI157" s="101"/>
      <c r="CJ157" s="101"/>
      <c r="CK157" s="101"/>
      <c r="CL157" s="101"/>
      <c r="CM157" s="101"/>
      <c r="CN157" s="101"/>
      <c r="CO157" s="101"/>
      <c r="CP157" s="101"/>
      <c r="CQ157" s="101"/>
      <c r="CR157" s="101"/>
      <c r="CS157" s="101"/>
      <c r="CT157" s="101"/>
      <c r="CU157" s="109"/>
      <c r="CV157" s="110"/>
      <c r="CW157" s="109"/>
      <c r="CX157" s="110"/>
      <c r="CY157" s="101"/>
      <c r="CZ157" s="101"/>
      <c r="DA157" s="101"/>
      <c r="DB157" s="101"/>
      <c r="DC157" s="101"/>
      <c r="DD157" s="101"/>
      <c r="DE157" s="101"/>
      <c r="DF157" s="101"/>
      <c r="DG157" s="101"/>
      <c r="DH157" s="101"/>
      <c r="DI157" s="101"/>
      <c r="DJ157" s="101"/>
      <c r="DK157" s="101"/>
      <c r="DL157" s="101"/>
      <c r="DM157" s="101"/>
    </row>
    <row r="158" ht="21.75" customHeight="1">
      <c r="A158" s="101"/>
      <c r="B158" s="101"/>
      <c r="C158" s="101"/>
      <c r="D158" s="101"/>
      <c r="E158" s="103"/>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4"/>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5"/>
      <c r="AW158" s="105"/>
      <c r="AX158" s="106"/>
      <c r="AY158" s="106"/>
      <c r="AZ158" s="106"/>
      <c r="BA158" s="106"/>
      <c r="BB158" s="106"/>
      <c r="BC158" s="106"/>
      <c r="BD158" s="101"/>
      <c r="BE158" s="101"/>
      <c r="BF158" s="101"/>
      <c r="BG158" s="101"/>
      <c r="BH158" s="101"/>
      <c r="BI158" s="101"/>
      <c r="BJ158" s="101"/>
      <c r="BK158" s="101"/>
      <c r="BL158" s="101"/>
      <c r="BM158" s="101"/>
      <c r="BN158" s="101"/>
      <c r="BO158" s="101"/>
      <c r="BP158" s="101"/>
      <c r="BQ158" s="101"/>
      <c r="BR158" s="101"/>
      <c r="BS158" s="101"/>
      <c r="BT158" s="101"/>
      <c r="BU158" s="101"/>
      <c r="BV158" s="101"/>
      <c r="BW158" s="107"/>
      <c r="BX158" s="101"/>
      <c r="BY158" s="108"/>
      <c r="BZ158" s="108"/>
      <c r="CA158" s="109"/>
      <c r="CB158" s="101"/>
      <c r="CC158" s="101"/>
      <c r="CD158" s="101"/>
      <c r="CE158" s="101"/>
      <c r="CF158" s="101"/>
      <c r="CG158" s="101"/>
      <c r="CH158" s="101"/>
      <c r="CI158" s="101"/>
      <c r="CJ158" s="101"/>
      <c r="CK158" s="101"/>
      <c r="CL158" s="101"/>
      <c r="CM158" s="101"/>
      <c r="CN158" s="101"/>
      <c r="CO158" s="101"/>
      <c r="CP158" s="101"/>
      <c r="CQ158" s="101"/>
      <c r="CR158" s="101"/>
      <c r="CS158" s="101"/>
      <c r="CT158" s="101"/>
      <c r="CU158" s="109"/>
      <c r="CV158" s="110"/>
      <c r="CW158" s="109"/>
      <c r="CX158" s="110"/>
      <c r="CY158" s="101"/>
      <c r="CZ158" s="101"/>
      <c r="DA158" s="101"/>
      <c r="DB158" s="101"/>
      <c r="DC158" s="101"/>
      <c r="DD158" s="101"/>
      <c r="DE158" s="101"/>
      <c r="DF158" s="101"/>
      <c r="DG158" s="101"/>
      <c r="DH158" s="101"/>
      <c r="DI158" s="101"/>
      <c r="DJ158" s="101"/>
      <c r="DK158" s="101"/>
      <c r="DL158" s="101"/>
      <c r="DM158" s="101"/>
    </row>
    <row r="159" ht="21.75" customHeight="1">
      <c r="A159" s="101"/>
      <c r="B159" s="101"/>
      <c r="C159" s="101"/>
      <c r="D159" s="101"/>
      <c r="E159" s="103"/>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4"/>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5"/>
      <c r="AW159" s="105"/>
      <c r="AX159" s="106"/>
      <c r="AY159" s="106"/>
      <c r="AZ159" s="106"/>
      <c r="BA159" s="106"/>
      <c r="BB159" s="106"/>
      <c r="BC159" s="106"/>
      <c r="BD159" s="101"/>
      <c r="BE159" s="101"/>
      <c r="BF159" s="101"/>
      <c r="BG159" s="101"/>
      <c r="BH159" s="101"/>
      <c r="BI159" s="101"/>
      <c r="BJ159" s="101"/>
      <c r="BK159" s="101"/>
      <c r="BL159" s="101"/>
      <c r="BM159" s="101"/>
      <c r="BN159" s="101"/>
      <c r="BO159" s="101"/>
      <c r="BP159" s="101"/>
      <c r="BQ159" s="101"/>
      <c r="BR159" s="101"/>
      <c r="BS159" s="101"/>
      <c r="BT159" s="101"/>
      <c r="BU159" s="101"/>
      <c r="BV159" s="101"/>
      <c r="BW159" s="107"/>
      <c r="BX159" s="101"/>
      <c r="BY159" s="108"/>
      <c r="BZ159" s="108"/>
      <c r="CA159" s="109"/>
      <c r="CB159" s="101"/>
      <c r="CC159" s="101"/>
      <c r="CD159" s="101"/>
      <c r="CE159" s="101"/>
      <c r="CF159" s="101"/>
      <c r="CG159" s="101"/>
      <c r="CH159" s="101"/>
      <c r="CI159" s="101"/>
      <c r="CJ159" s="101"/>
      <c r="CK159" s="101"/>
      <c r="CL159" s="101"/>
      <c r="CM159" s="101"/>
      <c r="CN159" s="101"/>
      <c r="CO159" s="101"/>
      <c r="CP159" s="101"/>
      <c r="CQ159" s="101"/>
      <c r="CR159" s="101"/>
      <c r="CS159" s="101"/>
      <c r="CT159" s="101"/>
      <c r="CU159" s="109"/>
      <c r="CV159" s="110"/>
      <c r="CW159" s="109"/>
      <c r="CX159" s="110"/>
      <c r="CY159" s="101"/>
      <c r="CZ159" s="101"/>
      <c r="DA159" s="101"/>
      <c r="DB159" s="101"/>
      <c r="DC159" s="101"/>
      <c r="DD159" s="101"/>
      <c r="DE159" s="101"/>
      <c r="DF159" s="101"/>
      <c r="DG159" s="101"/>
      <c r="DH159" s="101"/>
      <c r="DI159" s="101"/>
      <c r="DJ159" s="101"/>
      <c r="DK159" s="101"/>
      <c r="DL159" s="101"/>
      <c r="DM159" s="101"/>
    </row>
    <row r="160" ht="21.75" customHeight="1">
      <c r="A160" s="101"/>
      <c r="B160" s="101"/>
      <c r="C160" s="101"/>
      <c r="D160" s="101"/>
      <c r="E160" s="103"/>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4"/>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5"/>
      <c r="AW160" s="105"/>
      <c r="AX160" s="106"/>
      <c r="AY160" s="106"/>
      <c r="AZ160" s="106"/>
      <c r="BA160" s="106"/>
      <c r="BB160" s="106"/>
      <c r="BC160" s="106"/>
      <c r="BD160" s="101"/>
      <c r="BE160" s="101"/>
      <c r="BF160" s="101"/>
      <c r="BG160" s="101"/>
      <c r="BH160" s="101"/>
      <c r="BI160" s="101"/>
      <c r="BJ160" s="101"/>
      <c r="BK160" s="101"/>
      <c r="BL160" s="101"/>
      <c r="BM160" s="101"/>
      <c r="BN160" s="101"/>
      <c r="BO160" s="101"/>
      <c r="BP160" s="101"/>
      <c r="BQ160" s="101"/>
      <c r="BR160" s="101"/>
      <c r="BS160" s="101"/>
      <c r="BT160" s="101"/>
      <c r="BU160" s="101"/>
      <c r="BV160" s="101"/>
      <c r="BW160" s="107"/>
      <c r="BX160" s="101"/>
      <c r="BY160" s="108"/>
      <c r="BZ160" s="108"/>
      <c r="CA160" s="109"/>
      <c r="CB160" s="101"/>
      <c r="CC160" s="101"/>
      <c r="CD160" s="101"/>
      <c r="CE160" s="101"/>
      <c r="CF160" s="101"/>
      <c r="CG160" s="101"/>
      <c r="CH160" s="101"/>
      <c r="CI160" s="101"/>
      <c r="CJ160" s="101"/>
      <c r="CK160" s="101"/>
      <c r="CL160" s="101"/>
      <c r="CM160" s="101"/>
      <c r="CN160" s="101"/>
      <c r="CO160" s="101"/>
      <c r="CP160" s="101"/>
      <c r="CQ160" s="101"/>
      <c r="CR160" s="101"/>
      <c r="CS160" s="101"/>
      <c r="CT160" s="101"/>
      <c r="CU160" s="109"/>
      <c r="CV160" s="110"/>
      <c r="CW160" s="109"/>
      <c r="CX160" s="110"/>
      <c r="CY160" s="101"/>
      <c r="CZ160" s="101"/>
      <c r="DA160" s="101"/>
      <c r="DB160" s="101"/>
      <c r="DC160" s="101"/>
      <c r="DD160" s="101"/>
      <c r="DE160" s="101"/>
      <c r="DF160" s="101"/>
      <c r="DG160" s="101"/>
      <c r="DH160" s="101"/>
      <c r="DI160" s="101"/>
      <c r="DJ160" s="101"/>
      <c r="DK160" s="101"/>
      <c r="DL160" s="101"/>
      <c r="DM160" s="101"/>
    </row>
    <row r="161" ht="21.75" customHeight="1">
      <c r="A161" s="101"/>
      <c r="B161" s="101"/>
      <c r="C161" s="101"/>
      <c r="D161" s="101"/>
      <c r="E161" s="103"/>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4"/>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5"/>
      <c r="AW161" s="105"/>
      <c r="AX161" s="106"/>
      <c r="AY161" s="106"/>
      <c r="AZ161" s="106"/>
      <c r="BA161" s="106"/>
      <c r="BB161" s="106"/>
      <c r="BC161" s="106"/>
      <c r="BD161" s="101"/>
      <c r="BE161" s="101"/>
      <c r="BF161" s="101"/>
      <c r="BG161" s="101"/>
      <c r="BH161" s="101"/>
      <c r="BI161" s="101"/>
      <c r="BJ161" s="101"/>
      <c r="BK161" s="101"/>
      <c r="BL161" s="101"/>
      <c r="BM161" s="101"/>
      <c r="BN161" s="101"/>
      <c r="BO161" s="101"/>
      <c r="BP161" s="101"/>
      <c r="BQ161" s="101"/>
      <c r="BR161" s="101"/>
      <c r="BS161" s="101"/>
      <c r="BT161" s="101"/>
      <c r="BU161" s="101"/>
      <c r="BV161" s="101"/>
      <c r="BW161" s="107"/>
      <c r="BX161" s="101"/>
      <c r="BY161" s="108"/>
      <c r="BZ161" s="108"/>
      <c r="CA161" s="109"/>
      <c r="CB161" s="101"/>
      <c r="CC161" s="101"/>
      <c r="CD161" s="101"/>
      <c r="CE161" s="101"/>
      <c r="CF161" s="101"/>
      <c r="CG161" s="101"/>
      <c r="CH161" s="101"/>
      <c r="CI161" s="101"/>
      <c r="CJ161" s="101"/>
      <c r="CK161" s="101"/>
      <c r="CL161" s="101"/>
      <c r="CM161" s="101"/>
      <c r="CN161" s="101"/>
      <c r="CO161" s="101"/>
      <c r="CP161" s="101"/>
      <c r="CQ161" s="101"/>
      <c r="CR161" s="101"/>
      <c r="CS161" s="101"/>
      <c r="CT161" s="101"/>
      <c r="CU161" s="109"/>
      <c r="CV161" s="110"/>
      <c r="CW161" s="109"/>
      <c r="CX161" s="110"/>
      <c r="CY161" s="101"/>
      <c r="CZ161" s="101"/>
      <c r="DA161" s="101"/>
      <c r="DB161" s="101"/>
      <c r="DC161" s="101"/>
      <c r="DD161" s="101"/>
      <c r="DE161" s="101"/>
      <c r="DF161" s="101"/>
      <c r="DG161" s="101"/>
      <c r="DH161" s="101"/>
      <c r="DI161" s="101"/>
      <c r="DJ161" s="101"/>
      <c r="DK161" s="101"/>
      <c r="DL161" s="101"/>
      <c r="DM161" s="101"/>
    </row>
    <row r="162" ht="21.75" customHeight="1">
      <c r="A162" s="101"/>
      <c r="B162" s="101"/>
      <c r="C162" s="101"/>
      <c r="D162" s="101"/>
      <c r="E162" s="103"/>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4"/>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5"/>
      <c r="AW162" s="105"/>
      <c r="AX162" s="106"/>
      <c r="AY162" s="106"/>
      <c r="AZ162" s="106"/>
      <c r="BA162" s="106"/>
      <c r="BB162" s="106"/>
      <c r="BC162" s="106"/>
      <c r="BD162" s="101"/>
      <c r="BE162" s="101"/>
      <c r="BF162" s="101"/>
      <c r="BG162" s="101"/>
      <c r="BH162" s="101"/>
      <c r="BI162" s="101"/>
      <c r="BJ162" s="101"/>
      <c r="BK162" s="101"/>
      <c r="BL162" s="101"/>
      <c r="BM162" s="101"/>
      <c r="BN162" s="101"/>
      <c r="BO162" s="101"/>
      <c r="BP162" s="101"/>
      <c r="BQ162" s="101"/>
      <c r="BR162" s="101"/>
      <c r="BS162" s="101"/>
      <c r="BT162" s="101"/>
      <c r="BU162" s="101"/>
      <c r="BV162" s="101"/>
      <c r="BW162" s="107"/>
      <c r="BX162" s="101"/>
      <c r="BY162" s="108"/>
      <c r="BZ162" s="108"/>
      <c r="CA162" s="109"/>
      <c r="CB162" s="101"/>
      <c r="CC162" s="101"/>
      <c r="CD162" s="101"/>
      <c r="CE162" s="101"/>
      <c r="CF162" s="101"/>
      <c r="CG162" s="101"/>
      <c r="CH162" s="101"/>
      <c r="CI162" s="101"/>
      <c r="CJ162" s="101"/>
      <c r="CK162" s="101"/>
      <c r="CL162" s="101"/>
      <c r="CM162" s="101"/>
      <c r="CN162" s="101"/>
      <c r="CO162" s="101"/>
      <c r="CP162" s="101"/>
      <c r="CQ162" s="101"/>
      <c r="CR162" s="101"/>
      <c r="CS162" s="101"/>
      <c r="CT162" s="101"/>
      <c r="CU162" s="109"/>
      <c r="CV162" s="110"/>
      <c r="CW162" s="109"/>
      <c r="CX162" s="110"/>
      <c r="CY162" s="101"/>
      <c r="CZ162" s="101"/>
      <c r="DA162" s="101"/>
      <c r="DB162" s="101"/>
      <c r="DC162" s="101"/>
      <c r="DD162" s="101"/>
      <c r="DE162" s="101"/>
      <c r="DF162" s="101"/>
      <c r="DG162" s="101"/>
      <c r="DH162" s="101"/>
      <c r="DI162" s="101"/>
      <c r="DJ162" s="101"/>
      <c r="DK162" s="101"/>
      <c r="DL162" s="101"/>
      <c r="DM162" s="101"/>
    </row>
    <row r="163" ht="21.75" customHeight="1">
      <c r="A163" s="101"/>
      <c r="B163" s="101"/>
      <c r="C163" s="101"/>
      <c r="D163" s="101"/>
      <c r="E163" s="103"/>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4"/>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5"/>
      <c r="AW163" s="105"/>
      <c r="AX163" s="106"/>
      <c r="AY163" s="106"/>
      <c r="AZ163" s="106"/>
      <c r="BA163" s="106"/>
      <c r="BB163" s="106"/>
      <c r="BC163" s="106"/>
      <c r="BD163" s="101"/>
      <c r="BE163" s="101"/>
      <c r="BF163" s="101"/>
      <c r="BG163" s="101"/>
      <c r="BH163" s="101"/>
      <c r="BI163" s="101"/>
      <c r="BJ163" s="101"/>
      <c r="BK163" s="101"/>
      <c r="BL163" s="101"/>
      <c r="BM163" s="101"/>
      <c r="BN163" s="101"/>
      <c r="BO163" s="101"/>
      <c r="BP163" s="101"/>
      <c r="BQ163" s="101"/>
      <c r="BR163" s="101"/>
      <c r="BS163" s="101"/>
      <c r="BT163" s="101"/>
      <c r="BU163" s="101"/>
      <c r="BV163" s="101"/>
      <c r="BW163" s="107"/>
      <c r="BX163" s="101"/>
      <c r="BY163" s="108"/>
      <c r="BZ163" s="108"/>
      <c r="CA163" s="109"/>
      <c r="CB163" s="101"/>
      <c r="CC163" s="101"/>
      <c r="CD163" s="101"/>
      <c r="CE163" s="101"/>
      <c r="CF163" s="101"/>
      <c r="CG163" s="101"/>
      <c r="CH163" s="101"/>
      <c r="CI163" s="101"/>
      <c r="CJ163" s="101"/>
      <c r="CK163" s="101"/>
      <c r="CL163" s="101"/>
      <c r="CM163" s="101"/>
      <c r="CN163" s="101"/>
      <c r="CO163" s="101"/>
      <c r="CP163" s="101"/>
      <c r="CQ163" s="101"/>
      <c r="CR163" s="101"/>
      <c r="CS163" s="101"/>
      <c r="CT163" s="101"/>
      <c r="CU163" s="109"/>
      <c r="CV163" s="110"/>
      <c r="CW163" s="109"/>
      <c r="CX163" s="110"/>
      <c r="CY163" s="101"/>
      <c r="CZ163" s="101"/>
      <c r="DA163" s="101"/>
      <c r="DB163" s="101"/>
      <c r="DC163" s="101"/>
      <c r="DD163" s="101"/>
      <c r="DE163" s="101"/>
      <c r="DF163" s="101"/>
      <c r="DG163" s="101"/>
      <c r="DH163" s="101"/>
      <c r="DI163" s="101"/>
      <c r="DJ163" s="101"/>
      <c r="DK163" s="101"/>
      <c r="DL163" s="101"/>
      <c r="DM163" s="101"/>
    </row>
    <row r="164" ht="21.75" customHeight="1">
      <c r="A164" s="101"/>
      <c r="B164" s="101"/>
      <c r="C164" s="101"/>
      <c r="D164" s="101"/>
      <c r="E164" s="103"/>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4"/>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5"/>
      <c r="AW164" s="105"/>
      <c r="AX164" s="106"/>
      <c r="AY164" s="106"/>
      <c r="AZ164" s="106"/>
      <c r="BA164" s="106"/>
      <c r="BB164" s="106"/>
      <c r="BC164" s="106"/>
      <c r="BD164" s="101"/>
      <c r="BE164" s="101"/>
      <c r="BF164" s="101"/>
      <c r="BG164" s="101"/>
      <c r="BH164" s="101"/>
      <c r="BI164" s="101"/>
      <c r="BJ164" s="101"/>
      <c r="BK164" s="101"/>
      <c r="BL164" s="101"/>
      <c r="BM164" s="101"/>
      <c r="BN164" s="101"/>
      <c r="BO164" s="101"/>
      <c r="BP164" s="101"/>
      <c r="BQ164" s="101"/>
      <c r="BR164" s="101"/>
      <c r="BS164" s="101"/>
      <c r="BT164" s="101"/>
      <c r="BU164" s="101"/>
      <c r="BV164" s="101"/>
      <c r="BW164" s="107"/>
      <c r="BX164" s="101"/>
      <c r="BY164" s="108"/>
      <c r="BZ164" s="108"/>
      <c r="CA164" s="109"/>
      <c r="CB164" s="101"/>
      <c r="CC164" s="101"/>
      <c r="CD164" s="101"/>
      <c r="CE164" s="101"/>
      <c r="CF164" s="101"/>
      <c r="CG164" s="101"/>
      <c r="CH164" s="101"/>
      <c r="CI164" s="101"/>
      <c r="CJ164" s="101"/>
      <c r="CK164" s="101"/>
      <c r="CL164" s="101"/>
      <c r="CM164" s="101"/>
      <c r="CN164" s="101"/>
      <c r="CO164" s="101"/>
      <c r="CP164" s="101"/>
      <c r="CQ164" s="101"/>
      <c r="CR164" s="101"/>
      <c r="CS164" s="101"/>
      <c r="CT164" s="101"/>
      <c r="CU164" s="109"/>
      <c r="CV164" s="110"/>
      <c r="CW164" s="109"/>
      <c r="CX164" s="110"/>
      <c r="CY164" s="101"/>
      <c r="CZ164" s="101"/>
      <c r="DA164" s="101"/>
      <c r="DB164" s="101"/>
      <c r="DC164" s="101"/>
      <c r="DD164" s="101"/>
      <c r="DE164" s="101"/>
      <c r="DF164" s="101"/>
      <c r="DG164" s="101"/>
      <c r="DH164" s="101"/>
      <c r="DI164" s="101"/>
      <c r="DJ164" s="101"/>
      <c r="DK164" s="101"/>
      <c r="DL164" s="101"/>
      <c r="DM164" s="101"/>
    </row>
    <row r="165" ht="21.75" customHeight="1">
      <c r="A165" s="101"/>
      <c r="B165" s="101"/>
      <c r="C165" s="101"/>
      <c r="D165" s="101"/>
      <c r="E165" s="103"/>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4"/>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5"/>
      <c r="AW165" s="105"/>
      <c r="AX165" s="106"/>
      <c r="AY165" s="106"/>
      <c r="AZ165" s="106"/>
      <c r="BA165" s="106"/>
      <c r="BB165" s="106"/>
      <c r="BC165" s="106"/>
      <c r="BD165" s="101"/>
      <c r="BE165" s="101"/>
      <c r="BF165" s="101"/>
      <c r="BG165" s="101"/>
      <c r="BH165" s="101"/>
      <c r="BI165" s="101"/>
      <c r="BJ165" s="101"/>
      <c r="BK165" s="101"/>
      <c r="BL165" s="101"/>
      <c r="BM165" s="101"/>
      <c r="BN165" s="101"/>
      <c r="BO165" s="101"/>
      <c r="BP165" s="101"/>
      <c r="BQ165" s="101"/>
      <c r="BR165" s="101"/>
      <c r="BS165" s="101"/>
      <c r="BT165" s="101"/>
      <c r="BU165" s="101"/>
      <c r="BV165" s="101"/>
      <c r="BW165" s="107"/>
      <c r="BX165" s="101"/>
      <c r="BY165" s="108"/>
      <c r="BZ165" s="108"/>
      <c r="CA165" s="109"/>
      <c r="CB165" s="101"/>
      <c r="CC165" s="101"/>
      <c r="CD165" s="101"/>
      <c r="CE165" s="101"/>
      <c r="CF165" s="101"/>
      <c r="CG165" s="101"/>
      <c r="CH165" s="101"/>
      <c r="CI165" s="101"/>
      <c r="CJ165" s="101"/>
      <c r="CK165" s="101"/>
      <c r="CL165" s="101"/>
      <c r="CM165" s="101"/>
      <c r="CN165" s="101"/>
      <c r="CO165" s="101"/>
      <c r="CP165" s="101"/>
      <c r="CQ165" s="101"/>
      <c r="CR165" s="101"/>
      <c r="CS165" s="101"/>
      <c r="CT165" s="101"/>
      <c r="CU165" s="109"/>
      <c r="CV165" s="110"/>
      <c r="CW165" s="109"/>
      <c r="CX165" s="110"/>
      <c r="CY165" s="101"/>
      <c r="CZ165" s="101"/>
      <c r="DA165" s="101"/>
      <c r="DB165" s="101"/>
      <c r="DC165" s="101"/>
      <c r="DD165" s="101"/>
      <c r="DE165" s="101"/>
      <c r="DF165" s="101"/>
      <c r="DG165" s="101"/>
      <c r="DH165" s="101"/>
      <c r="DI165" s="101"/>
      <c r="DJ165" s="101"/>
      <c r="DK165" s="101"/>
      <c r="DL165" s="101"/>
      <c r="DM165" s="101"/>
    </row>
    <row r="166" ht="21.75" customHeight="1">
      <c r="A166" s="101"/>
      <c r="B166" s="101"/>
      <c r="C166" s="101"/>
      <c r="D166" s="101"/>
      <c r="E166" s="103"/>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4"/>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5"/>
      <c r="AW166" s="105"/>
      <c r="AX166" s="106"/>
      <c r="AY166" s="106"/>
      <c r="AZ166" s="106"/>
      <c r="BA166" s="106"/>
      <c r="BB166" s="106"/>
      <c r="BC166" s="106"/>
      <c r="BD166" s="101"/>
      <c r="BE166" s="101"/>
      <c r="BF166" s="101"/>
      <c r="BG166" s="101"/>
      <c r="BH166" s="101"/>
      <c r="BI166" s="101"/>
      <c r="BJ166" s="101"/>
      <c r="BK166" s="101"/>
      <c r="BL166" s="101"/>
      <c r="BM166" s="101"/>
      <c r="BN166" s="101"/>
      <c r="BO166" s="101"/>
      <c r="BP166" s="101"/>
      <c r="BQ166" s="101"/>
      <c r="BR166" s="101"/>
      <c r="BS166" s="101"/>
      <c r="BT166" s="101"/>
      <c r="BU166" s="101"/>
      <c r="BV166" s="101"/>
      <c r="BW166" s="107"/>
      <c r="BX166" s="101"/>
      <c r="BY166" s="108"/>
      <c r="BZ166" s="108"/>
      <c r="CA166" s="109"/>
      <c r="CB166" s="101"/>
      <c r="CC166" s="101"/>
      <c r="CD166" s="101"/>
      <c r="CE166" s="101"/>
      <c r="CF166" s="101"/>
      <c r="CG166" s="101"/>
      <c r="CH166" s="101"/>
      <c r="CI166" s="101"/>
      <c r="CJ166" s="101"/>
      <c r="CK166" s="101"/>
      <c r="CL166" s="101"/>
      <c r="CM166" s="101"/>
      <c r="CN166" s="101"/>
      <c r="CO166" s="101"/>
      <c r="CP166" s="101"/>
      <c r="CQ166" s="101"/>
      <c r="CR166" s="101"/>
      <c r="CS166" s="101"/>
      <c r="CT166" s="101"/>
      <c r="CU166" s="109"/>
      <c r="CV166" s="110"/>
      <c r="CW166" s="109"/>
      <c r="CX166" s="110"/>
      <c r="CY166" s="101"/>
      <c r="CZ166" s="101"/>
      <c r="DA166" s="101"/>
      <c r="DB166" s="101"/>
      <c r="DC166" s="101"/>
      <c r="DD166" s="101"/>
      <c r="DE166" s="101"/>
      <c r="DF166" s="101"/>
      <c r="DG166" s="101"/>
      <c r="DH166" s="101"/>
      <c r="DI166" s="101"/>
      <c r="DJ166" s="101"/>
      <c r="DK166" s="101"/>
      <c r="DL166" s="101"/>
      <c r="DM166" s="101"/>
    </row>
    <row r="167" ht="21.75" customHeight="1">
      <c r="A167" s="101"/>
      <c r="B167" s="101"/>
      <c r="C167" s="101"/>
      <c r="D167" s="101"/>
      <c r="E167" s="103"/>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4"/>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5"/>
      <c r="AW167" s="105"/>
      <c r="AX167" s="106"/>
      <c r="AY167" s="106"/>
      <c r="AZ167" s="106"/>
      <c r="BA167" s="106"/>
      <c r="BB167" s="106"/>
      <c r="BC167" s="106"/>
      <c r="BD167" s="101"/>
      <c r="BE167" s="101"/>
      <c r="BF167" s="101"/>
      <c r="BG167" s="101"/>
      <c r="BH167" s="101"/>
      <c r="BI167" s="101"/>
      <c r="BJ167" s="101"/>
      <c r="BK167" s="101"/>
      <c r="BL167" s="101"/>
      <c r="BM167" s="101"/>
      <c r="BN167" s="101"/>
      <c r="BO167" s="101"/>
      <c r="BP167" s="101"/>
      <c r="BQ167" s="101"/>
      <c r="BR167" s="101"/>
      <c r="BS167" s="101"/>
      <c r="BT167" s="101"/>
      <c r="BU167" s="101"/>
      <c r="BV167" s="101"/>
      <c r="BW167" s="107"/>
      <c r="BX167" s="101"/>
      <c r="BY167" s="108"/>
      <c r="BZ167" s="108"/>
      <c r="CA167" s="109"/>
      <c r="CB167" s="101"/>
      <c r="CC167" s="101"/>
      <c r="CD167" s="101"/>
      <c r="CE167" s="101"/>
      <c r="CF167" s="101"/>
      <c r="CG167" s="101"/>
      <c r="CH167" s="101"/>
      <c r="CI167" s="101"/>
      <c r="CJ167" s="101"/>
      <c r="CK167" s="101"/>
      <c r="CL167" s="101"/>
      <c r="CM167" s="101"/>
      <c r="CN167" s="101"/>
      <c r="CO167" s="101"/>
      <c r="CP167" s="101"/>
      <c r="CQ167" s="101"/>
      <c r="CR167" s="101"/>
      <c r="CS167" s="101"/>
      <c r="CT167" s="101"/>
      <c r="CU167" s="109"/>
      <c r="CV167" s="110"/>
      <c r="CW167" s="109"/>
      <c r="CX167" s="110"/>
      <c r="CY167" s="101"/>
      <c r="CZ167" s="101"/>
      <c r="DA167" s="101"/>
      <c r="DB167" s="101"/>
      <c r="DC167" s="101"/>
      <c r="DD167" s="101"/>
      <c r="DE167" s="101"/>
      <c r="DF167" s="101"/>
      <c r="DG167" s="101"/>
      <c r="DH167" s="101"/>
      <c r="DI167" s="101"/>
      <c r="DJ167" s="101"/>
      <c r="DK167" s="101"/>
      <c r="DL167" s="101"/>
      <c r="DM167" s="101"/>
    </row>
    <row r="168" ht="21.75" customHeight="1">
      <c r="A168" s="101"/>
      <c r="B168" s="101"/>
      <c r="C168" s="101"/>
      <c r="D168" s="101"/>
      <c r="E168" s="103"/>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4"/>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5"/>
      <c r="AW168" s="105"/>
      <c r="AX168" s="106"/>
      <c r="AY168" s="106"/>
      <c r="AZ168" s="106"/>
      <c r="BA168" s="106"/>
      <c r="BB168" s="106"/>
      <c r="BC168" s="106"/>
      <c r="BD168" s="101"/>
      <c r="BE168" s="101"/>
      <c r="BF168" s="101"/>
      <c r="BG168" s="101"/>
      <c r="BH168" s="101"/>
      <c r="BI168" s="101"/>
      <c r="BJ168" s="101"/>
      <c r="BK168" s="101"/>
      <c r="BL168" s="101"/>
      <c r="BM168" s="101"/>
      <c r="BN168" s="101"/>
      <c r="BO168" s="101"/>
      <c r="BP168" s="101"/>
      <c r="BQ168" s="101"/>
      <c r="BR168" s="101"/>
      <c r="BS168" s="101"/>
      <c r="BT168" s="101"/>
      <c r="BU168" s="101"/>
      <c r="BV168" s="101"/>
      <c r="BW168" s="107"/>
      <c r="BX168" s="101"/>
      <c r="BY168" s="108"/>
      <c r="BZ168" s="108"/>
      <c r="CA168" s="109"/>
      <c r="CB168" s="101"/>
      <c r="CC168" s="101"/>
      <c r="CD168" s="101"/>
      <c r="CE168" s="101"/>
      <c r="CF168" s="101"/>
      <c r="CG168" s="101"/>
      <c r="CH168" s="101"/>
      <c r="CI168" s="101"/>
      <c r="CJ168" s="101"/>
      <c r="CK168" s="101"/>
      <c r="CL168" s="101"/>
      <c r="CM168" s="101"/>
      <c r="CN168" s="101"/>
      <c r="CO168" s="101"/>
      <c r="CP168" s="101"/>
      <c r="CQ168" s="101"/>
      <c r="CR168" s="101"/>
      <c r="CS168" s="101"/>
      <c r="CT168" s="101"/>
      <c r="CU168" s="109"/>
      <c r="CV168" s="110"/>
      <c r="CW168" s="109"/>
      <c r="CX168" s="110"/>
      <c r="CY168" s="101"/>
      <c r="CZ168" s="101"/>
      <c r="DA168" s="101"/>
      <c r="DB168" s="101"/>
      <c r="DC168" s="101"/>
      <c r="DD168" s="101"/>
      <c r="DE168" s="101"/>
      <c r="DF168" s="101"/>
      <c r="DG168" s="101"/>
      <c r="DH168" s="101"/>
      <c r="DI168" s="101"/>
      <c r="DJ168" s="101"/>
      <c r="DK168" s="101"/>
      <c r="DL168" s="101"/>
      <c r="DM168" s="101"/>
    </row>
    <row r="169" ht="21.75" customHeight="1">
      <c r="A169" s="101"/>
      <c r="B169" s="101"/>
      <c r="C169" s="101"/>
      <c r="D169" s="101"/>
      <c r="E169" s="103"/>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4"/>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5"/>
      <c r="AW169" s="105"/>
      <c r="AX169" s="106"/>
      <c r="AY169" s="106"/>
      <c r="AZ169" s="106"/>
      <c r="BA169" s="106"/>
      <c r="BB169" s="106"/>
      <c r="BC169" s="106"/>
      <c r="BD169" s="101"/>
      <c r="BE169" s="101"/>
      <c r="BF169" s="101"/>
      <c r="BG169" s="101"/>
      <c r="BH169" s="101"/>
      <c r="BI169" s="101"/>
      <c r="BJ169" s="101"/>
      <c r="BK169" s="101"/>
      <c r="BL169" s="101"/>
      <c r="BM169" s="101"/>
      <c r="BN169" s="101"/>
      <c r="BO169" s="101"/>
      <c r="BP169" s="101"/>
      <c r="BQ169" s="101"/>
      <c r="BR169" s="101"/>
      <c r="BS169" s="101"/>
      <c r="BT169" s="101"/>
      <c r="BU169" s="101"/>
      <c r="BV169" s="101"/>
      <c r="BW169" s="107"/>
      <c r="BX169" s="101"/>
      <c r="BY169" s="108"/>
      <c r="BZ169" s="108"/>
      <c r="CA169" s="109"/>
      <c r="CB169" s="101"/>
      <c r="CC169" s="101"/>
      <c r="CD169" s="101"/>
      <c r="CE169" s="101"/>
      <c r="CF169" s="101"/>
      <c r="CG169" s="101"/>
      <c r="CH169" s="101"/>
      <c r="CI169" s="101"/>
      <c r="CJ169" s="101"/>
      <c r="CK169" s="101"/>
      <c r="CL169" s="101"/>
      <c r="CM169" s="101"/>
      <c r="CN169" s="101"/>
      <c r="CO169" s="101"/>
      <c r="CP169" s="101"/>
      <c r="CQ169" s="101"/>
      <c r="CR169" s="101"/>
      <c r="CS169" s="101"/>
      <c r="CT169" s="101"/>
      <c r="CU169" s="109"/>
      <c r="CV169" s="110"/>
      <c r="CW169" s="109"/>
      <c r="CX169" s="110"/>
      <c r="CY169" s="101"/>
      <c r="CZ169" s="101"/>
      <c r="DA169" s="101"/>
      <c r="DB169" s="101"/>
      <c r="DC169" s="101"/>
      <c r="DD169" s="101"/>
      <c r="DE169" s="101"/>
      <c r="DF169" s="101"/>
      <c r="DG169" s="101"/>
      <c r="DH169" s="101"/>
      <c r="DI169" s="101"/>
      <c r="DJ169" s="101"/>
      <c r="DK169" s="101"/>
      <c r="DL169" s="101"/>
      <c r="DM169" s="101"/>
    </row>
    <row r="170" ht="21.75" customHeight="1">
      <c r="A170" s="101"/>
      <c r="B170" s="101"/>
      <c r="C170" s="101"/>
      <c r="D170" s="101"/>
      <c r="E170" s="103"/>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4"/>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5"/>
      <c r="AW170" s="105"/>
      <c r="AX170" s="106"/>
      <c r="AY170" s="106"/>
      <c r="AZ170" s="106"/>
      <c r="BA170" s="106"/>
      <c r="BB170" s="106"/>
      <c r="BC170" s="106"/>
      <c r="BD170" s="101"/>
      <c r="BE170" s="101"/>
      <c r="BF170" s="101"/>
      <c r="BG170" s="101"/>
      <c r="BH170" s="101"/>
      <c r="BI170" s="101"/>
      <c r="BJ170" s="101"/>
      <c r="BK170" s="101"/>
      <c r="BL170" s="101"/>
      <c r="BM170" s="101"/>
      <c r="BN170" s="101"/>
      <c r="BO170" s="101"/>
      <c r="BP170" s="101"/>
      <c r="BQ170" s="101"/>
      <c r="BR170" s="101"/>
      <c r="BS170" s="101"/>
      <c r="BT170" s="101"/>
      <c r="BU170" s="101"/>
      <c r="BV170" s="101"/>
      <c r="BW170" s="107"/>
      <c r="BX170" s="101"/>
      <c r="BY170" s="108"/>
      <c r="BZ170" s="108"/>
      <c r="CA170" s="109"/>
      <c r="CB170" s="101"/>
      <c r="CC170" s="101"/>
      <c r="CD170" s="101"/>
      <c r="CE170" s="101"/>
      <c r="CF170" s="101"/>
      <c r="CG170" s="101"/>
      <c r="CH170" s="101"/>
      <c r="CI170" s="101"/>
      <c r="CJ170" s="101"/>
      <c r="CK170" s="101"/>
      <c r="CL170" s="101"/>
      <c r="CM170" s="101"/>
      <c r="CN170" s="101"/>
      <c r="CO170" s="101"/>
      <c r="CP170" s="101"/>
      <c r="CQ170" s="101"/>
      <c r="CR170" s="101"/>
      <c r="CS170" s="101"/>
      <c r="CT170" s="101"/>
      <c r="CU170" s="109"/>
      <c r="CV170" s="110"/>
      <c r="CW170" s="109"/>
      <c r="CX170" s="110"/>
      <c r="CY170" s="101"/>
      <c r="CZ170" s="101"/>
      <c r="DA170" s="101"/>
      <c r="DB170" s="101"/>
      <c r="DC170" s="101"/>
      <c r="DD170" s="101"/>
      <c r="DE170" s="101"/>
      <c r="DF170" s="101"/>
      <c r="DG170" s="101"/>
      <c r="DH170" s="101"/>
      <c r="DI170" s="101"/>
      <c r="DJ170" s="101"/>
      <c r="DK170" s="101"/>
      <c r="DL170" s="101"/>
      <c r="DM170" s="101"/>
    </row>
    <row r="171" ht="21.75" customHeight="1">
      <c r="A171" s="101"/>
      <c r="B171" s="101"/>
      <c r="C171" s="101"/>
      <c r="D171" s="101"/>
      <c r="E171" s="103"/>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4"/>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5"/>
      <c r="AW171" s="105"/>
      <c r="AX171" s="106"/>
      <c r="AY171" s="106"/>
      <c r="AZ171" s="106"/>
      <c r="BA171" s="106"/>
      <c r="BB171" s="106"/>
      <c r="BC171" s="106"/>
      <c r="BD171" s="101"/>
      <c r="BE171" s="101"/>
      <c r="BF171" s="101"/>
      <c r="BG171" s="101"/>
      <c r="BH171" s="101"/>
      <c r="BI171" s="101"/>
      <c r="BJ171" s="101"/>
      <c r="BK171" s="101"/>
      <c r="BL171" s="101"/>
      <c r="BM171" s="101"/>
      <c r="BN171" s="101"/>
      <c r="BO171" s="101"/>
      <c r="BP171" s="101"/>
      <c r="BQ171" s="101"/>
      <c r="BR171" s="101"/>
      <c r="BS171" s="101"/>
      <c r="BT171" s="101"/>
      <c r="BU171" s="101"/>
      <c r="BV171" s="101"/>
      <c r="BW171" s="107"/>
      <c r="BX171" s="101"/>
      <c r="BY171" s="108"/>
      <c r="BZ171" s="108"/>
      <c r="CA171" s="109"/>
      <c r="CB171" s="101"/>
      <c r="CC171" s="101"/>
      <c r="CD171" s="101"/>
      <c r="CE171" s="101"/>
      <c r="CF171" s="101"/>
      <c r="CG171" s="101"/>
      <c r="CH171" s="101"/>
      <c r="CI171" s="101"/>
      <c r="CJ171" s="101"/>
      <c r="CK171" s="101"/>
      <c r="CL171" s="101"/>
      <c r="CM171" s="101"/>
      <c r="CN171" s="101"/>
      <c r="CO171" s="101"/>
      <c r="CP171" s="101"/>
      <c r="CQ171" s="101"/>
      <c r="CR171" s="101"/>
      <c r="CS171" s="101"/>
      <c r="CT171" s="101"/>
      <c r="CU171" s="109"/>
      <c r="CV171" s="110"/>
      <c r="CW171" s="109"/>
      <c r="CX171" s="110"/>
      <c r="CY171" s="101"/>
      <c r="CZ171" s="101"/>
      <c r="DA171" s="101"/>
      <c r="DB171" s="101"/>
      <c r="DC171" s="101"/>
      <c r="DD171" s="101"/>
      <c r="DE171" s="101"/>
      <c r="DF171" s="101"/>
      <c r="DG171" s="101"/>
      <c r="DH171" s="101"/>
      <c r="DI171" s="101"/>
      <c r="DJ171" s="101"/>
      <c r="DK171" s="101"/>
      <c r="DL171" s="101"/>
      <c r="DM171" s="101"/>
    </row>
    <row r="172" ht="21.75" customHeight="1">
      <c r="A172" s="101"/>
      <c r="B172" s="101"/>
      <c r="C172" s="101"/>
      <c r="D172" s="101"/>
      <c r="E172" s="103"/>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4"/>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5"/>
      <c r="AW172" s="105"/>
      <c r="AX172" s="106"/>
      <c r="AY172" s="106"/>
      <c r="AZ172" s="106"/>
      <c r="BA172" s="106"/>
      <c r="BB172" s="106"/>
      <c r="BC172" s="106"/>
      <c r="BD172" s="101"/>
      <c r="BE172" s="101"/>
      <c r="BF172" s="101"/>
      <c r="BG172" s="101"/>
      <c r="BH172" s="101"/>
      <c r="BI172" s="101"/>
      <c r="BJ172" s="101"/>
      <c r="BK172" s="101"/>
      <c r="BL172" s="101"/>
      <c r="BM172" s="101"/>
      <c r="BN172" s="101"/>
      <c r="BO172" s="101"/>
      <c r="BP172" s="101"/>
      <c r="BQ172" s="101"/>
      <c r="BR172" s="101"/>
      <c r="BS172" s="101"/>
      <c r="BT172" s="101"/>
      <c r="BU172" s="101"/>
      <c r="BV172" s="101"/>
      <c r="BW172" s="107"/>
      <c r="BX172" s="101"/>
      <c r="BY172" s="108"/>
      <c r="BZ172" s="108"/>
      <c r="CA172" s="109"/>
      <c r="CB172" s="101"/>
      <c r="CC172" s="101"/>
      <c r="CD172" s="101"/>
      <c r="CE172" s="101"/>
      <c r="CF172" s="101"/>
      <c r="CG172" s="101"/>
      <c r="CH172" s="101"/>
      <c r="CI172" s="101"/>
      <c r="CJ172" s="101"/>
      <c r="CK172" s="101"/>
      <c r="CL172" s="101"/>
      <c r="CM172" s="101"/>
      <c r="CN172" s="101"/>
      <c r="CO172" s="101"/>
      <c r="CP172" s="101"/>
      <c r="CQ172" s="101"/>
      <c r="CR172" s="101"/>
      <c r="CS172" s="101"/>
      <c r="CT172" s="101"/>
      <c r="CU172" s="109"/>
      <c r="CV172" s="110"/>
      <c r="CW172" s="109"/>
      <c r="CX172" s="110"/>
      <c r="CY172" s="101"/>
      <c r="CZ172" s="101"/>
      <c r="DA172" s="101"/>
      <c r="DB172" s="101"/>
      <c r="DC172" s="101"/>
      <c r="DD172" s="101"/>
      <c r="DE172" s="101"/>
      <c r="DF172" s="101"/>
      <c r="DG172" s="101"/>
      <c r="DH172" s="101"/>
      <c r="DI172" s="101"/>
      <c r="DJ172" s="101"/>
      <c r="DK172" s="101"/>
      <c r="DL172" s="101"/>
      <c r="DM172" s="101"/>
    </row>
    <row r="173" ht="21.75" customHeight="1">
      <c r="A173" s="101"/>
      <c r="B173" s="101"/>
      <c r="C173" s="101"/>
      <c r="D173" s="101"/>
      <c r="E173" s="103"/>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4"/>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5"/>
      <c r="AW173" s="105"/>
      <c r="AX173" s="106"/>
      <c r="AY173" s="106"/>
      <c r="AZ173" s="106"/>
      <c r="BA173" s="106"/>
      <c r="BB173" s="106"/>
      <c r="BC173" s="106"/>
      <c r="BD173" s="101"/>
      <c r="BE173" s="101"/>
      <c r="BF173" s="101"/>
      <c r="BG173" s="101"/>
      <c r="BH173" s="101"/>
      <c r="BI173" s="101"/>
      <c r="BJ173" s="101"/>
      <c r="BK173" s="101"/>
      <c r="BL173" s="101"/>
      <c r="BM173" s="101"/>
      <c r="BN173" s="101"/>
      <c r="BO173" s="101"/>
      <c r="BP173" s="101"/>
      <c r="BQ173" s="101"/>
      <c r="BR173" s="101"/>
      <c r="BS173" s="101"/>
      <c r="BT173" s="101"/>
      <c r="BU173" s="101"/>
      <c r="BV173" s="101"/>
      <c r="BW173" s="107"/>
      <c r="BX173" s="101"/>
      <c r="BY173" s="108"/>
      <c r="BZ173" s="108"/>
      <c r="CA173" s="109"/>
      <c r="CB173" s="101"/>
      <c r="CC173" s="101"/>
      <c r="CD173" s="101"/>
      <c r="CE173" s="101"/>
      <c r="CF173" s="101"/>
      <c r="CG173" s="101"/>
      <c r="CH173" s="101"/>
      <c r="CI173" s="101"/>
      <c r="CJ173" s="101"/>
      <c r="CK173" s="101"/>
      <c r="CL173" s="101"/>
      <c r="CM173" s="101"/>
      <c r="CN173" s="101"/>
      <c r="CO173" s="101"/>
      <c r="CP173" s="101"/>
      <c r="CQ173" s="101"/>
      <c r="CR173" s="101"/>
      <c r="CS173" s="101"/>
      <c r="CT173" s="101"/>
      <c r="CU173" s="109"/>
      <c r="CV173" s="110"/>
      <c r="CW173" s="109"/>
      <c r="CX173" s="110"/>
      <c r="CY173" s="101"/>
      <c r="CZ173" s="101"/>
      <c r="DA173" s="101"/>
      <c r="DB173" s="101"/>
      <c r="DC173" s="101"/>
      <c r="DD173" s="101"/>
      <c r="DE173" s="101"/>
      <c r="DF173" s="101"/>
      <c r="DG173" s="101"/>
      <c r="DH173" s="101"/>
      <c r="DI173" s="101"/>
      <c r="DJ173" s="101"/>
      <c r="DK173" s="101"/>
      <c r="DL173" s="101"/>
      <c r="DM173" s="101"/>
    </row>
    <row r="174" ht="21.75" customHeight="1">
      <c r="A174" s="101"/>
      <c r="B174" s="101"/>
      <c r="C174" s="101"/>
      <c r="D174" s="101"/>
      <c r="E174" s="103"/>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4"/>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5"/>
      <c r="AW174" s="105"/>
      <c r="AX174" s="106"/>
      <c r="AY174" s="106"/>
      <c r="AZ174" s="106"/>
      <c r="BA174" s="106"/>
      <c r="BB174" s="106"/>
      <c r="BC174" s="106"/>
      <c r="BD174" s="101"/>
      <c r="BE174" s="101"/>
      <c r="BF174" s="101"/>
      <c r="BG174" s="101"/>
      <c r="BH174" s="101"/>
      <c r="BI174" s="101"/>
      <c r="BJ174" s="101"/>
      <c r="BK174" s="101"/>
      <c r="BL174" s="101"/>
      <c r="BM174" s="101"/>
      <c r="BN174" s="101"/>
      <c r="BO174" s="101"/>
      <c r="BP174" s="101"/>
      <c r="BQ174" s="101"/>
      <c r="BR174" s="101"/>
      <c r="BS174" s="101"/>
      <c r="BT174" s="101"/>
      <c r="BU174" s="101"/>
      <c r="BV174" s="101"/>
      <c r="BW174" s="107"/>
      <c r="BX174" s="101"/>
      <c r="BY174" s="108"/>
      <c r="BZ174" s="108"/>
      <c r="CA174" s="109"/>
      <c r="CB174" s="101"/>
      <c r="CC174" s="101"/>
      <c r="CD174" s="101"/>
      <c r="CE174" s="101"/>
      <c r="CF174" s="101"/>
      <c r="CG174" s="101"/>
      <c r="CH174" s="101"/>
      <c r="CI174" s="101"/>
      <c r="CJ174" s="101"/>
      <c r="CK174" s="101"/>
      <c r="CL174" s="101"/>
      <c r="CM174" s="101"/>
      <c r="CN174" s="101"/>
      <c r="CO174" s="101"/>
      <c r="CP174" s="101"/>
      <c r="CQ174" s="101"/>
      <c r="CR174" s="101"/>
      <c r="CS174" s="101"/>
      <c r="CT174" s="101"/>
      <c r="CU174" s="109"/>
      <c r="CV174" s="110"/>
      <c r="CW174" s="109"/>
      <c r="CX174" s="110"/>
      <c r="CY174" s="101"/>
      <c r="CZ174" s="101"/>
      <c r="DA174" s="101"/>
      <c r="DB174" s="101"/>
      <c r="DC174" s="101"/>
      <c r="DD174" s="101"/>
      <c r="DE174" s="101"/>
      <c r="DF174" s="101"/>
      <c r="DG174" s="101"/>
      <c r="DH174" s="101"/>
      <c r="DI174" s="101"/>
      <c r="DJ174" s="101"/>
      <c r="DK174" s="101"/>
      <c r="DL174" s="101"/>
      <c r="DM174" s="101"/>
    </row>
    <row r="175" ht="21.75" customHeight="1">
      <c r="A175" s="101"/>
      <c r="B175" s="101"/>
      <c r="C175" s="101"/>
      <c r="D175" s="101"/>
      <c r="E175" s="103"/>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4"/>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5"/>
      <c r="AW175" s="105"/>
      <c r="AX175" s="106"/>
      <c r="AY175" s="106"/>
      <c r="AZ175" s="106"/>
      <c r="BA175" s="106"/>
      <c r="BB175" s="106"/>
      <c r="BC175" s="106"/>
      <c r="BD175" s="101"/>
      <c r="BE175" s="101"/>
      <c r="BF175" s="101"/>
      <c r="BG175" s="101"/>
      <c r="BH175" s="101"/>
      <c r="BI175" s="101"/>
      <c r="BJ175" s="101"/>
      <c r="BK175" s="101"/>
      <c r="BL175" s="101"/>
      <c r="BM175" s="101"/>
      <c r="BN175" s="101"/>
      <c r="BO175" s="101"/>
      <c r="BP175" s="101"/>
      <c r="BQ175" s="101"/>
      <c r="BR175" s="101"/>
      <c r="BS175" s="101"/>
      <c r="BT175" s="101"/>
      <c r="BU175" s="101"/>
      <c r="BV175" s="101"/>
      <c r="BW175" s="107"/>
      <c r="BX175" s="101"/>
      <c r="BY175" s="108"/>
      <c r="BZ175" s="108"/>
      <c r="CA175" s="109"/>
      <c r="CB175" s="101"/>
      <c r="CC175" s="101"/>
      <c r="CD175" s="101"/>
      <c r="CE175" s="101"/>
      <c r="CF175" s="101"/>
      <c r="CG175" s="101"/>
      <c r="CH175" s="101"/>
      <c r="CI175" s="101"/>
      <c r="CJ175" s="101"/>
      <c r="CK175" s="101"/>
      <c r="CL175" s="101"/>
      <c r="CM175" s="101"/>
      <c r="CN175" s="101"/>
      <c r="CO175" s="101"/>
      <c r="CP175" s="101"/>
      <c r="CQ175" s="101"/>
      <c r="CR175" s="101"/>
      <c r="CS175" s="101"/>
      <c r="CT175" s="101"/>
      <c r="CU175" s="109"/>
      <c r="CV175" s="110"/>
      <c r="CW175" s="109"/>
      <c r="CX175" s="110"/>
      <c r="CY175" s="101"/>
      <c r="CZ175" s="101"/>
      <c r="DA175" s="101"/>
      <c r="DB175" s="101"/>
      <c r="DC175" s="101"/>
      <c r="DD175" s="101"/>
      <c r="DE175" s="101"/>
      <c r="DF175" s="101"/>
      <c r="DG175" s="101"/>
      <c r="DH175" s="101"/>
      <c r="DI175" s="101"/>
      <c r="DJ175" s="101"/>
      <c r="DK175" s="101"/>
      <c r="DL175" s="101"/>
      <c r="DM175" s="101"/>
    </row>
    <row r="176" ht="21.75" customHeight="1">
      <c r="A176" s="101"/>
      <c r="B176" s="101"/>
      <c r="C176" s="101"/>
      <c r="D176" s="101"/>
      <c r="E176" s="103"/>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4"/>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5"/>
      <c r="AW176" s="105"/>
      <c r="AX176" s="106"/>
      <c r="AY176" s="106"/>
      <c r="AZ176" s="106"/>
      <c r="BA176" s="106"/>
      <c r="BB176" s="106"/>
      <c r="BC176" s="106"/>
      <c r="BD176" s="101"/>
      <c r="BE176" s="101"/>
      <c r="BF176" s="101"/>
      <c r="BG176" s="101"/>
      <c r="BH176" s="101"/>
      <c r="BI176" s="101"/>
      <c r="BJ176" s="101"/>
      <c r="BK176" s="101"/>
      <c r="BL176" s="101"/>
      <c r="BM176" s="101"/>
      <c r="BN176" s="101"/>
      <c r="BO176" s="101"/>
      <c r="BP176" s="101"/>
      <c r="BQ176" s="101"/>
      <c r="BR176" s="101"/>
      <c r="BS176" s="101"/>
      <c r="BT176" s="101"/>
      <c r="BU176" s="101"/>
      <c r="BV176" s="101"/>
      <c r="BW176" s="107"/>
      <c r="BX176" s="101"/>
      <c r="BY176" s="108"/>
      <c r="BZ176" s="108"/>
      <c r="CA176" s="109"/>
      <c r="CB176" s="101"/>
      <c r="CC176" s="101"/>
      <c r="CD176" s="101"/>
      <c r="CE176" s="101"/>
      <c r="CF176" s="101"/>
      <c r="CG176" s="101"/>
      <c r="CH176" s="101"/>
      <c r="CI176" s="101"/>
      <c r="CJ176" s="101"/>
      <c r="CK176" s="101"/>
      <c r="CL176" s="101"/>
      <c r="CM176" s="101"/>
      <c r="CN176" s="101"/>
      <c r="CO176" s="101"/>
      <c r="CP176" s="101"/>
      <c r="CQ176" s="101"/>
      <c r="CR176" s="101"/>
      <c r="CS176" s="101"/>
      <c r="CT176" s="101"/>
      <c r="CU176" s="109"/>
      <c r="CV176" s="110"/>
      <c r="CW176" s="109"/>
      <c r="CX176" s="110"/>
      <c r="CY176" s="101"/>
      <c r="CZ176" s="101"/>
      <c r="DA176" s="101"/>
      <c r="DB176" s="101"/>
      <c r="DC176" s="101"/>
      <c r="DD176" s="101"/>
      <c r="DE176" s="101"/>
      <c r="DF176" s="101"/>
      <c r="DG176" s="101"/>
      <c r="DH176" s="101"/>
      <c r="DI176" s="101"/>
      <c r="DJ176" s="101"/>
      <c r="DK176" s="101"/>
      <c r="DL176" s="101"/>
      <c r="DM176" s="101"/>
    </row>
    <row r="177" ht="21.75" customHeight="1">
      <c r="A177" s="101"/>
      <c r="B177" s="101"/>
      <c r="C177" s="101"/>
      <c r="D177" s="101"/>
      <c r="E177" s="103"/>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4"/>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5"/>
      <c r="AW177" s="105"/>
      <c r="AX177" s="106"/>
      <c r="AY177" s="106"/>
      <c r="AZ177" s="106"/>
      <c r="BA177" s="106"/>
      <c r="BB177" s="106"/>
      <c r="BC177" s="106"/>
      <c r="BD177" s="101"/>
      <c r="BE177" s="101"/>
      <c r="BF177" s="101"/>
      <c r="BG177" s="101"/>
      <c r="BH177" s="101"/>
      <c r="BI177" s="101"/>
      <c r="BJ177" s="101"/>
      <c r="BK177" s="101"/>
      <c r="BL177" s="101"/>
      <c r="BM177" s="101"/>
      <c r="BN177" s="101"/>
      <c r="BO177" s="101"/>
      <c r="BP177" s="101"/>
      <c r="BQ177" s="101"/>
      <c r="BR177" s="101"/>
      <c r="BS177" s="101"/>
      <c r="BT177" s="101"/>
      <c r="BU177" s="101"/>
      <c r="BV177" s="101"/>
      <c r="BW177" s="107"/>
      <c r="BX177" s="101"/>
      <c r="BY177" s="108"/>
      <c r="BZ177" s="108"/>
      <c r="CA177" s="109"/>
      <c r="CB177" s="101"/>
      <c r="CC177" s="101"/>
      <c r="CD177" s="101"/>
      <c r="CE177" s="101"/>
      <c r="CF177" s="101"/>
      <c r="CG177" s="101"/>
      <c r="CH177" s="101"/>
      <c r="CI177" s="101"/>
      <c r="CJ177" s="101"/>
      <c r="CK177" s="101"/>
      <c r="CL177" s="101"/>
      <c r="CM177" s="101"/>
      <c r="CN177" s="101"/>
      <c r="CO177" s="101"/>
      <c r="CP177" s="101"/>
      <c r="CQ177" s="101"/>
      <c r="CR177" s="101"/>
      <c r="CS177" s="101"/>
      <c r="CT177" s="101"/>
      <c r="CU177" s="109"/>
      <c r="CV177" s="110"/>
      <c r="CW177" s="109"/>
      <c r="CX177" s="110"/>
      <c r="CY177" s="101"/>
      <c r="CZ177" s="101"/>
      <c r="DA177" s="101"/>
      <c r="DB177" s="101"/>
      <c r="DC177" s="101"/>
      <c r="DD177" s="101"/>
      <c r="DE177" s="101"/>
      <c r="DF177" s="101"/>
      <c r="DG177" s="101"/>
      <c r="DH177" s="101"/>
      <c r="DI177" s="101"/>
      <c r="DJ177" s="101"/>
      <c r="DK177" s="101"/>
      <c r="DL177" s="101"/>
      <c r="DM177" s="101"/>
    </row>
    <row r="178" ht="21.75" customHeight="1">
      <c r="A178" s="101"/>
      <c r="B178" s="101"/>
      <c r="C178" s="101"/>
      <c r="D178" s="101"/>
      <c r="E178" s="103"/>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4"/>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5"/>
      <c r="AW178" s="105"/>
      <c r="AX178" s="106"/>
      <c r="AY178" s="106"/>
      <c r="AZ178" s="106"/>
      <c r="BA178" s="106"/>
      <c r="BB178" s="106"/>
      <c r="BC178" s="106"/>
      <c r="BD178" s="101"/>
      <c r="BE178" s="101"/>
      <c r="BF178" s="101"/>
      <c r="BG178" s="101"/>
      <c r="BH178" s="101"/>
      <c r="BI178" s="101"/>
      <c r="BJ178" s="101"/>
      <c r="BK178" s="101"/>
      <c r="BL178" s="101"/>
      <c r="BM178" s="101"/>
      <c r="BN178" s="101"/>
      <c r="BO178" s="101"/>
      <c r="BP178" s="101"/>
      <c r="BQ178" s="101"/>
      <c r="BR178" s="101"/>
      <c r="BS178" s="101"/>
      <c r="BT178" s="101"/>
      <c r="BU178" s="101"/>
      <c r="BV178" s="101"/>
      <c r="BW178" s="107"/>
      <c r="BX178" s="101"/>
      <c r="BY178" s="108"/>
      <c r="BZ178" s="108"/>
      <c r="CA178" s="109"/>
      <c r="CB178" s="101"/>
      <c r="CC178" s="101"/>
      <c r="CD178" s="101"/>
      <c r="CE178" s="101"/>
      <c r="CF178" s="101"/>
      <c r="CG178" s="101"/>
      <c r="CH178" s="101"/>
      <c r="CI178" s="101"/>
      <c r="CJ178" s="101"/>
      <c r="CK178" s="101"/>
      <c r="CL178" s="101"/>
      <c r="CM178" s="101"/>
      <c r="CN178" s="101"/>
      <c r="CO178" s="101"/>
      <c r="CP178" s="101"/>
      <c r="CQ178" s="101"/>
      <c r="CR178" s="101"/>
      <c r="CS178" s="101"/>
      <c r="CT178" s="101"/>
      <c r="CU178" s="109"/>
      <c r="CV178" s="110"/>
      <c r="CW178" s="109"/>
      <c r="CX178" s="110"/>
      <c r="CY178" s="101"/>
      <c r="CZ178" s="101"/>
      <c r="DA178" s="101"/>
      <c r="DB178" s="101"/>
      <c r="DC178" s="101"/>
      <c r="DD178" s="101"/>
      <c r="DE178" s="101"/>
      <c r="DF178" s="101"/>
      <c r="DG178" s="101"/>
      <c r="DH178" s="101"/>
      <c r="DI178" s="101"/>
      <c r="DJ178" s="101"/>
      <c r="DK178" s="101"/>
      <c r="DL178" s="101"/>
      <c r="DM178" s="101"/>
    </row>
    <row r="179" ht="21.75" customHeight="1">
      <c r="A179" s="101"/>
      <c r="B179" s="101"/>
      <c r="C179" s="101"/>
      <c r="D179" s="101"/>
      <c r="E179" s="103"/>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4"/>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5"/>
      <c r="AW179" s="105"/>
      <c r="AX179" s="106"/>
      <c r="AY179" s="106"/>
      <c r="AZ179" s="106"/>
      <c r="BA179" s="106"/>
      <c r="BB179" s="106"/>
      <c r="BC179" s="106"/>
      <c r="BD179" s="101"/>
      <c r="BE179" s="101"/>
      <c r="BF179" s="101"/>
      <c r="BG179" s="101"/>
      <c r="BH179" s="101"/>
      <c r="BI179" s="101"/>
      <c r="BJ179" s="101"/>
      <c r="BK179" s="101"/>
      <c r="BL179" s="101"/>
      <c r="BM179" s="101"/>
      <c r="BN179" s="101"/>
      <c r="BO179" s="101"/>
      <c r="BP179" s="101"/>
      <c r="BQ179" s="101"/>
      <c r="BR179" s="101"/>
      <c r="BS179" s="101"/>
      <c r="BT179" s="101"/>
      <c r="BU179" s="101"/>
      <c r="BV179" s="101"/>
      <c r="BW179" s="107"/>
      <c r="BX179" s="101"/>
      <c r="BY179" s="108"/>
      <c r="BZ179" s="108"/>
      <c r="CA179" s="109"/>
      <c r="CB179" s="101"/>
      <c r="CC179" s="101"/>
      <c r="CD179" s="101"/>
      <c r="CE179" s="101"/>
      <c r="CF179" s="101"/>
      <c r="CG179" s="101"/>
      <c r="CH179" s="101"/>
      <c r="CI179" s="101"/>
      <c r="CJ179" s="101"/>
      <c r="CK179" s="101"/>
      <c r="CL179" s="101"/>
      <c r="CM179" s="101"/>
      <c r="CN179" s="101"/>
      <c r="CO179" s="101"/>
      <c r="CP179" s="101"/>
      <c r="CQ179" s="101"/>
      <c r="CR179" s="101"/>
      <c r="CS179" s="101"/>
      <c r="CT179" s="101"/>
      <c r="CU179" s="109"/>
      <c r="CV179" s="110"/>
      <c r="CW179" s="109"/>
      <c r="CX179" s="110"/>
      <c r="CY179" s="101"/>
      <c r="CZ179" s="101"/>
      <c r="DA179" s="101"/>
      <c r="DB179" s="101"/>
      <c r="DC179" s="101"/>
      <c r="DD179" s="101"/>
      <c r="DE179" s="101"/>
      <c r="DF179" s="101"/>
      <c r="DG179" s="101"/>
      <c r="DH179" s="101"/>
      <c r="DI179" s="101"/>
      <c r="DJ179" s="101"/>
      <c r="DK179" s="101"/>
      <c r="DL179" s="101"/>
      <c r="DM179" s="101"/>
    </row>
    <row r="180" ht="21.75" customHeight="1">
      <c r="A180" s="101"/>
      <c r="B180" s="101"/>
      <c r="C180" s="101"/>
      <c r="D180" s="101"/>
      <c r="E180" s="103"/>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4"/>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5"/>
      <c r="AW180" s="105"/>
      <c r="AX180" s="106"/>
      <c r="AY180" s="106"/>
      <c r="AZ180" s="106"/>
      <c r="BA180" s="106"/>
      <c r="BB180" s="106"/>
      <c r="BC180" s="106"/>
      <c r="BD180" s="101"/>
      <c r="BE180" s="101"/>
      <c r="BF180" s="101"/>
      <c r="BG180" s="101"/>
      <c r="BH180" s="101"/>
      <c r="BI180" s="101"/>
      <c r="BJ180" s="101"/>
      <c r="BK180" s="101"/>
      <c r="BL180" s="101"/>
      <c r="BM180" s="101"/>
      <c r="BN180" s="101"/>
      <c r="BO180" s="101"/>
      <c r="BP180" s="101"/>
      <c r="BQ180" s="101"/>
      <c r="BR180" s="101"/>
      <c r="BS180" s="101"/>
      <c r="BT180" s="101"/>
      <c r="BU180" s="101"/>
      <c r="BV180" s="101"/>
      <c r="BW180" s="107"/>
      <c r="BX180" s="101"/>
      <c r="BY180" s="108"/>
      <c r="BZ180" s="108"/>
      <c r="CA180" s="109"/>
      <c r="CB180" s="101"/>
      <c r="CC180" s="101"/>
      <c r="CD180" s="101"/>
      <c r="CE180" s="101"/>
      <c r="CF180" s="101"/>
      <c r="CG180" s="101"/>
      <c r="CH180" s="101"/>
      <c r="CI180" s="101"/>
      <c r="CJ180" s="101"/>
      <c r="CK180" s="101"/>
      <c r="CL180" s="101"/>
      <c r="CM180" s="101"/>
      <c r="CN180" s="101"/>
      <c r="CO180" s="101"/>
      <c r="CP180" s="101"/>
      <c r="CQ180" s="101"/>
      <c r="CR180" s="101"/>
      <c r="CS180" s="101"/>
      <c r="CT180" s="101"/>
      <c r="CU180" s="109"/>
      <c r="CV180" s="110"/>
      <c r="CW180" s="109"/>
      <c r="CX180" s="110"/>
      <c r="CY180" s="101"/>
      <c r="CZ180" s="101"/>
      <c r="DA180" s="101"/>
      <c r="DB180" s="101"/>
      <c r="DC180" s="101"/>
      <c r="DD180" s="101"/>
      <c r="DE180" s="101"/>
      <c r="DF180" s="101"/>
      <c r="DG180" s="101"/>
      <c r="DH180" s="101"/>
      <c r="DI180" s="101"/>
      <c r="DJ180" s="101"/>
      <c r="DK180" s="101"/>
      <c r="DL180" s="101"/>
      <c r="DM180" s="101"/>
    </row>
    <row r="181" ht="21.75" customHeight="1">
      <c r="A181" s="101"/>
      <c r="B181" s="101"/>
      <c r="C181" s="101"/>
      <c r="D181" s="101"/>
      <c r="E181" s="103"/>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4"/>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5"/>
      <c r="AW181" s="105"/>
      <c r="AX181" s="106"/>
      <c r="AY181" s="106"/>
      <c r="AZ181" s="106"/>
      <c r="BA181" s="106"/>
      <c r="BB181" s="106"/>
      <c r="BC181" s="106"/>
      <c r="BD181" s="101"/>
      <c r="BE181" s="101"/>
      <c r="BF181" s="101"/>
      <c r="BG181" s="101"/>
      <c r="BH181" s="101"/>
      <c r="BI181" s="101"/>
      <c r="BJ181" s="101"/>
      <c r="BK181" s="101"/>
      <c r="BL181" s="101"/>
      <c r="BM181" s="101"/>
      <c r="BN181" s="101"/>
      <c r="BO181" s="101"/>
      <c r="BP181" s="101"/>
      <c r="BQ181" s="101"/>
      <c r="BR181" s="101"/>
      <c r="BS181" s="101"/>
      <c r="BT181" s="101"/>
      <c r="BU181" s="101"/>
      <c r="BV181" s="101"/>
      <c r="BW181" s="107"/>
      <c r="BX181" s="101"/>
      <c r="BY181" s="108"/>
      <c r="BZ181" s="108"/>
      <c r="CA181" s="109"/>
      <c r="CB181" s="101"/>
      <c r="CC181" s="101"/>
      <c r="CD181" s="101"/>
      <c r="CE181" s="101"/>
      <c r="CF181" s="101"/>
      <c r="CG181" s="101"/>
      <c r="CH181" s="101"/>
      <c r="CI181" s="101"/>
      <c r="CJ181" s="101"/>
      <c r="CK181" s="101"/>
      <c r="CL181" s="101"/>
      <c r="CM181" s="101"/>
      <c r="CN181" s="101"/>
      <c r="CO181" s="101"/>
      <c r="CP181" s="101"/>
      <c r="CQ181" s="101"/>
      <c r="CR181" s="101"/>
      <c r="CS181" s="101"/>
      <c r="CT181" s="101"/>
      <c r="CU181" s="109"/>
      <c r="CV181" s="110"/>
      <c r="CW181" s="109"/>
      <c r="CX181" s="110"/>
      <c r="CY181" s="101"/>
      <c r="CZ181" s="101"/>
      <c r="DA181" s="101"/>
      <c r="DB181" s="101"/>
      <c r="DC181" s="101"/>
      <c r="DD181" s="101"/>
      <c r="DE181" s="101"/>
      <c r="DF181" s="101"/>
      <c r="DG181" s="101"/>
      <c r="DH181" s="101"/>
      <c r="DI181" s="101"/>
      <c r="DJ181" s="101"/>
      <c r="DK181" s="101"/>
      <c r="DL181" s="101"/>
      <c r="DM181" s="101"/>
    </row>
    <row r="182" ht="21.75" customHeight="1">
      <c r="A182" s="101"/>
      <c r="B182" s="101"/>
      <c r="C182" s="101"/>
      <c r="D182" s="101"/>
      <c r="E182" s="103"/>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4"/>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5"/>
      <c r="AW182" s="105"/>
      <c r="AX182" s="106"/>
      <c r="AY182" s="106"/>
      <c r="AZ182" s="106"/>
      <c r="BA182" s="106"/>
      <c r="BB182" s="106"/>
      <c r="BC182" s="106"/>
      <c r="BD182" s="101"/>
      <c r="BE182" s="101"/>
      <c r="BF182" s="101"/>
      <c r="BG182" s="101"/>
      <c r="BH182" s="101"/>
      <c r="BI182" s="101"/>
      <c r="BJ182" s="101"/>
      <c r="BK182" s="101"/>
      <c r="BL182" s="101"/>
      <c r="BM182" s="101"/>
      <c r="BN182" s="101"/>
      <c r="BO182" s="101"/>
      <c r="BP182" s="101"/>
      <c r="BQ182" s="101"/>
      <c r="BR182" s="101"/>
      <c r="BS182" s="101"/>
      <c r="BT182" s="101"/>
      <c r="BU182" s="101"/>
      <c r="BV182" s="101"/>
      <c r="BW182" s="107"/>
      <c r="BX182" s="101"/>
      <c r="BY182" s="108"/>
      <c r="BZ182" s="108"/>
      <c r="CA182" s="109"/>
      <c r="CB182" s="101"/>
      <c r="CC182" s="101"/>
      <c r="CD182" s="101"/>
      <c r="CE182" s="101"/>
      <c r="CF182" s="101"/>
      <c r="CG182" s="101"/>
      <c r="CH182" s="101"/>
      <c r="CI182" s="101"/>
      <c r="CJ182" s="101"/>
      <c r="CK182" s="101"/>
      <c r="CL182" s="101"/>
      <c r="CM182" s="101"/>
      <c r="CN182" s="101"/>
      <c r="CO182" s="101"/>
      <c r="CP182" s="101"/>
      <c r="CQ182" s="101"/>
      <c r="CR182" s="101"/>
      <c r="CS182" s="101"/>
      <c r="CT182" s="101"/>
      <c r="CU182" s="109"/>
      <c r="CV182" s="110"/>
      <c r="CW182" s="109"/>
      <c r="CX182" s="110"/>
      <c r="CY182" s="101"/>
      <c r="CZ182" s="101"/>
      <c r="DA182" s="101"/>
      <c r="DB182" s="101"/>
      <c r="DC182" s="101"/>
      <c r="DD182" s="101"/>
      <c r="DE182" s="101"/>
      <c r="DF182" s="101"/>
      <c r="DG182" s="101"/>
      <c r="DH182" s="101"/>
      <c r="DI182" s="101"/>
      <c r="DJ182" s="101"/>
      <c r="DK182" s="101"/>
      <c r="DL182" s="101"/>
      <c r="DM182" s="101"/>
    </row>
    <row r="183" ht="21.75" customHeight="1">
      <c r="A183" s="101"/>
      <c r="B183" s="101"/>
      <c r="C183" s="101"/>
      <c r="D183" s="101"/>
      <c r="E183" s="103"/>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4"/>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5"/>
      <c r="AW183" s="105"/>
      <c r="AX183" s="106"/>
      <c r="AY183" s="106"/>
      <c r="AZ183" s="106"/>
      <c r="BA183" s="106"/>
      <c r="BB183" s="106"/>
      <c r="BC183" s="106"/>
      <c r="BD183" s="101"/>
      <c r="BE183" s="101"/>
      <c r="BF183" s="101"/>
      <c r="BG183" s="101"/>
      <c r="BH183" s="101"/>
      <c r="BI183" s="101"/>
      <c r="BJ183" s="101"/>
      <c r="BK183" s="101"/>
      <c r="BL183" s="101"/>
      <c r="BM183" s="101"/>
      <c r="BN183" s="101"/>
      <c r="BO183" s="101"/>
      <c r="BP183" s="101"/>
      <c r="BQ183" s="101"/>
      <c r="BR183" s="101"/>
      <c r="BS183" s="101"/>
      <c r="BT183" s="101"/>
      <c r="BU183" s="101"/>
      <c r="BV183" s="101"/>
      <c r="BW183" s="107"/>
      <c r="BX183" s="101"/>
      <c r="BY183" s="108"/>
      <c r="BZ183" s="108"/>
      <c r="CA183" s="109"/>
      <c r="CB183" s="101"/>
      <c r="CC183" s="101"/>
      <c r="CD183" s="101"/>
      <c r="CE183" s="101"/>
      <c r="CF183" s="101"/>
      <c r="CG183" s="101"/>
      <c r="CH183" s="101"/>
      <c r="CI183" s="101"/>
      <c r="CJ183" s="101"/>
      <c r="CK183" s="101"/>
      <c r="CL183" s="101"/>
      <c r="CM183" s="101"/>
      <c r="CN183" s="101"/>
      <c r="CO183" s="101"/>
      <c r="CP183" s="101"/>
      <c r="CQ183" s="101"/>
      <c r="CR183" s="101"/>
      <c r="CS183" s="101"/>
      <c r="CT183" s="101"/>
      <c r="CU183" s="109"/>
      <c r="CV183" s="110"/>
      <c r="CW183" s="109"/>
      <c r="CX183" s="110"/>
      <c r="CY183" s="101"/>
      <c r="CZ183" s="101"/>
      <c r="DA183" s="101"/>
      <c r="DB183" s="101"/>
      <c r="DC183" s="101"/>
      <c r="DD183" s="101"/>
      <c r="DE183" s="101"/>
      <c r="DF183" s="101"/>
      <c r="DG183" s="101"/>
      <c r="DH183" s="101"/>
      <c r="DI183" s="101"/>
      <c r="DJ183" s="101"/>
      <c r="DK183" s="101"/>
      <c r="DL183" s="101"/>
      <c r="DM183" s="101"/>
    </row>
    <row r="184" ht="21.75" customHeight="1">
      <c r="A184" s="101"/>
      <c r="B184" s="101"/>
      <c r="C184" s="101"/>
      <c r="D184" s="101"/>
      <c r="E184" s="103"/>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4"/>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5"/>
      <c r="AW184" s="105"/>
      <c r="AX184" s="106"/>
      <c r="AY184" s="106"/>
      <c r="AZ184" s="106"/>
      <c r="BA184" s="106"/>
      <c r="BB184" s="106"/>
      <c r="BC184" s="106"/>
      <c r="BD184" s="101"/>
      <c r="BE184" s="101"/>
      <c r="BF184" s="101"/>
      <c r="BG184" s="101"/>
      <c r="BH184" s="101"/>
      <c r="BI184" s="101"/>
      <c r="BJ184" s="101"/>
      <c r="BK184" s="101"/>
      <c r="BL184" s="101"/>
      <c r="BM184" s="101"/>
      <c r="BN184" s="101"/>
      <c r="BO184" s="101"/>
      <c r="BP184" s="101"/>
      <c r="BQ184" s="101"/>
      <c r="BR184" s="101"/>
      <c r="BS184" s="101"/>
      <c r="BT184" s="101"/>
      <c r="BU184" s="101"/>
      <c r="BV184" s="101"/>
      <c r="BW184" s="107"/>
      <c r="BX184" s="101"/>
      <c r="BY184" s="108"/>
      <c r="BZ184" s="108"/>
      <c r="CA184" s="109"/>
      <c r="CB184" s="101"/>
      <c r="CC184" s="101"/>
      <c r="CD184" s="101"/>
      <c r="CE184" s="101"/>
      <c r="CF184" s="101"/>
      <c r="CG184" s="101"/>
      <c r="CH184" s="101"/>
      <c r="CI184" s="101"/>
      <c r="CJ184" s="101"/>
      <c r="CK184" s="101"/>
      <c r="CL184" s="101"/>
      <c r="CM184" s="101"/>
      <c r="CN184" s="101"/>
      <c r="CO184" s="101"/>
      <c r="CP184" s="101"/>
      <c r="CQ184" s="101"/>
      <c r="CR184" s="101"/>
      <c r="CS184" s="101"/>
      <c r="CT184" s="101"/>
      <c r="CU184" s="109"/>
      <c r="CV184" s="110"/>
      <c r="CW184" s="109"/>
      <c r="CX184" s="110"/>
      <c r="CY184" s="101"/>
      <c r="CZ184" s="101"/>
      <c r="DA184" s="101"/>
      <c r="DB184" s="101"/>
      <c r="DC184" s="101"/>
      <c r="DD184" s="101"/>
      <c r="DE184" s="101"/>
      <c r="DF184" s="101"/>
      <c r="DG184" s="101"/>
      <c r="DH184" s="101"/>
      <c r="DI184" s="101"/>
      <c r="DJ184" s="101"/>
      <c r="DK184" s="101"/>
      <c r="DL184" s="101"/>
      <c r="DM184" s="101"/>
    </row>
    <row r="185" ht="21.75" customHeight="1">
      <c r="A185" s="101"/>
      <c r="B185" s="101"/>
      <c r="C185" s="101"/>
      <c r="D185" s="101"/>
      <c r="E185" s="103"/>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4"/>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5"/>
      <c r="AW185" s="105"/>
      <c r="AX185" s="106"/>
      <c r="AY185" s="106"/>
      <c r="AZ185" s="106"/>
      <c r="BA185" s="106"/>
      <c r="BB185" s="106"/>
      <c r="BC185" s="106"/>
      <c r="BD185" s="101"/>
      <c r="BE185" s="101"/>
      <c r="BF185" s="101"/>
      <c r="BG185" s="101"/>
      <c r="BH185" s="101"/>
      <c r="BI185" s="101"/>
      <c r="BJ185" s="101"/>
      <c r="BK185" s="101"/>
      <c r="BL185" s="101"/>
      <c r="BM185" s="101"/>
      <c r="BN185" s="101"/>
      <c r="BO185" s="101"/>
      <c r="BP185" s="101"/>
      <c r="BQ185" s="101"/>
      <c r="BR185" s="101"/>
      <c r="BS185" s="101"/>
      <c r="BT185" s="101"/>
      <c r="BU185" s="101"/>
      <c r="BV185" s="101"/>
      <c r="BW185" s="107"/>
      <c r="BX185" s="101"/>
      <c r="BY185" s="108"/>
      <c r="BZ185" s="108"/>
      <c r="CA185" s="109"/>
      <c r="CB185" s="101"/>
      <c r="CC185" s="101"/>
      <c r="CD185" s="101"/>
      <c r="CE185" s="101"/>
      <c r="CF185" s="101"/>
      <c r="CG185" s="101"/>
      <c r="CH185" s="101"/>
      <c r="CI185" s="101"/>
      <c r="CJ185" s="101"/>
      <c r="CK185" s="101"/>
      <c r="CL185" s="101"/>
      <c r="CM185" s="101"/>
      <c r="CN185" s="101"/>
      <c r="CO185" s="101"/>
      <c r="CP185" s="101"/>
      <c r="CQ185" s="101"/>
      <c r="CR185" s="101"/>
      <c r="CS185" s="101"/>
      <c r="CT185" s="101"/>
      <c r="CU185" s="109"/>
      <c r="CV185" s="110"/>
      <c r="CW185" s="109"/>
      <c r="CX185" s="110"/>
      <c r="CY185" s="101"/>
      <c r="CZ185" s="101"/>
      <c r="DA185" s="101"/>
      <c r="DB185" s="101"/>
      <c r="DC185" s="101"/>
      <c r="DD185" s="101"/>
      <c r="DE185" s="101"/>
      <c r="DF185" s="101"/>
      <c r="DG185" s="101"/>
      <c r="DH185" s="101"/>
      <c r="DI185" s="101"/>
      <c r="DJ185" s="101"/>
      <c r="DK185" s="101"/>
      <c r="DL185" s="101"/>
      <c r="DM185" s="101"/>
    </row>
    <row r="186" ht="21.75" customHeight="1">
      <c r="A186" s="101"/>
      <c r="B186" s="101"/>
      <c r="C186" s="101"/>
      <c r="D186" s="101"/>
      <c r="E186" s="103"/>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4"/>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5"/>
      <c r="AW186" s="105"/>
      <c r="AX186" s="106"/>
      <c r="AY186" s="106"/>
      <c r="AZ186" s="106"/>
      <c r="BA186" s="106"/>
      <c r="BB186" s="106"/>
      <c r="BC186" s="106"/>
      <c r="BD186" s="101"/>
      <c r="BE186" s="101"/>
      <c r="BF186" s="101"/>
      <c r="BG186" s="101"/>
      <c r="BH186" s="101"/>
      <c r="BI186" s="101"/>
      <c r="BJ186" s="101"/>
      <c r="BK186" s="101"/>
      <c r="BL186" s="101"/>
      <c r="BM186" s="101"/>
      <c r="BN186" s="101"/>
      <c r="BO186" s="101"/>
      <c r="BP186" s="101"/>
      <c r="BQ186" s="101"/>
      <c r="BR186" s="101"/>
      <c r="BS186" s="101"/>
      <c r="BT186" s="101"/>
      <c r="BU186" s="101"/>
      <c r="BV186" s="101"/>
      <c r="BW186" s="107"/>
      <c r="BX186" s="101"/>
      <c r="BY186" s="108"/>
      <c r="BZ186" s="108"/>
      <c r="CA186" s="109"/>
      <c r="CB186" s="101"/>
      <c r="CC186" s="101"/>
      <c r="CD186" s="101"/>
      <c r="CE186" s="101"/>
      <c r="CF186" s="101"/>
      <c r="CG186" s="101"/>
      <c r="CH186" s="101"/>
      <c r="CI186" s="101"/>
      <c r="CJ186" s="101"/>
      <c r="CK186" s="101"/>
      <c r="CL186" s="101"/>
      <c r="CM186" s="101"/>
      <c r="CN186" s="101"/>
      <c r="CO186" s="101"/>
      <c r="CP186" s="101"/>
      <c r="CQ186" s="101"/>
      <c r="CR186" s="101"/>
      <c r="CS186" s="101"/>
      <c r="CT186" s="101"/>
      <c r="CU186" s="109"/>
      <c r="CV186" s="110"/>
      <c r="CW186" s="109"/>
      <c r="CX186" s="110"/>
      <c r="CY186" s="101"/>
      <c r="CZ186" s="101"/>
      <c r="DA186" s="101"/>
      <c r="DB186" s="101"/>
      <c r="DC186" s="101"/>
      <c r="DD186" s="101"/>
      <c r="DE186" s="101"/>
      <c r="DF186" s="101"/>
      <c r="DG186" s="101"/>
      <c r="DH186" s="101"/>
      <c r="DI186" s="101"/>
      <c r="DJ186" s="101"/>
      <c r="DK186" s="101"/>
      <c r="DL186" s="101"/>
      <c r="DM186" s="101"/>
    </row>
    <row r="187" ht="21.75" customHeight="1">
      <c r="A187" s="101"/>
      <c r="B187" s="101"/>
      <c r="C187" s="101"/>
      <c r="D187" s="101"/>
      <c r="E187" s="103"/>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4"/>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5"/>
      <c r="AW187" s="105"/>
      <c r="AX187" s="106"/>
      <c r="AY187" s="106"/>
      <c r="AZ187" s="106"/>
      <c r="BA187" s="106"/>
      <c r="BB187" s="106"/>
      <c r="BC187" s="106"/>
      <c r="BD187" s="101"/>
      <c r="BE187" s="101"/>
      <c r="BF187" s="101"/>
      <c r="BG187" s="101"/>
      <c r="BH187" s="101"/>
      <c r="BI187" s="101"/>
      <c r="BJ187" s="101"/>
      <c r="BK187" s="101"/>
      <c r="BL187" s="101"/>
      <c r="BM187" s="101"/>
      <c r="BN187" s="101"/>
      <c r="BO187" s="101"/>
      <c r="BP187" s="101"/>
      <c r="BQ187" s="101"/>
      <c r="BR187" s="101"/>
      <c r="BS187" s="101"/>
      <c r="BT187" s="101"/>
      <c r="BU187" s="101"/>
      <c r="BV187" s="101"/>
      <c r="BW187" s="107"/>
      <c r="BX187" s="101"/>
      <c r="BY187" s="108"/>
      <c r="BZ187" s="108"/>
      <c r="CA187" s="109"/>
      <c r="CB187" s="101"/>
      <c r="CC187" s="101"/>
      <c r="CD187" s="101"/>
      <c r="CE187" s="101"/>
      <c r="CF187" s="101"/>
      <c r="CG187" s="101"/>
      <c r="CH187" s="101"/>
      <c r="CI187" s="101"/>
      <c r="CJ187" s="101"/>
      <c r="CK187" s="101"/>
      <c r="CL187" s="101"/>
      <c r="CM187" s="101"/>
      <c r="CN187" s="101"/>
      <c r="CO187" s="101"/>
      <c r="CP187" s="101"/>
      <c r="CQ187" s="101"/>
      <c r="CR187" s="101"/>
      <c r="CS187" s="101"/>
      <c r="CT187" s="101"/>
      <c r="CU187" s="109"/>
      <c r="CV187" s="110"/>
      <c r="CW187" s="109"/>
      <c r="CX187" s="110"/>
      <c r="CY187" s="101"/>
      <c r="CZ187" s="101"/>
      <c r="DA187" s="101"/>
      <c r="DB187" s="101"/>
      <c r="DC187" s="101"/>
      <c r="DD187" s="101"/>
      <c r="DE187" s="101"/>
      <c r="DF187" s="101"/>
      <c r="DG187" s="101"/>
      <c r="DH187" s="101"/>
      <c r="DI187" s="101"/>
      <c r="DJ187" s="101"/>
      <c r="DK187" s="101"/>
      <c r="DL187" s="101"/>
      <c r="DM187" s="101"/>
    </row>
    <row r="188" ht="21.75" customHeight="1">
      <c r="A188" s="101"/>
      <c r="B188" s="101"/>
      <c r="C188" s="101"/>
      <c r="D188" s="101"/>
      <c r="E188" s="103"/>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4"/>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5"/>
      <c r="AW188" s="105"/>
      <c r="AX188" s="106"/>
      <c r="AY188" s="106"/>
      <c r="AZ188" s="106"/>
      <c r="BA188" s="106"/>
      <c r="BB188" s="106"/>
      <c r="BC188" s="106"/>
      <c r="BD188" s="101"/>
      <c r="BE188" s="101"/>
      <c r="BF188" s="101"/>
      <c r="BG188" s="101"/>
      <c r="BH188" s="101"/>
      <c r="BI188" s="101"/>
      <c r="BJ188" s="101"/>
      <c r="BK188" s="101"/>
      <c r="BL188" s="101"/>
      <c r="BM188" s="101"/>
      <c r="BN188" s="101"/>
      <c r="BO188" s="101"/>
      <c r="BP188" s="101"/>
      <c r="BQ188" s="101"/>
      <c r="BR188" s="101"/>
      <c r="BS188" s="101"/>
      <c r="BT188" s="101"/>
      <c r="BU188" s="101"/>
      <c r="BV188" s="101"/>
      <c r="BW188" s="107"/>
      <c r="BX188" s="101"/>
      <c r="BY188" s="108"/>
      <c r="BZ188" s="108"/>
      <c r="CA188" s="109"/>
      <c r="CB188" s="101"/>
      <c r="CC188" s="101"/>
      <c r="CD188" s="101"/>
      <c r="CE188" s="101"/>
      <c r="CF188" s="101"/>
      <c r="CG188" s="101"/>
      <c r="CH188" s="101"/>
      <c r="CI188" s="101"/>
      <c r="CJ188" s="101"/>
      <c r="CK188" s="101"/>
      <c r="CL188" s="101"/>
      <c r="CM188" s="101"/>
      <c r="CN188" s="101"/>
      <c r="CO188" s="101"/>
      <c r="CP188" s="101"/>
      <c r="CQ188" s="101"/>
      <c r="CR188" s="101"/>
      <c r="CS188" s="101"/>
      <c r="CT188" s="101"/>
      <c r="CU188" s="109"/>
      <c r="CV188" s="110"/>
      <c r="CW188" s="109"/>
      <c r="CX188" s="110"/>
      <c r="CY188" s="101"/>
      <c r="CZ188" s="101"/>
      <c r="DA188" s="101"/>
      <c r="DB188" s="101"/>
      <c r="DC188" s="101"/>
      <c r="DD188" s="101"/>
      <c r="DE188" s="101"/>
      <c r="DF188" s="101"/>
      <c r="DG188" s="101"/>
      <c r="DH188" s="101"/>
      <c r="DI188" s="101"/>
      <c r="DJ188" s="101"/>
      <c r="DK188" s="101"/>
      <c r="DL188" s="101"/>
      <c r="DM188" s="101"/>
    </row>
    <row r="189" ht="21.75" customHeight="1">
      <c r="A189" s="101"/>
      <c r="B189" s="101"/>
      <c r="C189" s="101"/>
      <c r="D189" s="101"/>
      <c r="E189" s="103"/>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4"/>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5"/>
      <c r="AW189" s="105"/>
      <c r="AX189" s="106"/>
      <c r="AY189" s="106"/>
      <c r="AZ189" s="106"/>
      <c r="BA189" s="106"/>
      <c r="BB189" s="106"/>
      <c r="BC189" s="106"/>
      <c r="BD189" s="101"/>
      <c r="BE189" s="101"/>
      <c r="BF189" s="101"/>
      <c r="BG189" s="101"/>
      <c r="BH189" s="101"/>
      <c r="BI189" s="101"/>
      <c r="BJ189" s="101"/>
      <c r="BK189" s="101"/>
      <c r="BL189" s="101"/>
      <c r="BM189" s="101"/>
      <c r="BN189" s="101"/>
      <c r="BO189" s="101"/>
      <c r="BP189" s="101"/>
      <c r="BQ189" s="101"/>
      <c r="BR189" s="101"/>
      <c r="BS189" s="101"/>
      <c r="BT189" s="101"/>
      <c r="BU189" s="101"/>
      <c r="BV189" s="101"/>
      <c r="BW189" s="107"/>
      <c r="BX189" s="101"/>
      <c r="BY189" s="108"/>
      <c r="BZ189" s="108"/>
      <c r="CA189" s="109"/>
      <c r="CB189" s="101"/>
      <c r="CC189" s="101"/>
      <c r="CD189" s="101"/>
      <c r="CE189" s="101"/>
      <c r="CF189" s="101"/>
      <c r="CG189" s="101"/>
      <c r="CH189" s="101"/>
      <c r="CI189" s="101"/>
      <c r="CJ189" s="101"/>
      <c r="CK189" s="101"/>
      <c r="CL189" s="101"/>
      <c r="CM189" s="101"/>
      <c r="CN189" s="101"/>
      <c r="CO189" s="101"/>
      <c r="CP189" s="101"/>
      <c r="CQ189" s="101"/>
      <c r="CR189" s="101"/>
      <c r="CS189" s="101"/>
      <c r="CT189" s="101"/>
      <c r="CU189" s="109"/>
      <c r="CV189" s="110"/>
      <c r="CW189" s="109"/>
      <c r="CX189" s="110"/>
      <c r="CY189" s="101"/>
      <c r="CZ189" s="101"/>
      <c r="DA189" s="101"/>
      <c r="DB189" s="101"/>
      <c r="DC189" s="101"/>
      <c r="DD189" s="101"/>
      <c r="DE189" s="101"/>
      <c r="DF189" s="101"/>
      <c r="DG189" s="101"/>
      <c r="DH189" s="101"/>
      <c r="DI189" s="101"/>
      <c r="DJ189" s="101"/>
      <c r="DK189" s="101"/>
      <c r="DL189" s="101"/>
      <c r="DM189" s="101"/>
    </row>
    <row r="190" ht="21.75" customHeight="1">
      <c r="A190" s="101"/>
      <c r="B190" s="101"/>
      <c r="C190" s="101"/>
      <c r="D190" s="101"/>
      <c r="E190" s="103"/>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4"/>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5"/>
      <c r="AW190" s="105"/>
      <c r="AX190" s="106"/>
      <c r="AY190" s="106"/>
      <c r="AZ190" s="106"/>
      <c r="BA190" s="106"/>
      <c r="BB190" s="106"/>
      <c r="BC190" s="106"/>
      <c r="BD190" s="101"/>
      <c r="BE190" s="101"/>
      <c r="BF190" s="101"/>
      <c r="BG190" s="101"/>
      <c r="BH190" s="101"/>
      <c r="BI190" s="101"/>
      <c r="BJ190" s="101"/>
      <c r="BK190" s="101"/>
      <c r="BL190" s="101"/>
      <c r="BM190" s="101"/>
      <c r="BN190" s="101"/>
      <c r="BO190" s="101"/>
      <c r="BP190" s="101"/>
      <c r="BQ190" s="101"/>
      <c r="BR190" s="101"/>
      <c r="BS190" s="101"/>
      <c r="BT190" s="101"/>
      <c r="BU190" s="101"/>
      <c r="BV190" s="101"/>
      <c r="BW190" s="107"/>
      <c r="BX190" s="101"/>
      <c r="BY190" s="108"/>
      <c r="BZ190" s="108"/>
      <c r="CA190" s="109"/>
      <c r="CB190" s="101"/>
      <c r="CC190" s="101"/>
      <c r="CD190" s="101"/>
      <c r="CE190" s="101"/>
      <c r="CF190" s="101"/>
      <c r="CG190" s="101"/>
      <c r="CH190" s="101"/>
      <c r="CI190" s="101"/>
      <c r="CJ190" s="101"/>
      <c r="CK190" s="101"/>
      <c r="CL190" s="101"/>
      <c r="CM190" s="101"/>
      <c r="CN190" s="101"/>
      <c r="CO190" s="101"/>
      <c r="CP190" s="101"/>
      <c r="CQ190" s="101"/>
      <c r="CR190" s="101"/>
      <c r="CS190" s="101"/>
      <c r="CT190" s="101"/>
      <c r="CU190" s="109"/>
      <c r="CV190" s="110"/>
      <c r="CW190" s="109"/>
      <c r="CX190" s="110"/>
      <c r="CY190" s="101"/>
      <c r="CZ190" s="101"/>
      <c r="DA190" s="101"/>
      <c r="DB190" s="101"/>
      <c r="DC190" s="101"/>
      <c r="DD190" s="101"/>
      <c r="DE190" s="101"/>
      <c r="DF190" s="101"/>
      <c r="DG190" s="101"/>
      <c r="DH190" s="101"/>
      <c r="DI190" s="101"/>
      <c r="DJ190" s="101"/>
      <c r="DK190" s="101"/>
      <c r="DL190" s="101"/>
      <c r="DM190" s="101"/>
    </row>
    <row r="191" ht="21.75" customHeight="1">
      <c r="A191" s="101"/>
      <c r="B191" s="101"/>
      <c r="C191" s="101"/>
      <c r="D191" s="101"/>
      <c r="E191" s="103"/>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4"/>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5"/>
      <c r="AW191" s="105"/>
      <c r="AX191" s="106"/>
      <c r="AY191" s="106"/>
      <c r="AZ191" s="106"/>
      <c r="BA191" s="106"/>
      <c r="BB191" s="106"/>
      <c r="BC191" s="106"/>
      <c r="BD191" s="101"/>
      <c r="BE191" s="101"/>
      <c r="BF191" s="101"/>
      <c r="BG191" s="101"/>
      <c r="BH191" s="101"/>
      <c r="BI191" s="101"/>
      <c r="BJ191" s="101"/>
      <c r="BK191" s="101"/>
      <c r="BL191" s="101"/>
      <c r="BM191" s="101"/>
      <c r="BN191" s="101"/>
      <c r="BO191" s="101"/>
      <c r="BP191" s="101"/>
      <c r="BQ191" s="101"/>
      <c r="BR191" s="101"/>
      <c r="BS191" s="101"/>
      <c r="BT191" s="101"/>
      <c r="BU191" s="101"/>
      <c r="BV191" s="101"/>
      <c r="BW191" s="107"/>
      <c r="BX191" s="101"/>
      <c r="BY191" s="108"/>
      <c r="BZ191" s="108"/>
      <c r="CA191" s="109"/>
      <c r="CB191" s="101"/>
      <c r="CC191" s="101"/>
      <c r="CD191" s="101"/>
      <c r="CE191" s="101"/>
      <c r="CF191" s="101"/>
      <c r="CG191" s="101"/>
      <c r="CH191" s="101"/>
      <c r="CI191" s="101"/>
      <c r="CJ191" s="101"/>
      <c r="CK191" s="101"/>
      <c r="CL191" s="101"/>
      <c r="CM191" s="101"/>
      <c r="CN191" s="101"/>
      <c r="CO191" s="101"/>
      <c r="CP191" s="101"/>
      <c r="CQ191" s="101"/>
      <c r="CR191" s="101"/>
      <c r="CS191" s="101"/>
      <c r="CT191" s="101"/>
      <c r="CU191" s="109"/>
      <c r="CV191" s="110"/>
      <c r="CW191" s="109"/>
      <c r="CX191" s="110"/>
      <c r="CY191" s="101"/>
      <c r="CZ191" s="101"/>
      <c r="DA191" s="101"/>
      <c r="DB191" s="101"/>
      <c r="DC191" s="101"/>
      <c r="DD191" s="101"/>
      <c r="DE191" s="101"/>
      <c r="DF191" s="101"/>
      <c r="DG191" s="101"/>
      <c r="DH191" s="101"/>
      <c r="DI191" s="101"/>
      <c r="DJ191" s="101"/>
      <c r="DK191" s="101"/>
      <c r="DL191" s="101"/>
      <c r="DM191" s="101"/>
    </row>
    <row r="192" ht="21.75" customHeight="1">
      <c r="A192" s="101"/>
      <c r="B192" s="101"/>
      <c r="C192" s="101"/>
      <c r="D192" s="101"/>
      <c r="E192" s="103"/>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4"/>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5"/>
      <c r="AW192" s="105"/>
      <c r="AX192" s="106"/>
      <c r="AY192" s="106"/>
      <c r="AZ192" s="106"/>
      <c r="BA192" s="106"/>
      <c r="BB192" s="106"/>
      <c r="BC192" s="106"/>
      <c r="BD192" s="101"/>
      <c r="BE192" s="101"/>
      <c r="BF192" s="101"/>
      <c r="BG192" s="101"/>
      <c r="BH192" s="101"/>
      <c r="BI192" s="101"/>
      <c r="BJ192" s="101"/>
      <c r="BK192" s="101"/>
      <c r="BL192" s="101"/>
      <c r="BM192" s="101"/>
      <c r="BN192" s="101"/>
      <c r="BO192" s="101"/>
      <c r="BP192" s="101"/>
      <c r="BQ192" s="101"/>
      <c r="BR192" s="101"/>
      <c r="BS192" s="101"/>
      <c r="BT192" s="101"/>
      <c r="BU192" s="101"/>
      <c r="BV192" s="101"/>
      <c r="BW192" s="107"/>
      <c r="BX192" s="101"/>
      <c r="BY192" s="108"/>
      <c r="BZ192" s="108"/>
      <c r="CA192" s="109"/>
      <c r="CB192" s="101"/>
      <c r="CC192" s="101"/>
      <c r="CD192" s="101"/>
      <c r="CE192" s="101"/>
      <c r="CF192" s="101"/>
      <c r="CG192" s="101"/>
      <c r="CH192" s="101"/>
      <c r="CI192" s="101"/>
      <c r="CJ192" s="101"/>
      <c r="CK192" s="101"/>
      <c r="CL192" s="101"/>
      <c r="CM192" s="101"/>
      <c r="CN192" s="101"/>
      <c r="CO192" s="101"/>
      <c r="CP192" s="101"/>
      <c r="CQ192" s="101"/>
      <c r="CR192" s="101"/>
      <c r="CS192" s="101"/>
      <c r="CT192" s="101"/>
      <c r="CU192" s="109"/>
      <c r="CV192" s="110"/>
      <c r="CW192" s="109"/>
      <c r="CX192" s="110"/>
      <c r="CY192" s="101"/>
      <c r="CZ192" s="101"/>
      <c r="DA192" s="101"/>
      <c r="DB192" s="101"/>
      <c r="DC192" s="101"/>
      <c r="DD192" s="101"/>
      <c r="DE192" s="101"/>
      <c r="DF192" s="101"/>
      <c r="DG192" s="101"/>
      <c r="DH192" s="101"/>
      <c r="DI192" s="101"/>
      <c r="DJ192" s="101"/>
      <c r="DK192" s="101"/>
      <c r="DL192" s="101"/>
      <c r="DM192" s="101"/>
    </row>
    <row r="193" ht="21.75" customHeight="1">
      <c r="A193" s="101"/>
      <c r="B193" s="101"/>
      <c r="C193" s="101"/>
      <c r="D193" s="101"/>
      <c r="E193" s="103"/>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4"/>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5"/>
      <c r="AW193" s="105"/>
      <c r="AX193" s="106"/>
      <c r="AY193" s="106"/>
      <c r="AZ193" s="106"/>
      <c r="BA193" s="106"/>
      <c r="BB193" s="106"/>
      <c r="BC193" s="106"/>
      <c r="BD193" s="101"/>
      <c r="BE193" s="101"/>
      <c r="BF193" s="101"/>
      <c r="BG193" s="101"/>
      <c r="BH193" s="101"/>
      <c r="BI193" s="101"/>
      <c r="BJ193" s="101"/>
      <c r="BK193" s="101"/>
      <c r="BL193" s="101"/>
      <c r="BM193" s="101"/>
      <c r="BN193" s="101"/>
      <c r="BO193" s="101"/>
      <c r="BP193" s="101"/>
      <c r="BQ193" s="101"/>
      <c r="BR193" s="101"/>
      <c r="BS193" s="101"/>
      <c r="BT193" s="101"/>
      <c r="BU193" s="101"/>
      <c r="BV193" s="101"/>
      <c r="BW193" s="107"/>
      <c r="BX193" s="101"/>
      <c r="BY193" s="108"/>
      <c r="BZ193" s="108"/>
      <c r="CA193" s="109"/>
      <c r="CB193" s="101"/>
      <c r="CC193" s="101"/>
      <c r="CD193" s="101"/>
      <c r="CE193" s="101"/>
      <c r="CF193" s="101"/>
      <c r="CG193" s="101"/>
      <c r="CH193" s="101"/>
      <c r="CI193" s="101"/>
      <c r="CJ193" s="101"/>
      <c r="CK193" s="101"/>
      <c r="CL193" s="101"/>
      <c r="CM193" s="101"/>
      <c r="CN193" s="101"/>
      <c r="CO193" s="101"/>
      <c r="CP193" s="101"/>
      <c r="CQ193" s="101"/>
      <c r="CR193" s="101"/>
      <c r="CS193" s="101"/>
      <c r="CT193" s="101"/>
      <c r="CU193" s="109"/>
      <c r="CV193" s="110"/>
      <c r="CW193" s="109"/>
      <c r="CX193" s="110"/>
      <c r="CY193" s="101"/>
      <c r="CZ193" s="101"/>
      <c r="DA193" s="101"/>
      <c r="DB193" s="101"/>
      <c r="DC193" s="101"/>
      <c r="DD193" s="101"/>
      <c r="DE193" s="101"/>
      <c r="DF193" s="101"/>
      <c r="DG193" s="101"/>
      <c r="DH193" s="101"/>
      <c r="DI193" s="101"/>
      <c r="DJ193" s="101"/>
      <c r="DK193" s="101"/>
      <c r="DL193" s="101"/>
      <c r="DM193" s="101"/>
    </row>
    <row r="194" ht="21.75" customHeight="1">
      <c r="A194" s="101"/>
      <c r="B194" s="101"/>
      <c r="C194" s="101"/>
      <c r="D194" s="101"/>
      <c r="E194" s="103"/>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4"/>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5"/>
      <c r="AW194" s="105"/>
      <c r="AX194" s="106"/>
      <c r="AY194" s="106"/>
      <c r="AZ194" s="106"/>
      <c r="BA194" s="106"/>
      <c r="BB194" s="106"/>
      <c r="BC194" s="106"/>
      <c r="BD194" s="101"/>
      <c r="BE194" s="101"/>
      <c r="BF194" s="101"/>
      <c r="BG194" s="101"/>
      <c r="BH194" s="101"/>
      <c r="BI194" s="101"/>
      <c r="BJ194" s="101"/>
      <c r="BK194" s="101"/>
      <c r="BL194" s="101"/>
      <c r="BM194" s="101"/>
      <c r="BN194" s="101"/>
      <c r="BO194" s="101"/>
      <c r="BP194" s="101"/>
      <c r="BQ194" s="101"/>
      <c r="BR194" s="101"/>
      <c r="BS194" s="101"/>
      <c r="BT194" s="101"/>
      <c r="BU194" s="101"/>
      <c r="BV194" s="101"/>
      <c r="BW194" s="107"/>
      <c r="BX194" s="101"/>
      <c r="BY194" s="108"/>
      <c r="BZ194" s="108"/>
      <c r="CA194" s="109"/>
      <c r="CB194" s="101"/>
      <c r="CC194" s="101"/>
      <c r="CD194" s="101"/>
      <c r="CE194" s="101"/>
      <c r="CF194" s="101"/>
      <c r="CG194" s="101"/>
      <c r="CH194" s="101"/>
      <c r="CI194" s="101"/>
      <c r="CJ194" s="101"/>
      <c r="CK194" s="101"/>
      <c r="CL194" s="101"/>
      <c r="CM194" s="101"/>
      <c r="CN194" s="101"/>
      <c r="CO194" s="101"/>
      <c r="CP194" s="101"/>
      <c r="CQ194" s="101"/>
      <c r="CR194" s="101"/>
      <c r="CS194" s="101"/>
      <c r="CT194" s="101"/>
      <c r="CU194" s="109"/>
      <c r="CV194" s="110"/>
      <c r="CW194" s="109"/>
      <c r="CX194" s="110"/>
      <c r="CY194" s="101"/>
      <c r="CZ194" s="101"/>
      <c r="DA194" s="101"/>
      <c r="DB194" s="101"/>
      <c r="DC194" s="101"/>
      <c r="DD194" s="101"/>
      <c r="DE194" s="101"/>
      <c r="DF194" s="101"/>
      <c r="DG194" s="101"/>
      <c r="DH194" s="101"/>
      <c r="DI194" s="101"/>
      <c r="DJ194" s="101"/>
      <c r="DK194" s="101"/>
      <c r="DL194" s="101"/>
      <c r="DM194" s="101"/>
    </row>
    <row r="195" ht="21.75" customHeight="1">
      <c r="A195" s="101"/>
      <c r="B195" s="101"/>
      <c r="C195" s="101"/>
      <c r="D195" s="101"/>
      <c r="E195" s="103"/>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4"/>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5"/>
      <c r="AW195" s="105"/>
      <c r="AX195" s="106"/>
      <c r="AY195" s="106"/>
      <c r="AZ195" s="106"/>
      <c r="BA195" s="106"/>
      <c r="BB195" s="106"/>
      <c r="BC195" s="106"/>
      <c r="BD195" s="101"/>
      <c r="BE195" s="101"/>
      <c r="BF195" s="101"/>
      <c r="BG195" s="101"/>
      <c r="BH195" s="101"/>
      <c r="BI195" s="101"/>
      <c r="BJ195" s="101"/>
      <c r="BK195" s="101"/>
      <c r="BL195" s="101"/>
      <c r="BM195" s="101"/>
      <c r="BN195" s="101"/>
      <c r="BO195" s="101"/>
      <c r="BP195" s="101"/>
      <c r="BQ195" s="101"/>
      <c r="BR195" s="101"/>
      <c r="BS195" s="101"/>
      <c r="BT195" s="101"/>
      <c r="BU195" s="101"/>
      <c r="BV195" s="101"/>
      <c r="BW195" s="107"/>
      <c r="BX195" s="101"/>
      <c r="BY195" s="108"/>
      <c r="BZ195" s="108"/>
      <c r="CA195" s="109"/>
      <c r="CB195" s="101"/>
      <c r="CC195" s="101"/>
      <c r="CD195" s="101"/>
      <c r="CE195" s="101"/>
      <c r="CF195" s="101"/>
      <c r="CG195" s="101"/>
      <c r="CH195" s="101"/>
      <c r="CI195" s="101"/>
      <c r="CJ195" s="101"/>
      <c r="CK195" s="101"/>
      <c r="CL195" s="101"/>
      <c r="CM195" s="101"/>
      <c r="CN195" s="101"/>
      <c r="CO195" s="101"/>
      <c r="CP195" s="101"/>
      <c r="CQ195" s="101"/>
      <c r="CR195" s="101"/>
      <c r="CS195" s="101"/>
      <c r="CT195" s="101"/>
      <c r="CU195" s="109"/>
      <c r="CV195" s="110"/>
      <c r="CW195" s="109"/>
      <c r="CX195" s="110"/>
      <c r="CY195" s="101"/>
      <c r="CZ195" s="101"/>
      <c r="DA195" s="101"/>
      <c r="DB195" s="101"/>
      <c r="DC195" s="101"/>
      <c r="DD195" s="101"/>
      <c r="DE195" s="101"/>
      <c r="DF195" s="101"/>
      <c r="DG195" s="101"/>
      <c r="DH195" s="101"/>
      <c r="DI195" s="101"/>
      <c r="DJ195" s="101"/>
      <c r="DK195" s="101"/>
      <c r="DL195" s="101"/>
      <c r="DM195" s="101"/>
    </row>
    <row r="196" ht="21.75" customHeight="1">
      <c r="A196" s="101"/>
      <c r="B196" s="101"/>
      <c r="C196" s="101"/>
      <c r="D196" s="101"/>
      <c r="E196" s="103"/>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4"/>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5"/>
      <c r="AW196" s="105"/>
      <c r="AX196" s="106"/>
      <c r="AY196" s="106"/>
      <c r="AZ196" s="106"/>
      <c r="BA196" s="106"/>
      <c r="BB196" s="106"/>
      <c r="BC196" s="106"/>
      <c r="BD196" s="101"/>
      <c r="BE196" s="101"/>
      <c r="BF196" s="101"/>
      <c r="BG196" s="101"/>
      <c r="BH196" s="101"/>
      <c r="BI196" s="101"/>
      <c r="BJ196" s="101"/>
      <c r="BK196" s="101"/>
      <c r="BL196" s="101"/>
      <c r="BM196" s="101"/>
      <c r="BN196" s="101"/>
      <c r="BO196" s="101"/>
      <c r="BP196" s="101"/>
      <c r="BQ196" s="101"/>
      <c r="BR196" s="101"/>
      <c r="BS196" s="101"/>
      <c r="BT196" s="101"/>
      <c r="BU196" s="101"/>
      <c r="BV196" s="101"/>
      <c r="BW196" s="107"/>
      <c r="BX196" s="101"/>
      <c r="BY196" s="108"/>
      <c r="BZ196" s="108"/>
      <c r="CA196" s="109"/>
      <c r="CB196" s="101"/>
      <c r="CC196" s="101"/>
      <c r="CD196" s="101"/>
      <c r="CE196" s="101"/>
      <c r="CF196" s="101"/>
      <c r="CG196" s="101"/>
      <c r="CH196" s="101"/>
      <c r="CI196" s="101"/>
      <c r="CJ196" s="101"/>
      <c r="CK196" s="101"/>
      <c r="CL196" s="101"/>
      <c r="CM196" s="101"/>
      <c r="CN196" s="101"/>
      <c r="CO196" s="101"/>
      <c r="CP196" s="101"/>
      <c r="CQ196" s="101"/>
      <c r="CR196" s="101"/>
      <c r="CS196" s="101"/>
      <c r="CT196" s="101"/>
      <c r="CU196" s="109"/>
      <c r="CV196" s="110"/>
      <c r="CW196" s="109"/>
      <c r="CX196" s="110"/>
      <c r="CY196" s="101"/>
      <c r="CZ196" s="101"/>
      <c r="DA196" s="101"/>
      <c r="DB196" s="101"/>
      <c r="DC196" s="101"/>
      <c r="DD196" s="101"/>
      <c r="DE196" s="101"/>
      <c r="DF196" s="101"/>
      <c r="DG196" s="101"/>
      <c r="DH196" s="101"/>
      <c r="DI196" s="101"/>
      <c r="DJ196" s="101"/>
      <c r="DK196" s="101"/>
      <c r="DL196" s="101"/>
      <c r="DM196" s="101"/>
    </row>
    <row r="197" ht="21.75" customHeight="1">
      <c r="A197" s="101"/>
      <c r="B197" s="101"/>
      <c r="C197" s="101"/>
      <c r="D197" s="101"/>
      <c r="E197" s="103"/>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4"/>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5"/>
      <c r="AW197" s="105"/>
      <c r="AX197" s="106"/>
      <c r="AY197" s="106"/>
      <c r="AZ197" s="106"/>
      <c r="BA197" s="106"/>
      <c r="BB197" s="106"/>
      <c r="BC197" s="106"/>
      <c r="BD197" s="101"/>
      <c r="BE197" s="101"/>
      <c r="BF197" s="101"/>
      <c r="BG197" s="101"/>
      <c r="BH197" s="101"/>
      <c r="BI197" s="101"/>
      <c r="BJ197" s="101"/>
      <c r="BK197" s="101"/>
      <c r="BL197" s="101"/>
      <c r="BM197" s="101"/>
      <c r="BN197" s="101"/>
      <c r="BO197" s="101"/>
      <c r="BP197" s="101"/>
      <c r="BQ197" s="101"/>
      <c r="BR197" s="101"/>
      <c r="BS197" s="101"/>
      <c r="BT197" s="101"/>
      <c r="BU197" s="101"/>
      <c r="BV197" s="101"/>
      <c r="BW197" s="107"/>
      <c r="BX197" s="101"/>
      <c r="BY197" s="108"/>
      <c r="BZ197" s="108"/>
      <c r="CA197" s="109"/>
      <c r="CB197" s="101"/>
      <c r="CC197" s="101"/>
      <c r="CD197" s="101"/>
      <c r="CE197" s="101"/>
      <c r="CF197" s="101"/>
      <c r="CG197" s="101"/>
      <c r="CH197" s="101"/>
      <c r="CI197" s="101"/>
      <c r="CJ197" s="101"/>
      <c r="CK197" s="101"/>
      <c r="CL197" s="101"/>
      <c r="CM197" s="101"/>
      <c r="CN197" s="101"/>
      <c r="CO197" s="101"/>
      <c r="CP197" s="101"/>
      <c r="CQ197" s="101"/>
      <c r="CR197" s="101"/>
      <c r="CS197" s="101"/>
      <c r="CT197" s="101"/>
      <c r="CU197" s="109"/>
      <c r="CV197" s="110"/>
      <c r="CW197" s="109"/>
      <c r="CX197" s="110"/>
      <c r="CY197" s="101"/>
      <c r="CZ197" s="101"/>
      <c r="DA197" s="101"/>
      <c r="DB197" s="101"/>
      <c r="DC197" s="101"/>
      <c r="DD197" s="101"/>
      <c r="DE197" s="101"/>
      <c r="DF197" s="101"/>
      <c r="DG197" s="101"/>
      <c r="DH197" s="101"/>
      <c r="DI197" s="101"/>
      <c r="DJ197" s="101"/>
      <c r="DK197" s="101"/>
      <c r="DL197" s="101"/>
      <c r="DM197" s="101"/>
    </row>
    <row r="198" ht="21.75" customHeight="1">
      <c r="A198" s="101"/>
      <c r="B198" s="101"/>
      <c r="C198" s="101"/>
      <c r="D198" s="101"/>
      <c r="E198" s="103"/>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4"/>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5"/>
      <c r="AW198" s="105"/>
      <c r="AX198" s="106"/>
      <c r="AY198" s="106"/>
      <c r="AZ198" s="106"/>
      <c r="BA198" s="106"/>
      <c r="BB198" s="106"/>
      <c r="BC198" s="106"/>
      <c r="BD198" s="101"/>
      <c r="BE198" s="101"/>
      <c r="BF198" s="101"/>
      <c r="BG198" s="101"/>
      <c r="BH198" s="101"/>
      <c r="BI198" s="101"/>
      <c r="BJ198" s="101"/>
      <c r="BK198" s="101"/>
      <c r="BL198" s="101"/>
      <c r="BM198" s="101"/>
      <c r="BN198" s="101"/>
      <c r="BO198" s="101"/>
      <c r="BP198" s="101"/>
      <c r="BQ198" s="101"/>
      <c r="BR198" s="101"/>
      <c r="BS198" s="101"/>
      <c r="BT198" s="101"/>
      <c r="BU198" s="101"/>
      <c r="BV198" s="101"/>
      <c r="BW198" s="107"/>
      <c r="BX198" s="101"/>
      <c r="BY198" s="108"/>
      <c r="BZ198" s="108"/>
      <c r="CA198" s="109"/>
      <c r="CB198" s="101"/>
      <c r="CC198" s="101"/>
      <c r="CD198" s="101"/>
      <c r="CE198" s="101"/>
      <c r="CF198" s="101"/>
      <c r="CG198" s="101"/>
      <c r="CH198" s="101"/>
      <c r="CI198" s="101"/>
      <c r="CJ198" s="101"/>
      <c r="CK198" s="101"/>
      <c r="CL198" s="101"/>
      <c r="CM198" s="101"/>
      <c r="CN198" s="101"/>
      <c r="CO198" s="101"/>
      <c r="CP198" s="101"/>
      <c r="CQ198" s="101"/>
      <c r="CR198" s="101"/>
      <c r="CS198" s="101"/>
      <c r="CT198" s="101"/>
      <c r="CU198" s="109"/>
      <c r="CV198" s="110"/>
      <c r="CW198" s="109"/>
      <c r="CX198" s="110"/>
      <c r="CY198" s="101"/>
      <c r="CZ198" s="101"/>
      <c r="DA198" s="101"/>
      <c r="DB198" s="101"/>
      <c r="DC198" s="101"/>
      <c r="DD198" s="101"/>
      <c r="DE198" s="101"/>
      <c r="DF198" s="101"/>
      <c r="DG198" s="101"/>
      <c r="DH198" s="101"/>
      <c r="DI198" s="101"/>
      <c r="DJ198" s="101"/>
      <c r="DK198" s="101"/>
      <c r="DL198" s="101"/>
      <c r="DM198" s="101"/>
    </row>
    <row r="199" ht="21.75" customHeight="1">
      <c r="A199" s="101"/>
      <c r="B199" s="101"/>
      <c r="C199" s="101"/>
      <c r="D199" s="101"/>
      <c r="E199" s="103"/>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4"/>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5"/>
      <c r="AW199" s="105"/>
      <c r="AX199" s="106"/>
      <c r="AY199" s="106"/>
      <c r="AZ199" s="106"/>
      <c r="BA199" s="106"/>
      <c r="BB199" s="106"/>
      <c r="BC199" s="106"/>
      <c r="BD199" s="101"/>
      <c r="BE199" s="101"/>
      <c r="BF199" s="101"/>
      <c r="BG199" s="101"/>
      <c r="BH199" s="101"/>
      <c r="BI199" s="101"/>
      <c r="BJ199" s="101"/>
      <c r="BK199" s="101"/>
      <c r="BL199" s="101"/>
      <c r="BM199" s="101"/>
      <c r="BN199" s="101"/>
      <c r="BO199" s="101"/>
      <c r="BP199" s="101"/>
      <c r="BQ199" s="101"/>
      <c r="BR199" s="101"/>
      <c r="BS199" s="101"/>
      <c r="BT199" s="101"/>
      <c r="BU199" s="101"/>
      <c r="BV199" s="101"/>
      <c r="BW199" s="107"/>
      <c r="BX199" s="101"/>
      <c r="BY199" s="108"/>
      <c r="BZ199" s="108"/>
      <c r="CA199" s="109"/>
      <c r="CB199" s="101"/>
      <c r="CC199" s="101"/>
      <c r="CD199" s="101"/>
      <c r="CE199" s="101"/>
      <c r="CF199" s="101"/>
      <c r="CG199" s="101"/>
      <c r="CH199" s="101"/>
      <c r="CI199" s="101"/>
      <c r="CJ199" s="101"/>
      <c r="CK199" s="101"/>
      <c r="CL199" s="101"/>
      <c r="CM199" s="101"/>
      <c r="CN199" s="101"/>
      <c r="CO199" s="101"/>
      <c r="CP199" s="101"/>
      <c r="CQ199" s="101"/>
      <c r="CR199" s="101"/>
      <c r="CS199" s="101"/>
      <c r="CT199" s="101"/>
      <c r="CU199" s="109"/>
      <c r="CV199" s="110"/>
      <c r="CW199" s="109"/>
      <c r="CX199" s="110"/>
      <c r="CY199" s="101"/>
      <c r="CZ199" s="101"/>
      <c r="DA199" s="101"/>
      <c r="DB199" s="101"/>
      <c r="DC199" s="101"/>
      <c r="DD199" s="101"/>
      <c r="DE199" s="101"/>
      <c r="DF199" s="101"/>
      <c r="DG199" s="101"/>
      <c r="DH199" s="101"/>
      <c r="DI199" s="101"/>
      <c r="DJ199" s="101"/>
      <c r="DK199" s="101"/>
      <c r="DL199" s="101"/>
      <c r="DM199" s="101"/>
    </row>
    <row r="200" ht="21.75" customHeight="1">
      <c r="A200" s="101"/>
      <c r="B200" s="101"/>
      <c r="C200" s="101"/>
      <c r="D200" s="101"/>
      <c r="E200" s="103"/>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4"/>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5"/>
      <c r="AW200" s="105"/>
      <c r="AX200" s="106"/>
      <c r="AY200" s="106"/>
      <c r="AZ200" s="106"/>
      <c r="BA200" s="106"/>
      <c r="BB200" s="106"/>
      <c r="BC200" s="106"/>
      <c r="BD200" s="101"/>
      <c r="BE200" s="101"/>
      <c r="BF200" s="101"/>
      <c r="BG200" s="101"/>
      <c r="BH200" s="101"/>
      <c r="BI200" s="101"/>
      <c r="BJ200" s="101"/>
      <c r="BK200" s="101"/>
      <c r="BL200" s="101"/>
      <c r="BM200" s="101"/>
      <c r="BN200" s="101"/>
      <c r="BO200" s="101"/>
      <c r="BP200" s="101"/>
      <c r="BQ200" s="101"/>
      <c r="BR200" s="101"/>
      <c r="BS200" s="101"/>
      <c r="BT200" s="101"/>
      <c r="BU200" s="101"/>
      <c r="BV200" s="101"/>
      <c r="BW200" s="107"/>
      <c r="BX200" s="101"/>
      <c r="BY200" s="108"/>
      <c r="BZ200" s="108"/>
      <c r="CA200" s="109"/>
      <c r="CB200" s="101"/>
      <c r="CC200" s="101"/>
      <c r="CD200" s="101"/>
      <c r="CE200" s="101"/>
      <c r="CF200" s="101"/>
      <c r="CG200" s="101"/>
      <c r="CH200" s="101"/>
      <c r="CI200" s="101"/>
      <c r="CJ200" s="101"/>
      <c r="CK200" s="101"/>
      <c r="CL200" s="101"/>
      <c r="CM200" s="101"/>
      <c r="CN200" s="101"/>
      <c r="CO200" s="101"/>
      <c r="CP200" s="101"/>
      <c r="CQ200" s="101"/>
      <c r="CR200" s="101"/>
      <c r="CS200" s="101"/>
      <c r="CT200" s="101"/>
      <c r="CU200" s="109"/>
      <c r="CV200" s="110"/>
      <c r="CW200" s="109"/>
      <c r="CX200" s="110"/>
      <c r="CY200" s="101"/>
      <c r="CZ200" s="101"/>
      <c r="DA200" s="101"/>
      <c r="DB200" s="101"/>
      <c r="DC200" s="101"/>
      <c r="DD200" s="101"/>
      <c r="DE200" s="101"/>
      <c r="DF200" s="101"/>
      <c r="DG200" s="101"/>
      <c r="DH200" s="101"/>
      <c r="DI200" s="101"/>
      <c r="DJ200" s="101"/>
      <c r="DK200" s="101"/>
      <c r="DL200" s="101"/>
      <c r="DM200" s="101"/>
    </row>
    <row r="201" ht="21.75" customHeight="1">
      <c r="A201" s="101"/>
      <c r="B201" s="101"/>
      <c r="C201" s="101"/>
      <c r="D201" s="101"/>
      <c r="E201" s="103"/>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4"/>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5"/>
      <c r="AW201" s="105"/>
      <c r="AX201" s="106"/>
      <c r="AY201" s="106"/>
      <c r="AZ201" s="106"/>
      <c r="BA201" s="106"/>
      <c r="BB201" s="106"/>
      <c r="BC201" s="106"/>
      <c r="BD201" s="101"/>
      <c r="BE201" s="101"/>
      <c r="BF201" s="101"/>
      <c r="BG201" s="101"/>
      <c r="BH201" s="101"/>
      <c r="BI201" s="101"/>
      <c r="BJ201" s="101"/>
      <c r="BK201" s="101"/>
      <c r="BL201" s="101"/>
      <c r="BM201" s="101"/>
      <c r="BN201" s="101"/>
      <c r="BO201" s="101"/>
      <c r="BP201" s="101"/>
      <c r="BQ201" s="101"/>
      <c r="BR201" s="101"/>
      <c r="BS201" s="101"/>
      <c r="BT201" s="101"/>
      <c r="BU201" s="101"/>
      <c r="BV201" s="101"/>
      <c r="BW201" s="107"/>
      <c r="BX201" s="101"/>
      <c r="BY201" s="108"/>
      <c r="BZ201" s="108"/>
      <c r="CA201" s="109"/>
      <c r="CB201" s="101"/>
      <c r="CC201" s="101"/>
      <c r="CD201" s="101"/>
      <c r="CE201" s="101"/>
      <c r="CF201" s="101"/>
      <c r="CG201" s="101"/>
      <c r="CH201" s="101"/>
      <c r="CI201" s="101"/>
      <c r="CJ201" s="101"/>
      <c r="CK201" s="101"/>
      <c r="CL201" s="101"/>
      <c r="CM201" s="101"/>
      <c r="CN201" s="101"/>
      <c r="CO201" s="101"/>
      <c r="CP201" s="101"/>
      <c r="CQ201" s="101"/>
      <c r="CR201" s="101"/>
      <c r="CS201" s="101"/>
      <c r="CT201" s="101"/>
      <c r="CU201" s="109"/>
      <c r="CV201" s="110"/>
      <c r="CW201" s="109"/>
      <c r="CX201" s="110"/>
      <c r="CY201" s="101"/>
      <c r="CZ201" s="101"/>
      <c r="DA201" s="101"/>
      <c r="DB201" s="101"/>
      <c r="DC201" s="101"/>
      <c r="DD201" s="101"/>
      <c r="DE201" s="101"/>
      <c r="DF201" s="101"/>
      <c r="DG201" s="101"/>
      <c r="DH201" s="101"/>
      <c r="DI201" s="101"/>
      <c r="DJ201" s="101"/>
      <c r="DK201" s="101"/>
      <c r="DL201" s="101"/>
      <c r="DM201" s="101"/>
    </row>
    <row r="202" ht="21.75" customHeight="1">
      <c r="A202" s="101"/>
      <c r="B202" s="101"/>
      <c r="C202" s="101"/>
      <c r="D202" s="101"/>
      <c r="E202" s="103"/>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4"/>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5"/>
      <c r="AW202" s="105"/>
      <c r="AX202" s="106"/>
      <c r="AY202" s="106"/>
      <c r="AZ202" s="106"/>
      <c r="BA202" s="106"/>
      <c r="BB202" s="106"/>
      <c r="BC202" s="106"/>
      <c r="BD202" s="101"/>
      <c r="BE202" s="101"/>
      <c r="BF202" s="101"/>
      <c r="BG202" s="101"/>
      <c r="BH202" s="101"/>
      <c r="BI202" s="101"/>
      <c r="BJ202" s="101"/>
      <c r="BK202" s="101"/>
      <c r="BL202" s="101"/>
      <c r="BM202" s="101"/>
      <c r="BN202" s="101"/>
      <c r="BO202" s="101"/>
      <c r="BP202" s="101"/>
      <c r="BQ202" s="101"/>
      <c r="BR202" s="101"/>
      <c r="BS202" s="101"/>
      <c r="BT202" s="101"/>
      <c r="BU202" s="101"/>
      <c r="BV202" s="101"/>
      <c r="BW202" s="107"/>
      <c r="BX202" s="101"/>
      <c r="BY202" s="108"/>
      <c r="BZ202" s="108"/>
      <c r="CA202" s="109"/>
      <c r="CB202" s="101"/>
      <c r="CC202" s="101"/>
      <c r="CD202" s="101"/>
      <c r="CE202" s="101"/>
      <c r="CF202" s="101"/>
      <c r="CG202" s="101"/>
      <c r="CH202" s="101"/>
      <c r="CI202" s="101"/>
      <c r="CJ202" s="101"/>
      <c r="CK202" s="101"/>
      <c r="CL202" s="101"/>
      <c r="CM202" s="101"/>
      <c r="CN202" s="101"/>
      <c r="CO202" s="101"/>
      <c r="CP202" s="101"/>
      <c r="CQ202" s="101"/>
      <c r="CR202" s="101"/>
      <c r="CS202" s="101"/>
      <c r="CT202" s="101"/>
      <c r="CU202" s="109"/>
      <c r="CV202" s="110"/>
      <c r="CW202" s="109"/>
      <c r="CX202" s="110"/>
      <c r="CY202" s="101"/>
      <c r="CZ202" s="101"/>
      <c r="DA202" s="101"/>
      <c r="DB202" s="101"/>
      <c r="DC202" s="101"/>
      <c r="DD202" s="101"/>
      <c r="DE202" s="101"/>
      <c r="DF202" s="101"/>
      <c r="DG202" s="101"/>
      <c r="DH202" s="101"/>
      <c r="DI202" s="101"/>
      <c r="DJ202" s="101"/>
      <c r="DK202" s="101"/>
      <c r="DL202" s="101"/>
      <c r="DM202" s="101"/>
    </row>
    <row r="203" ht="21.75" customHeight="1">
      <c r="A203" s="101"/>
      <c r="B203" s="101"/>
      <c r="C203" s="101"/>
      <c r="D203" s="101"/>
      <c r="E203" s="103"/>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4"/>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5"/>
      <c r="AW203" s="105"/>
      <c r="AX203" s="106"/>
      <c r="AY203" s="106"/>
      <c r="AZ203" s="106"/>
      <c r="BA203" s="106"/>
      <c r="BB203" s="106"/>
      <c r="BC203" s="106"/>
      <c r="BD203" s="101"/>
      <c r="BE203" s="101"/>
      <c r="BF203" s="101"/>
      <c r="BG203" s="101"/>
      <c r="BH203" s="101"/>
      <c r="BI203" s="101"/>
      <c r="BJ203" s="101"/>
      <c r="BK203" s="101"/>
      <c r="BL203" s="101"/>
      <c r="BM203" s="101"/>
      <c r="BN203" s="101"/>
      <c r="BO203" s="101"/>
      <c r="BP203" s="101"/>
      <c r="BQ203" s="101"/>
      <c r="BR203" s="101"/>
      <c r="BS203" s="101"/>
      <c r="BT203" s="101"/>
      <c r="BU203" s="101"/>
      <c r="BV203" s="101"/>
      <c r="BW203" s="107"/>
      <c r="BX203" s="101"/>
      <c r="BY203" s="108"/>
      <c r="BZ203" s="108"/>
      <c r="CA203" s="109"/>
      <c r="CB203" s="101"/>
      <c r="CC203" s="101"/>
      <c r="CD203" s="101"/>
      <c r="CE203" s="101"/>
      <c r="CF203" s="101"/>
      <c r="CG203" s="101"/>
      <c r="CH203" s="101"/>
      <c r="CI203" s="101"/>
      <c r="CJ203" s="101"/>
      <c r="CK203" s="101"/>
      <c r="CL203" s="101"/>
      <c r="CM203" s="101"/>
      <c r="CN203" s="101"/>
      <c r="CO203" s="101"/>
      <c r="CP203" s="101"/>
      <c r="CQ203" s="101"/>
      <c r="CR203" s="101"/>
      <c r="CS203" s="101"/>
      <c r="CT203" s="101"/>
      <c r="CU203" s="109"/>
      <c r="CV203" s="110"/>
      <c r="CW203" s="109"/>
      <c r="CX203" s="110"/>
      <c r="CY203" s="101"/>
      <c r="CZ203" s="101"/>
      <c r="DA203" s="101"/>
      <c r="DB203" s="101"/>
      <c r="DC203" s="101"/>
      <c r="DD203" s="101"/>
      <c r="DE203" s="101"/>
      <c r="DF203" s="101"/>
      <c r="DG203" s="101"/>
      <c r="DH203" s="101"/>
      <c r="DI203" s="101"/>
      <c r="DJ203" s="101"/>
      <c r="DK203" s="101"/>
      <c r="DL203" s="101"/>
      <c r="DM203" s="101"/>
    </row>
    <row r="204" ht="21.75" customHeight="1">
      <c r="A204" s="101"/>
      <c r="B204" s="101"/>
      <c r="C204" s="101"/>
      <c r="D204" s="101"/>
      <c r="E204" s="103"/>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4"/>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5"/>
      <c r="AW204" s="105"/>
      <c r="AX204" s="106"/>
      <c r="AY204" s="106"/>
      <c r="AZ204" s="106"/>
      <c r="BA204" s="106"/>
      <c r="BB204" s="106"/>
      <c r="BC204" s="106"/>
      <c r="BD204" s="101"/>
      <c r="BE204" s="101"/>
      <c r="BF204" s="101"/>
      <c r="BG204" s="101"/>
      <c r="BH204" s="101"/>
      <c r="BI204" s="101"/>
      <c r="BJ204" s="101"/>
      <c r="BK204" s="101"/>
      <c r="BL204" s="101"/>
      <c r="BM204" s="101"/>
      <c r="BN204" s="101"/>
      <c r="BO204" s="101"/>
      <c r="BP204" s="101"/>
      <c r="BQ204" s="101"/>
      <c r="BR204" s="101"/>
      <c r="BS204" s="101"/>
      <c r="BT204" s="101"/>
      <c r="BU204" s="101"/>
      <c r="BV204" s="101"/>
      <c r="BW204" s="107"/>
      <c r="BX204" s="101"/>
      <c r="BY204" s="108"/>
      <c r="BZ204" s="108"/>
      <c r="CA204" s="109"/>
      <c r="CB204" s="101"/>
      <c r="CC204" s="101"/>
      <c r="CD204" s="101"/>
      <c r="CE204" s="101"/>
      <c r="CF204" s="101"/>
      <c r="CG204" s="101"/>
      <c r="CH204" s="101"/>
      <c r="CI204" s="101"/>
      <c r="CJ204" s="101"/>
      <c r="CK204" s="101"/>
      <c r="CL204" s="101"/>
      <c r="CM204" s="101"/>
      <c r="CN204" s="101"/>
      <c r="CO204" s="101"/>
      <c r="CP204" s="101"/>
      <c r="CQ204" s="101"/>
      <c r="CR204" s="101"/>
      <c r="CS204" s="101"/>
      <c r="CT204" s="101"/>
      <c r="CU204" s="109"/>
      <c r="CV204" s="110"/>
      <c r="CW204" s="109"/>
      <c r="CX204" s="110"/>
      <c r="CY204" s="101"/>
      <c r="CZ204" s="101"/>
      <c r="DA204" s="101"/>
      <c r="DB204" s="101"/>
      <c r="DC204" s="101"/>
      <c r="DD204" s="101"/>
      <c r="DE204" s="101"/>
      <c r="DF204" s="101"/>
      <c r="DG204" s="101"/>
      <c r="DH204" s="101"/>
      <c r="DI204" s="101"/>
      <c r="DJ204" s="101"/>
      <c r="DK204" s="101"/>
      <c r="DL204" s="101"/>
      <c r="DM204" s="101"/>
    </row>
    <row r="205" ht="21.75" customHeight="1">
      <c r="A205" s="101"/>
      <c r="B205" s="101"/>
      <c r="C205" s="101"/>
      <c r="D205" s="101"/>
      <c r="E205" s="103"/>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4"/>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5"/>
      <c r="AW205" s="105"/>
      <c r="AX205" s="106"/>
      <c r="AY205" s="106"/>
      <c r="AZ205" s="106"/>
      <c r="BA205" s="106"/>
      <c r="BB205" s="106"/>
      <c r="BC205" s="106"/>
      <c r="BD205" s="101"/>
      <c r="BE205" s="101"/>
      <c r="BF205" s="101"/>
      <c r="BG205" s="101"/>
      <c r="BH205" s="101"/>
      <c r="BI205" s="101"/>
      <c r="BJ205" s="101"/>
      <c r="BK205" s="101"/>
      <c r="BL205" s="101"/>
      <c r="BM205" s="101"/>
      <c r="BN205" s="101"/>
      <c r="BO205" s="101"/>
      <c r="BP205" s="101"/>
      <c r="BQ205" s="101"/>
      <c r="BR205" s="101"/>
      <c r="BS205" s="101"/>
      <c r="BT205" s="101"/>
      <c r="BU205" s="101"/>
      <c r="BV205" s="101"/>
      <c r="BW205" s="107"/>
      <c r="BX205" s="101"/>
      <c r="BY205" s="108"/>
      <c r="BZ205" s="108"/>
      <c r="CA205" s="109"/>
      <c r="CB205" s="101"/>
      <c r="CC205" s="101"/>
      <c r="CD205" s="101"/>
      <c r="CE205" s="101"/>
      <c r="CF205" s="101"/>
      <c r="CG205" s="101"/>
      <c r="CH205" s="101"/>
      <c r="CI205" s="101"/>
      <c r="CJ205" s="101"/>
      <c r="CK205" s="101"/>
      <c r="CL205" s="101"/>
      <c r="CM205" s="101"/>
      <c r="CN205" s="101"/>
      <c r="CO205" s="101"/>
      <c r="CP205" s="101"/>
      <c r="CQ205" s="101"/>
      <c r="CR205" s="101"/>
      <c r="CS205" s="101"/>
      <c r="CT205" s="101"/>
      <c r="CU205" s="109"/>
      <c r="CV205" s="110"/>
      <c r="CW205" s="109"/>
      <c r="CX205" s="110"/>
      <c r="CY205" s="101"/>
      <c r="CZ205" s="101"/>
      <c r="DA205" s="101"/>
      <c r="DB205" s="101"/>
      <c r="DC205" s="101"/>
      <c r="DD205" s="101"/>
      <c r="DE205" s="101"/>
      <c r="DF205" s="101"/>
      <c r="DG205" s="101"/>
      <c r="DH205" s="101"/>
      <c r="DI205" s="101"/>
      <c r="DJ205" s="101"/>
      <c r="DK205" s="101"/>
      <c r="DL205" s="101"/>
      <c r="DM205" s="101"/>
    </row>
    <row r="206" ht="21.75" customHeight="1">
      <c r="A206" s="101"/>
      <c r="B206" s="101"/>
      <c r="C206" s="101"/>
      <c r="D206" s="101"/>
      <c r="E206" s="103"/>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4"/>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5"/>
      <c r="AW206" s="105"/>
      <c r="AX206" s="106"/>
      <c r="AY206" s="106"/>
      <c r="AZ206" s="106"/>
      <c r="BA206" s="106"/>
      <c r="BB206" s="106"/>
      <c r="BC206" s="106"/>
      <c r="BD206" s="101"/>
      <c r="BE206" s="101"/>
      <c r="BF206" s="101"/>
      <c r="BG206" s="101"/>
      <c r="BH206" s="101"/>
      <c r="BI206" s="101"/>
      <c r="BJ206" s="101"/>
      <c r="BK206" s="101"/>
      <c r="BL206" s="101"/>
      <c r="BM206" s="101"/>
      <c r="BN206" s="101"/>
      <c r="BO206" s="101"/>
      <c r="BP206" s="101"/>
      <c r="BQ206" s="101"/>
      <c r="BR206" s="101"/>
      <c r="BS206" s="101"/>
      <c r="BT206" s="101"/>
      <c r="BU206" s="101"/>
      <c r="BV206" s="101"/>
      <c r="BW206" s="107"/>
      <c r="BX206" s="101"/>
      <c r="BY206" s="108"/>
      <c r="BZ206" s="108"/>
      <c r="CA206" s="109"/>
      <c r="CB206" s="101"/>
      <c r="CC206" s="101"/>
      <c r="CD206" s="101"/>
      <c r="CE206" s="101"/>
      <c r="CF206" s="101"/>
      <c r="CG206" s="101"/>
      <c r="CH206" s="101"/>
      <c r="CI206" s="101"/>
      <c r="CJ206" s="101"/>
      <c r="CK206" s="101"/>
      <c r="CL206" s="101"/>
      <c r="CM206" s="101"/>
      <c r="CN206" s="101"/>
      <c r="CO206" s="101"/>
      <c r="CP206" s="101"/>
      <c r="CQ206" s="101"/>
      <c r="CR206" s="101"/>
      <c r="CS206" s="101"/>
      <c r="CT206" s="101"/>
      <c r="CU206" s="109"/>
      <c r="CV206" s="110"/>
      <c r="CW206" s="109"/>
      <c r="CX206" s="110"/>
      <c r="CY206" s="101"/>
      <c r="CZ206" s="101"/>
      <c r="DA206" s="101"/>
      <c r="DB206" s="101"/>
      <c r="DC206" s="101"/>
      <c r="DD206" s="101"/>
      <c r="DE206" s="101"/>
      <c r="DF206" s="101"/>
      <c r="DG206" s="101"/>
      <c r="DH206" s="101"/>
      <c r="DI206" s="101"/>
      <c r="DJ206" s="101"/>
      <c r="DK206" s="101"/>
      <c r="DL206" s="101"/>
      <c r="DM206" s="101"/>
    </row>
    <row r="207" ht="21.75" customHeight="1">
      <c r="A207" s="101"/>
      <c r="B207" s="101"/>
      <c r="C207" s="101"/>
      <c r="D207" s="101"/>
      <c r="E207" s="103"/>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4"/>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5"/>
      <c r="AW207" s="105"/>
      <c r="AX207" s="106"/>
      <c r="AY207" s="106"/>
      <c r="AZ207" s="106"/>
      <c r="BA207" s="106"/>
      <c r="BB207" s="106"/>
      <c r="BC207" s="106"/>
      <c r="BD207" s="101"/>
      <c r="BE207" s="101"/>
      <c r="BF207" s="101"/>
      <c r="BG207" s="101"/>
      <c r="BH207" s="101"/>
      <c r="BI207" s="101"/>
      <c r="BJ207" s="101"/>
      <c r="BK207" s="101"/>
      <c r="BL207" s="101"/>
      <c r="BM207" s="101"/>
      <c r="BN207" s="101"/>
      <c r="BO207" s="101"/>
      <c r="BP207" s="101"/>
      <c r="BQ207" s="101"/>
      <c r="BR207" s="101"/>
      <c r="BS207" s="101"/>
      <c r="BT207" s="101"/>
      <c r="BU207" s="101"/>
      <c r="BV207" s="101"/>
      <c r="BW207" s="107"/>
      <c r="BX207" s="101"/>
      <c r="BY207" s="108"/>
      <c r="BZ207" s="108"/>
      <c r="CA207" s="109"/>
      <c r="CB207" s="101"/>
      <c r="CC207" s="101"/>
      <c r="CD207" s="101"/>
      <c r="CE207" s="101"/>
      <c r="CF207" s="101"/>
      <c r="CG207" s="101"/>
      <c r="CH207" s="101"/>
      <c r="CI207" s="101"/>
      <c r="CJ207" s="101"/>
      <c r="CK207" s="101"/>
      <c r="CL207" s="101"/>
      <c r="CM207" s="101"/>
      <c r="CN207" s="101"/>
      <c r="CO207" s="101"/>
      <c r="CP207" s="101"/>
      <c r="CQ207" s="101"/>
      <c r="CR207" s="101"/>
      <c r="CS207" s="101"/>
      <c r="CT207" s="101"/>
      <c r="CU207" s="109"/>
      <c r="CV207" s="110"/>
      <c r="CW207" s="109"/>
      <c r="CX207" s="110"/>
      <c r="CY207" s="101"/>
      <c r="CZ207" s="101"/>
      <c r="DA207" s="101"/>
      <c r="DB207" s="101"/>
      <c r="DC207" s="101"/>
      <c r="DD207" s="101"/>
      <c r="DE207" s="101"/>
      <c r="DF207" s="101"/>
      <c r="DG207" s="101"/>
      <c r="DH207" s="101"/>
      <c r="DI207" s="101"/>
      <c r="DJ207" s="101"/>
      <c r="DK207" s="101"/>
      <c r="DL207" s="101"/>
      <c r="DM207" s="101"/>
    </row>
    <row r="208" ht="21.75" customHeight="1">
      <c r="A208" s="101"/>
      <c r="B208" s="101"/>
      <c r="C208" s="101"/>
      <c r="D208" s="101"/>
      <c r="E208" s="103"/>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4"/>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5"/>
      <c r="AW208" s="105"/>
      <c r="AX208" s="106"/>
      <c r="AY208" s="106"/>
      <c r="AZ208" s="106"/>
      <c r="BA208" s="106"/>
      <c r="BB208" s="106"/>
      <c r="BC208" s="106"/>
      <c r="BD208" s="101"/>
      <c r="BE208" s="101"/>
      <c r="BF208" s="101"/>
      <c r="BG208" s="101"/>
      <c r="BH208" s="101"/>
      <c r="BI208" s="101"/>
      <c r="BJ208" s="101"/>
      <c r="BK208" s="101"/>
      <c r="BL208" s="101"/>
      <c r="BM208" s="101"/>
      <c r="BN208" s="101"/>
      <c r="BO208" s="101"/>
      <c r="BP208" s="101"/>
      <c r="BQ208" s="101"/>
      <c r="BR208" s="101"/>
      <c r="BS208" s="101"/>
      <c r="BT208" s="101"/>
      <c r="BU208" s="101"/>
      <c r="BV208" s="101"/>
      <c r="BW208" s="107"/>
      <c r="BX208" s="101"/>
      <c r="BY208" s="108"/>
      <c r="BZ208" s="108"/>
      <c r="CA208" s="109"/>
      <c r="CB208" s="101"/>
      <c r="CC208" s="101"/>
      <c r="CD208" s="101"/>
      <c r="CE208" s="101"/>
      <c r="CF208" s="101"/>
      <c r="CG208" s="101"/>
      <c r="CH208" s="101"/>
      <c r="CI208" s="101"/>
      <c r="CJ208" s="101"/>
      <c r="CK208" s="101"/>
      <c r="CL208" s="101"/>
      <c r="CM208" s="101"/>
      <c r="CN208" s="101"/>
      <c r="CO208" s="101"/>
      <c r="CP208" s="101"/>
      <c r="CQ208" s="101"/>
      <c r="CR208" s="101"/>
      <c r="CS208" s="101"/>
      <c r="CT208" s="101"/>
      <c r="CU208" s="109"/>
      <c r="CV208" s="110"/>
      <c r="CW208" s="109"/>
      <c r="CX208" s="110"/>
      <c r="CY208" s="101"/>
      <c r="CZ208" s="101"/>
      <c r="DA208" s="101"/>
      <c r="DB208" s="101"/>
      <c r="DC208" s="101"/>
      <c r="DD208" s="101"/>
      <c r="DE208" s="101"/>
      <c r="DF208" s="101"/>
      <c r="DG208" s="101"/>
      <c r="DH208" s="101"/>
      <c r="DI208" s="101"/>
      <c r="DJ208" s="101"/>
      <c r="DK208" s="101"/>
      <c r="DL208" s="101"/>
      <c r="DM208" s="101"/>
    </row>
    <row r="209" ht="21.75" customHeight="1">
      <c r="A209" s="101"/>
      <c r="B209" s="101"/>
      <c r="C209" s="101"/>
      <c r="D209" s="101"/>
      <c r="E209" s="103"/>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4"/>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5"/>
      <c r="AW209" s="105"/>
      <c r="AX209" s="106"/>
      <c r="AY209" s="106"/>
      <c r="AZ209" s="106"/>
      <c r="BA209" s="106"/>
      <c r="BB209" s="106"/>
      <c r="BC209" s="106"/>
      <c r="BD209" s="101"/>
      <c r="BE209" s="101"/>
      <c r="BF209" s="101"/>
      <c r="BG209" s="101"/>
      <c r="BH209" s="101"/>
      <c r="BI209" s="101"/>
      <c r="BJ209" s="101"/>
      <c r="BK209" s="101"/>
      <c r="BL209" s="101"/>
      <c r="BM209" s="101"/>
      <c r="BN209" s="101"/>
      <c r="BO209" s="101"/>
      <c r="BP209" s="101"/>
      <c r="BQ209" s="101"/>
      <c r="BR209" s="101"/>
      <c r="BS209" s="101"/>
      <c r="BT209" s="101"/>
      <c r="BU209" s="101"/>
      <c r="BV209" s="101"/>
      <c r="BW209" s="107"/>
      <c r="BX209" s="101"/>
      <c r="BY209" s="108"/>
      <c r="BZ209" s="108"/>
      <c r="CA209" s="109"/>
      <c r="CB209" s="101"/>
      <c r="CC209" s="101"/>
      <c r="CD209" s="101"/>
      <c r="CE209" s="101"/>
      <c r="CF209" s="101"/>
      <c r="CG209" s="101"/>
      <c r="CH209" s="101"/>
      <c r="CI209" s="101"/>
      <c r="CJ209" s="101"/>
      <c r="CK209" s="101"/>
      <c r="CL209" s="101"/>
      <c r="CM209" s="101"/>
      <c r="CN209" s="101"/>
      <c r="CO209" s="101"/>
      <c r="CP209" s="101"/>
      <c r="CQ209" s="101"/>
      <c r="CR209" s="101"/>
      <c r="CS209" s="101"/>
      <c r="CT209" s="101"/>
      <c r="CU209" s="109"/>
      <c r="CV209" s="110"/>
      <c r="CW209" s="109"/>
      <c r="CX209" s="110"/>
      <c r="CY209" s="101"/>
      <c r="CZ209" s="101"/>
      <c r="DA209" s="101"/>
      <c r="DB209" s="101"/>
      <c r="DC209" s="101"/>
      <c r="DD209" s="101"/>
      <c r="DE209" s="101"/>
      <c r="DF209" s="101"/>
      <c r="DG209" s="101"/>
      <c r="DH209" s="101"/>
      <c r="DI209" s="101"/>
      <c r="DJ209" s="101"/>
      <c r="DK209" s="101"/>
      <c r="DL209" s="101"/>
      <c r="DM209" s="101"/>
    </row>
    <row r="210" ht="21.75" customHeight="1">
      <c r="A210" s="101"/>
      <c r="B210" s="101"/>
      <c r="C210" s="101"/>
      <c r="D210" s="101"/>
      <c r="E210" s="103"/>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4"/>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5"/>
      <c r="AW210" s="105"/>
      <c r="AX210" s="106"/>
      <c r="AY210" s="106"/>
      <c r="AZ210" s="106"/>
      <c r="BA210" s="106"/>
      <c r="BB210" s="106"/>
      <c r="BC210" s="106"/>
      <c r="BD210" s="101"/>
      <c r="BE210" s="101"/>
      <c r="BF210" s="101"/>
      <c r="BG210" s="101"/>
      <c r="BH210" s="101"/>
      <c r="BI210" s="101"/>
      <c r="BJ210" s="101"/>
      <c r="BK210" s="101"/>
      <c r="BL210" s="101"/>
      <c r="BM210" s="101"/>
      <c r="BN210" s="101"/>
      <c r="BO210" s="101"/>
      <c r="BP210" s="101"/>
      <c r="BQ210" s="101"/>
      <c r="BR210" s="101"/>
      <c r="BS210" s="101"/>
      <c r="BT210" s="101"/>
      <c r="BU210" s="101"/>
      <c r="BV210" s="101"/>
      <c r="BW210" s="107"/>
      <c r="BX210" s="101"/>
      <c r="BY210" s="108"/>
      <c r="BZ210" s="108"/>
      <c r="CA210" s="109"/>
      <c r="CB210" s="101"/>
      <c r="CC210" s="101"/>
      <c r="CD210" s="101"/>
      <c r="CE210" s="101"/>
      <c r="CF210" s="101"/>
      <c r="CG210" s="101"/>
      <c r="CH210" s="101"/>
      <c r="CI210" s="101"/>
      <c r="CJ210" s="101"/>
      <c r="CK210" s="101"/>
      <c r="CL210" s="101"/>
      <c r="CM210" s="101"/>
      <c r="CN210" s="101"/>
      <c r="CO210" s="101"/>
      <c r="CP210" s="101"/>
      <c r="CQ210" s="101"/>
      <c r="CR210" s="101"/>
      <c r="CS210" s="101"/>
      <c r="CT210" s="101"/>
      <c r="CU210" s="109"/>
      <c r="CV210" s="110"/>
      <c r="CW210" s="109"/>
      <c r="CX210" s="110"/>
      <c r="CY210" s="101"/>
      <c r="CZ210" s="101"/>
      <c r="DA210" s="101"/>
      <c r="DB210" s="101"/>
      <c r="DC210" s="101"/>
      <c r="DD210" s="101"/>
      <c r="DE210" s="101"/>
      <c r="DF210" s="101"/>
      <c r="DG210" s="101"/>
      <c r="DH210" s="101"/>
      <c r="DI210" s="101"/>
      <c r="DJ210" s="101"/>
      <c r="DK210" s="101"/>
      <c r="DL210" s="101"/>
      <c r="DM210" s="101"/>
    </row>
    <row r="211" ht="21.75" customHeight="1">
      <c r="A211" s="101"/>
      <c r="B211" s="101"/>
      <c r="C211" s="101"/>
      <c r="D211" s="101"/>
      <c r="E211" s="103"/>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4"/>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5"/>
      <c r="AW211" s="105"/>
      <c r="AX211" s="106"/>
      <c r="AY211" s="106"/>
      <c r="AZ211" s="106"/>
      <c r="BA211" s="106"/>
      <c r="BB211" s="106"/>
      <c r="BC211" s="106"/>
      <c r="BD211" s="101"/>
      <c r="BE211" s="101"/>
      <c r="BF211" s="101"/>
      <c r="BG211" s="101"/>
      <c r="BH211" s="101"/>
      <c r="BI211" s="101"/>
      <c r="BJ211" s="101"/>
      <c r="BK211" s="101"/>
      <c r="BL211" s="101"/>
      <c r="BM211" s="101"/>
      <c r="BN211" s="101"/>
      <c r="BO211" s="101"/>
      <c r="BP211" s="101"/>
      <c r="BQ211" s="101"/>
      <c r="BR211" s="101"/>
      <c r="BS211" s="101"/>
      <c r="BT211" s="101"/>
      <c r="BU211" s="101"/>
      <c r="BV211" s="101"/>
      <c r="BW211" s="107"/>
      <c r="BX211" s="101"/>
      <c r="BY211" s="108"/>
      <c r="BZ211" s="108"/>
      <c r="CA211" s="109"/>
      <c r="CB211" s="101"/>
      <c r="CC211" s="101"/>
      <c r="CD211" s="101"/>
      <c r="CE211" s="101"/>
      <c r="CF211" s="101"/>
      <c r="CG211" s="101"/>
      <c r="CH211" s="101"/>
      <c r="CI211" s="101"/>
      <c r="CJ211" s="101"/>
      <c r="CK211" s="101"/>
      <c r="CL211" s="101"/>
      <c r="CM211" s="101"/>
      <c r="CN211" s="101"/>
      <c r="CO211" s="101"/>
      <c r="CP211" s="101"/>
      <c r="CQ211" s="101"/>
      <c r="CR211" s="101"/>
      <c r="CS211" s="101"/>
      <c r="CT211" s="101"/>
      <c r="CU211" s="109"/>
      <c r="CV211" s="110"/>
      <c r="CW211" s="109"/>
      <c r="CX211" s="110"/>
      <c r="CY211" s="101"/>
      <c r="CZ211" s="101"/>
      <c r="DA211" s="101"/>
      <c r="DB211" s="101"/>
      <c r="DC211" s="101"/>
      <c r="DD211" s="101"/>
      <c r="DE211" s="101"/>
      <c r="DF211" s="101"/>
      <c r="DG211" s="101"/>
      <c r="DH211" s="101"/>
      <c r="DI211" s="101"/>
      <c r="DJ211" s="101"/>
      <c r="DK211" s="101"/>
      <c r="DL211" s="101"/>
      <c r="DM211" s="101"/>
    </row>
    <row r="212" ht="21.75" customHeight="1">
      <c r="A212" s="101"/>
      <c r="B212" s="101"/>
      <c r="C212" s="101"/>
      <c r="D212" s="101"/>
      <c r="E212" s="103"/>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4"/>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5"/>
      <c r="AW212" s="105"/>
      <c r="AX212" s="106"/>
      <c r="AY212" s="106"/>
      <c r="AZ212" s="106"/>
      <c r="BA212" s="106"/>
      <c r="BB212" s="106"/>
      <c r="BC212" s="106"/>
      <c r="BD212" s="101"/>
      <c r="BE212" s="101"/>
      <c r="BF212" s="101"/>
      <c r="BG212" s="101"/>
      <c r="BH212" s="101"/>
      <c r="BI212" s="101"/>
      <c r="BJ212" s="101"/>
      <c r="BK212" s="101"/>
      <c r="BL212" s="101"/>
      <c r="BM212" s="101"/>
      <c r="BN212" s="101"/>
      <c r="BO212" s="101"/>
      <c r="BP212" s="101"/>
      <c r="BQ212" s="101"/>
      <c r="BR212" s="101"/>
      <c r="BS212" s="101"/>
      <c r="BT212" s="101"/>
      <c r="BU212" s="101"/>
      <c r="BV212" s="101"/>
      <c r="BW212" s="107"/>
      <c r="BX212" s="101"/>
      <c r="BY212" s="108"/>
      <c r="BZ212" s="108"/>
      <c r="CA212" s="109"/>
      <c r="CB212" s="101"/>
      <c r="CC212" s="101"/>
      <c r="CD212" s="101"/>
      <c r="CE212" s="101"/>
      <c r="CF212" s="101"/>
      <c r="CG212" s="101"/>
      <c r="CH212" s="101"/>
      <c r="CI212" s="101"/>
      <c r="CJ212" s="101"/>
      <c r="CK212" s="101"/>
      <c r="CL212" s="101"/>
      <c r="CM212" s="101"/>
      <c r="CN212" s="101"/>
      <c r="CO212" s="101"/>
      <c r="CP212" s="101"/>
      <c r="CQ212" s="101"/>
      <c r="CR212" s="101"/>
      <c r="CS212" s="101"/>
      <c r="CT212" s="101"/>
      <c r="CU212" s="109"/>
      <c r="CV212" s="110"/>
      <c r="CW212" s="109"/>
      <c r="CX212" s="110"/>
      <c r="CY212" s="101"/>
      <c r="CZ212" s="101"/>
      <c r="DA212" s="101"/>
      <c r="DB212" s="101"/>
      <c r="DC212" s="101"/>
      <c r="DD212" s="101"/>
      <c r="DE212" s="101"/>
      <c r="DF212" s="101"/>
      <c r="DG212" s="101"/>
      <c r="DH212" s="101"/>
      <c r="DI212" s="101"/>
      <c r="DJ212" s="101"/>
      <c r="DK212" s="101"/>
      <c r="DL212" s="101"/>
      <c r="DM212" s="101"/>
    </row>
    <row r="213" ht="21.75" customHeight="1">
      <c r="A213" s="101"/>
      <c r="B213" s="101"/>
      <c r="C213" s="101"/>
      <c r="D213" s="101"/>
      <c r="E213" s="103"/>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4"/>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5"/>
      <c r="AW213" s="105"/>
      <c r="AX213" s="106"/>
      <c r="AY213" s="106"/>
      <c r="AZ213" s="106"/>
      <c r="BA213" s="106"/>
      <c r="BB213" s="106"/>
      <c r="BC213" s="106"/>
      <c r="BD213" s="101"/>
      <c r="BE213" s="101"/>
      <c r="BF213" s="101"/>
      <c r="BG213" s="101"/>
      <c r="BH213" s="101"/>
      <c r="BI213" s="101"/>
      <c r="BJ213" s="101"/>
      <c r="BK213" s="101"/>
      <c r="BL213" s="101"/>
      <c r="BM213" s="101"/>
      <c r="BN213" s="101"/>
      <c r="BO213" s="101"/>
      <c r="BP213" s="101"/>
      <c r="BQ213" s="101"/>
      <c r="BR213" s="101"/>
      <c r="BS213" s="101"/>
      <c r="BT213" s="101"/>
      <c r="BU213" s="101"/>
      <c r="BV213" s="101"/>
      <c r="BW213" s="107"/>
      <c r="BX213" s="101"/>
      <c r="BY213" s="108"/>
      <c r="BZ213" s="108"/>
      <c r="CA213" s="109"/>
      <c r="CB213" s="101"/>
      <c r="CC213" s="101"/>
      <c r="CD213" s="101"/>
      <c r="CE213" s="101"/>
      <c r="CF213" s="101"/>
      <c r="CG213" s="101"/>
      <c r="CH213" s="101"/>
      <c r="CI213" s="101"/>
      <c r="CJ213" s="101"/>
      <c r="CK213" s="101"/>
      <c r="CL213" s="101"/>
      <c r="CM213" s="101"/>
      <c r="CN213" s="101"/>
      <c r="CO213" s="101"/>
      <c r="CP213" s="101"/>
      <c r="CQ213" s="101"/>
      <c r="CR213" s="101"/>
      <c r="CS213" s="101"/>
      <c r="CT213" s="101"/>
      <c r="CU213" s="109"/>
      <c r="CV213" s="110"/>
      <c r="CW213" s="109"/>
      <c r="CX213" s="110"/>
      <c r="CY213" s="101"/>
      <c r="CZ213" s="101"/>
      <c r="DA213" s="101"/>
      <c r="DB213" s="101"/>
      <c r="DC213" s="101"/>
      <c r="DD213" s="101"/>
      <c r="DE213" s="101"/>
      <c r="DF213" s="101"/>
      <c r="DG213" s="101"/>
      <c r="DH213" s="101"/>
      <c r="DI213" s="101"/>
      <c r="DJ213" s="101"/>
      <c r="DK213" s="101"/>
      <c r="DL213" s="101"/>
      <c r="DM213" s="101"/>
    </row>
    <row r="214" ht="21.75" customHeight="1">
      <c r="A214" s="101"/>
      <c r="B214" s="101"/>
      <c r="C214" s="101"/>
      <c r="D214" s="101"/>
      <c r="E214" s="103"/>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4"/>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5"/>
      <c r="AW214" s="105"/>
      <c r="AX214" s="106"/>
      <c r="AY214" s="106"/>
      <c r="AZ214" s="106"/>
      <c r="BA214" s="106"/>
      <c r="BB214" s="106"/>
      <c r="BC214" s="106"/>
      <c r="BD214" s="101"/>
      <c r="BE214" s="101"/>
      <c r="BF214" s="101"/>
      <c r="BG214" s="101"/>
      <c r="BH214" s="101"/>
      <c r="BI214" s="101"/>
      <c r="BJ214" s="101"/>
      <c r="BK214" s="101"/>
      <c r="BL214" s="101"/>
      <c r="BM214" s="101"/>
      <c r="BN214" s="101"/>
      <c r="BO214" s="101"/>
      <c r="BP214" s="101"/>
      <c r="BQ214" s="101"/>
      <c r="BR214" s="101"/>
      <c r="BS214" s="101"/>
      <c r="BT214" s="101"/>
      <c r="BU214" s="101"/>
      <c r="BV214" s="101"/>
      <c r="BW214" s="107"/>
      <c r="BX214" s="101"/>
      <c r="BY214" s="108"/>
      <c r="BZ214" s="108"/>
      <c r="CA214" s="109"/>
      <c r="CB214" s="101"/>
      <c r="CC214" s="101"/>
      <c r="CD214" s="101"/>
      <c r="CE214" s="101"/>
      <c r="CF214" s="101"/>
      <c r="CG214" s="101"/>
      <c r="CH214" s="101"/>
      <c r="CI214" s="101"/>
      <c r="CJ214" s="101"/>
      <c r="CK214" s="101"/>
      <c r="CL214" s="101"/>
      <c r="CM214" s="101"/>
      <c r="CN214" s="101"/>
      <c r="CO214" s="101"/>
      <c r="CP214" s="101"/>
      <c r="CQ214" s="101"/>
      <c r="CR214" s="101"/>
      <c r="CS214" s="101"/>
      <c r="CT214" s="101"/>
      <c r="CU214" s="109"/>
      <c r="CV214" s="110"/>
      <c r="CW214" s="109"/>
      <c r="CX214" s="110"/>
      <c r="CY214" s="101"/>
      <c r="CZ214" s="101"/>
      <c r="DA214" s="101"/>
      <c r="DB214" s="101"/>
      <c r="DC214" s="101"/>
      <c r="DD214" s="101"/>
      <c r="DE214" s="101"/>
      <c r="DF214" s="101"/>
      <c r="DG214" s="101"/>
      <c r="DH214" s="101"/>
      <c r="DI214" s="101"/>
      <c r="DJ214" s="101"/>
      <c r="DK214" s="101"/>
      <c r="DL214" s="101"/>
      <c r="DM214" s="101"/>
    </row>
    <row r="215" ht="21.75" customHeight="1">
      <c r="A215" s="101"/>
      <c r="B215" s="101"/>
      <c r="C215" s="101"/>
      <c r="D215" s="101"/>
      <c r="E215" s="103"/>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4"/>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5"/>
      <c r="AW215" s="105"/>
      <c r="AX215" s="106"/>
      <c r="AY215" s="106"/>
      <c r="AZ215" s="106"/>
      <c r="BA215" s="106"/>
      <c r="BB215" s="106"/>
      <c r="BC215" s="106"/>
      <c r="BD215" s="101"/>
      <c r="BE215" s="101"/>
      <c r="BF215" s="101"/>
      <c r="BG215" s="101"/>
      <c r="BH215" s="101"/>
      <c r="BI215" s="101"/>
      <c r="BJ215" s="101"/>
      <c r="BK215" s="101"/>
      <c r="BL215" s="101"/>
      <c r="BM215" s="101"/>
      <c r="BN215" s="101"/>
      <c r="BO215" s="101"/>
      <c r="BP215" s="101"/>
      <c r="BQ215" s="101"/>
      <c r="BR215" s="101"/>
      <c r="BS215" s="101"/>
      <c r="BT215" s="101"/>
      <c r="BU215" s="101"/>
      <c r="BV215" s="101"/>
      <c r="BW215" s="107"/>
      <c r="BX215" s="101"/>
      <c r="BY215" s="108"/>
      <c r="BZ215" s="108"/>
      <c r="CA215" s="109"/>
      <c r="CB215" s="101"/>
      <c r="CC215" s="101"/>
      <c r="CD215" s="101"/>
      <c r="CE215" s="101"/>
      <c r="CF215" s="101"/>
      <c r="CG215" s="101"/>
      <c r="CH215" s="101"/>
      <c r="CI215" s="101"/>
      <c r="CJ215" s="101"/>
      <c r="CK215" s="101"/>
      <c r="CL215" s="101"/>
      <c r="CM215" s="101"/>
      <c r="CN215" s="101"/>
      <c r="CO215" s="101"/>
      <c r="CP215" s="101"/>
      <c r="CQ215" s="101"/>
      <c r="CR215" s="101"/>
      <c r="CS215" s="101"/>
      <c r="CT215" s="101"/>
      <c r="CU215" s="109"/>
      <c r="CV215" s="110"/>
      <c r="CW215" s="109"/>
      <c r="CX215" s="110"/>
      <c r="CY215" s="101"/>
      <c r="CZ215" s="101"/>
      <c r="DA215" s="101"/>
      <c r="DB215" s="101"/>
      <c r="DC215" s="101"/>
      <c r="DD215" s="101"/>
      <c r="DE215" s="101"/>
      <c r="DF215" s="101"/>
      <c r="DG215" s="101"/>
      <c r="DH215" s="101"/>
      <c r="DI215" s="101"/>
      <c r="DJ215" s="101"/>
      <c r="DK215" s="101"/>
      <c r="DL215" s="101"/>
      <c r="DM215" s="101"/>
    </row>
    <row r="216" ht="21.75" customHeight="1">
      <c r="A216" s="101"/>
      <c r="B216" s="101"/>
      <c r="C216" s="101"/>
      <c r="D216" s="101"/>
      <c r="E216" s="103"/>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4"/>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5"/>
      <c r="AW216" s="105"/>
      <c r="AX216" s="106"/>
      <c r="AY216" s="106"/>
      <c r="AZ216" s="106"/>
      <c r="BA216" s="106"/>
      <c r="BB216" s="106"/>
      <c r="BC216" s="106"/>
      <c r="BD216" s="101"/>
      <c r="BE216" s="101"/>
      <c r="BF216" s="101"/>
      <c r="BG216" s="101"/>
      <c r="BH216" s="101"/>
      <c r="BI216" s="101"/>
      <c r="BJ216" s="101"/>
      <c r="BK216" s="101"/>
      <c r="BL216" s="101"/>
      <c r="BM216" s="101"/>
      <c r="BN216" s="101"/>
      <c r="BO216" s="101"/>
      <c r="BP216" s="101"/>
      <c r="BQ216" s="101"/>
      <c r="BR216" s="101"/>
      <c r="BS216" s="101"/>
      <c r="BT216" s="101"/>
      <c r="BU216" s="101"/>
      <c r="BV216" s="101"/>
      <c r="BW216" s="107"/>
      <c r="BX216" s="101"/>
      <c r="BY216" s="108"/>
      <c r="BZ216" s="108"/>
      <c r="CA216" s="109"/>
      <c r="CB216" s="101"/>
      <c r="CC216" s="101"/>
      <c r="CD216" s="101"/>
      <c r="CE216" s="101"/>
      <c r="CF216" s="101"/>
      <c r="CG216" s="101"/>
      <c r="CH216" s="101"/>
      <c r="CI216" s="101"/>
      <c r="CJ216" s="101"/>
      <c r="CK216" s="101"/>
      <c r="CL216" s="101"/>
      <c r="CM216" s="101"/>
      <c r="CN216" s="101"/>
      <c r="CO216" s="101"/>
      <c r="CP216" s="101"/>
      <c r="CQ216" s="101"/>
      <c r="CR216" s="101"/>
      <c r="CS216" s="101"/>
      <c r="CT216" s="101"/>
      <c r="CU216" s="109"/>
      <c r="CV216" s="110"/>
      <c r="CW216" s="109"/>
      <c r="CX216" s="110"/>
      <c r="CY216" s="101"/>
      <c r="CZ216" s="101"/>
      <c r="DA216" s="101"/>
      <c r="DB216" s="101"/>
      <c r="DC216" s="101"/>
      <c r="DD216" s="101"/>
      <c r="DE216" s="101"/>
      <c r="DF216" s="101"/>
      <c r="DG216" s="101"/>
      <c r="DH216" s="101"/>
      <c r="DI216" s="101"/>
      <c r="DJ216" s="101"/>
      <c r="DK216" s="101"/>
      <c r="DL216" s="101"/>
      <c r="DM216" s="101"/>
    </row>
    <row r="217" ht="21.75" customHeight="1">
      <c r="A217" s="101"/>
      <c r="B217" s="101"/>
      <c r="C217" s="101"/>
      <c r="D217" s="101"/>
      <c r="E217" s="103"/>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4"/>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5"/>
      <c r="AW217" s="105"/>
      <c r="AX217" s="106"/>
      <c r="AY217" s="106"/>
      <c r="AZ217" s="106"/>
      <c r="BA217" s="106"/>
      <c r="BB217" s="106"/>
      <c r="BC217" s="106"/>
      <c r="BD217" s="101"/>
      <c r="BE217" s="101"/>
      <c r="BF217" s="101"/>
      <c r="BG217" s="101"/>
      <c r="BH217" s="101"/>
      <c r="BI217" s="101"/>
      <c r="BJ217" s="101"/>
      <c r="BK217" s="101"/>
      <c r="BL217" s="101"/>
      <c r="BM217" s="101"/>
      <c r="BN217" s="101"/>
      <c r="BO217" s="101"/>
      <c r="BP217" s="101"/>
      <c r="BQ217" s="101"/>
      <c r="BR217" s="101"/>
      <c r="BS217" s="101"/>
      <c r="BT217" s="101"/>
      <c r="BU217" s="101"/>
      <c r="BV217" s="101"/>
      <c r="BW217" s="107"/>
      <c r="BX217" s="101"/>
      <c r="BY217" s="108"/>
      <c r="BZ217" s="108"/>
      <c r="CA217" s="109"/>
      <c r="CB217" s="101"/>
      <c r="CC217" s="101"/>
      <c r="CD217" s="101"/>
      <c r="CE217" s="101"/>
      <c r="CF217" s="101"/>
      <c r="CG217" s="101"/>
      <c r="CH217" s="101"/>
      <c r="CI217" s="101"/>
      <c r="CJ217" s="101"/>
      <c r="CK217" s="101"/>
      <c r="CL217" s="101"/>
      <c r="CM217" s="101"/>
      <c r="CN217" s="101"/>
      <c r="CO217" s="101"/>
      <c r="CP217" s="101"/>
      <c r="CQ217" s="101"/>
      <c r="CR217" s="101"/>
      <c r="CS217" s="101"/>
      <c r="CT217" s="101"/>
      <c r="CU217" s="109"/>
      <c r="CV217" s="110"/>
      <c r="CW217" s="109"/>
      <c r="CX217" s="110"/>
      <c r="CY217" s="101"/>
      <c r="CZ217" s="101"/>
      <c r="DA217" s="101"/>
      <c r="DB217" s="101"/>
      <c r="DC217" s="101"/>
      <c r="DD217" s="101"/>
      <c r="DE217" s="101"/>
      <c r="DF217" s="101"/>
      <c r="DG217" s="101"/>
      <c r="DH217" s="101"/>
      <c r="DI217" s="101"/>
      <c r="DJ217" s="101"/>
      <c r="DK217" s="101"/>
      <c r="DL217" s="101"/>
      <c r="DM217" s="101"/>
    </row>
    <row r="218" ht="21.75" customHeight="1">
      <c r="A218" s="101"/>
      <c r="B218" s="101"/>
      <c r="C218" s="101"/>
      <c r="D218" s="101"/>
      <c r="E218" s="103"/>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4"/>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5"/>
      <c r="AW218" s="105"/>
      <c r="AX218" s="106"/>
      <c r="AY218" s="106"/>
      <c r="AZ218" s="106"/>
      <c r="BA218" s="106"/>
      <c r="BB218" s="106"/>
      <c r="BC218" s="106"/>
      <c r="BD218" s="101"/>
      <c r="BE218" s="101"/>
      <c r="BF218" s="101"/>
      <c r="BG218" s="101"/>
      <c r="BH218" s="101"/>
      <c r="BI218" s="101"/>
      <c r="BJ218" s="101"/>
      <c r="BK218" s="101"/>
      <c r="BL218" s="101"/>
      <c r="BM218" s="101"/>
      <c r="BN218" s="101"/>
      <c r="BO218" s="101"/>
      <c r="BP218" s="101"/>
      <c r="BQ218" s="101"/>
      <c r="BR218" s="101"/>
      <c r="BS218" s="101"/>
      <c r="BT218" s="101"/>
      <c r="BU218" s="101"/>
      <c r="BV218" s="101"/>
      <c r="BW218" s="107"/>
      <c r="BX218" s="101"/>
      <c r="BY218" s="108"/>
      <c r="BZ218" s="108"/>
      <c r="CA218" s="109"/>
      <c r="CB218" s="101"/>
      <c r="CC218" s="101"/>
      <c r="CD218" s="101"/>
      <c r="CE218" s="101"/>
      <c r="CF218" s="101"/>
      <c r="CG218" s="101"/>
      <c r="CH218" s="101"/>
      <c r="CI218" s="101"/>
      <c r="CJ218" s="101"/>
      <c r="CK218" s="101"/>
      <c r="CL218" s="101"/>
      <c r="CM218" s="101"/>
      <c r="CN218" s="101"/>
      <c r="CO218" s="101"/>
      <c r="CP218" s="101"/>
      <c r="CQ218" s="101"/>
      <c r="CR218" s="101"/>
      <c r="CS218" s="101"/>
      <c r="CT218" s="101"/>
      <c r="CU218" s="109"/>
      <c r="CV218" s="110"/>
      <c r="CW218" s="109"/>
      <c r="CX218" s="110"/>
      <c r="CY218" s="101"/>
      <c r="CZ218" s="101"/>
      <c r="DA218" s="101"/>
      <c r="DB218" s="101"/>
      <c r="DC218" s="101"/>
      <c r="DD218" s="101"/>
      <c r="DE218" s="101"/>
      <c r="DF218" s="101"/>
      <c r="DG218" s="101"/>
      <c r="DH218" s="101"/>
      <c r="DI218" s="101"/>
      <c r="DJ218" s="101"/>
      <c r="DK218" s="101"/>
      <c r="DL218" s="101"/>
      <c r="DM218" s="101"/>
    </row>
    <row r="219" ht="21.75" customHeight="1">
      <c r="A219" s="101"/>
      <c r="B219" s="101"/>
      <c r="C219" s="101"/>
      <c r="D219" s="101"/>
      <c r="E219" s="103"/>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4"/>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5"/>
      <c r="AW219" s="105"/>
      <c r="AX219" s="106"/>
      <c r="AY219" s="106"/>
      <c r="AZ219" s="106"/>
      <c r="BA219" s="106"/>
      <c r="BB219" s="106"/>
      <c r="BC219" s="106"/>
      <c r="BD219" s="101"/>
      <c r="BE219" s="101"/>
      <c r="BF219" s="101"/>
      <c r="BG219" s="101"/>
      <c r="BH219" s="101"/>
      <c r="BI219" s="101"/>
      <c r="BJ219" s="101"/>
      <c r="BK219" s="101"/>
      <c r="BL219" s="101"/>
      <c r="BM219" s="101"/>
      <c r="BN219" s="101"/>
      <c r="BO219" s="101"/>
      <c r="BP219" s="101"/>
      <c r="BQ219" s="101"/>
      <c r="BR219" s="101"/>
      <c r="BS219" s="101"/>
      <c r="BT219" s="101"/>
      <c r="BU219" s="101"/>
      <c r="BV219" s="101"/>
      <c r="BW219" s="107"/>
      <c r="BX219" s="101"/>
      <c r="BY219" s="108"/>
      <c r="BZ219" s="108"/>
      <c r="CA219" s="109"/>
      <c r="CB219" s="101"/>
      <c r="CC219" s="101"/>
      <c r="CD219" s="101"/>
      <c r="CE219" s="101"/>
      <c r="CF219" s="101"/>
      <c r="CG219" s="101"/>
      <c r="CH219" s="101"/>
      <c r="CI219" s="101"/>
      <c r="CJ219" s="101"/>
      <c r="CK219" s="101"/>
      <c r="CL219" s="101"/>
      <c r="CM219" s="101"/>
      <c r="CN219" s="101"/>
      <c r="CO219" s="101"/>
      <c r="CP219" s="101"/>
      <c r="CQ219" s="101"/>
      <c r="CR219" s="101"/>
      <c r="CS219" s="101"/>
      <c r="CT219" s="101"/>
      <c r="CU219" s="109"/>
      <c r="CV219" s="110"/>
      <c r="CW219" s="109"/>
      <c r="CX219" s="110"/>
      <c r="CY219" s="101"/>
      <c r="CZ219" s="101"/>
      <c r="DA219" s="101"/>
      <c r="DB219" s="101"/>
      <c r="DC219" s="101"/>
      <c r="DD219" s="101"/>
      <c r="DE219" s="101"/>
      <c r="DF219" s="101"/>
      <c r="DG219" s="101"/>
      <c r="DH219" s="101"/>
      <c r="DI219" s="101"/>
      <c r="DJ219" s="101"/>
      <c r="DK219" s="101"/>
      <c r="DL219" s="101"/>
      <c r="DM219" s="101"/>
    </row>
    <row r="220" ht="21.75" customHeight="1">
      <c r="A220" s="101"/>
      <c r="B220" s="101"/>
      <c r="C220" s="101"/>
      <c r="D220" s="101"/>
      <c r="E220" s="103"/>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4"/>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5"/>
      <c r="AW220" s="105"/>
      <c r="AX220" s="106"/>
      <c r="AY220" s="106"/>
      <c r="AZ220" s="106"/>
      <c r="BA220" s="106"/>
      <c r="BB220" s="106"/>
      <c r="BC220" s="106"/>
      <c r="BD220" s="101"/>
      <c r="BE220" s="101"/>
      <c r="BF220" s="101"/>
      <c r="BG220" s="101"/>
      <c r="BH220" s="101"/>
      <c r="BI220" s="101"/>
      <c r="BJ220" s="101"/>
      <c r="BK220" s="101"/>
      <c r="BL220" s="101"/>
      <c r="BM220" s="101"/>
      <c r="BN220" s="101"/>
      <c r="BO220" s="101"/>
      <c r="BP220" s="101"/>
      <c r="BQ220" s="101"/>
      <c r="BR220" s="101"/>
      <c r="BS220" s="101"/>
      <c r="BT220" s="101"/>
      <c r="BU220" s="101"/>
      <c r="BV220" s="101"/>
      <c r="BW220" s="107"/>
      <c r="BX220" s="101"/>
      <c r="BY220" s="108"/>
      <c r="BZ220" s="108"/>
      <c r="CA220" s="109"/>
      <c r="CB220" s="101"/>
      <c r="CC220" s="101"/>
      <c r="CD220" s="101"/>
      <c r="CE220" s="101"/>
      <c r="CF220" s="101"/>
      <c r="CG220" s="101"/>
      <c r="CH220" s="101"/>
      <c r="CI220" s="101"/>
      <c r="CJ220" s="101"/>
      <c r="CK220" s="101"/>
      <c r="CL220" s="101"/>
      <c r="CM220" s="101"/>
      <c r="CN220" s="101"/>
      <c r="CO220" s="101"/>
      <c r="CP220" s="101"/>
      <c r="CQ220" s="101"/>
      <c r="CR220" s="101"/>
      <c r="CS220" s="101"/>
      <c r="CT220" s="101"/>
      <c r="CU220" s="109"/>
      <c r="CV220" s="110"/>
      <c r="CW220" s="109"/>
      <c r="CX220" s="110"/>
      <c r="CY220" s="101"/>
      <c r="CZ220" s="101"/>
      <c r="DA220" s="101"/>
      <c r="DB220" s="101"/>
      <c r="DC220" s="101"/>
      <c r="DD220" s="101"/>
      <c r="DE220" s="101"/>
      <c r="DF220" s="101"/>
      <c r="DG220" s="101"/>
      <c r="DH220" s="101"/>
      <c r="DI220" s="101"/>
      <c r="DJ220" s="101"/>
      <c r="DK220" s="101"/>
      <c r="DL220" s="101"/>
      <c r="DM220" s="101"/>
    </row>
    <row r="221" ht="21.75" customHeight="1">
      <c r="A221" s="101"/>
      <c r="B221" s="101"/>
      <c r="C221" s="101"/>
      <c r="D221" s="101"/>
      <c r="E221" s="103"/>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4"/>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5"/>
      <c r="AW221" s="105"/>
      <c r="AX221" s="106"/>
      <c r="AY221" s="106"/>
      <c r="AZ221" s="106"/>
      <c r="BA221" s="106"/>
      <c r="BB221" s="106"/>
      <c r="BC221" s="106"/>
      <c r="BD221" s="101"/>
      <c r="BE221" s="101"/>
      <c r="BF221" s="101"/>
      <c r="BG221" s="101"/>
      <c r="BH221" s="101"/>
      <c r="BI221" s="101"/>
      <c r="BJ221" s="101"/>
      <c r="BK221" s="101"/>
      <c r="BL221" s="101"/>
      <c r="BM221" s="101"/>
      <c r="BN221" s="101"/>
      <c r="BO221" s="101"/>
      <c r="BP221" s="101"/>
      <c r="BQ221" s="101"/>
      <c r="BR221" s="101"/>
      <c r="BS221" s="101"/>
      <c r="BT221" s="101"/>
      <c r="BU221" s="101"/>
      <c r="BV221" s="101"/>
      <c r="BW221" s="107"/>
      <c r="BX221" s="101"/>
      <c r="BY221" s="108"/>
      <c r="BZ221" s="108"/>
      <c r="CA221" s="109"/>
      <c r="CB221" s="101"/>
      <c r="CC221" s="101"/>
      <c r="CD221" s="101"/>
      <c r="CE221" s="101"/>
      <c r="CF221" s="101"/>
      <c r="CG221" s="101"/>
      <c r="CH221" s="101"/>
      <c r="CI221" s="101"/>
      <c r="CJ221" s="101"/>
      <c r="CK221" s="101"/>
      <c r="CL221" s="101"/>
      <c r="CM221" s="101"/>
      <c r="CN221" s="101"/>
      <c r="CO221" s="101"/>
      <c r="CP221" s="101"/>
      <c r="CQ221" s="101"/>
      <c r="CR221" s="101"/>
      <c r="CS221" s="101"/>
      <c r="CT221" s="101"/>
      <c r="CU221" s="109"/>
      <c r="CV221" s="110"/>
      <c r="CW221" s="109"/>
      <c r="CX221" s="110"/>
      <c r="CY221" s="101"/>
      <c r="CZ221" s="101"/>
      <c r="DA221" s="101"/>
      <c r="DB221" s="101"/>
      <c r="DC221" s="101"/>
      <c r="DD221" s="101"/>
      <c r="DE221" s="101"/>
      <c r="DF221" s="101"/>
      <c r="DG221" s="101"/>
      <c r="DH221" s="101"/>
      <c r="DI221" s="101"/>
      <c r="DJ221" s="101"/>
      <c r="DK221" s="101"/>
      <c r="DL221" s="101"/>
      <c r="DM221" s="101"/>
    </row>
    <row r="222" ht="21.75" customHeight="1">
      <c r="A222" s="101"/>
      <c r="B222" s="101"/>
      <c r="C222" s="101"/>
      <c r="D222" s="101"/>
      <c r="E222" s="103"/>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4"/>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5"/>
      <c r="AW222" s="105"/>
      <c r="AX222" s="106"/>
      <c r="AY222" s="106"/>
      <c r="AZ222" s="106"/>
      <c r="BA222" s="106"/>
      <c r="BB222" s="106"/>
      <c r="BC222" s="106"/>
      <c r="BD222" s="101"/>
      <c r="BE222" s="101"/>
      <c r="BF222" s="101"/>
      <c r="BG222" s="101"/>
      <c r="BH222" s="101"/>
      <c r="BI222" s="101"/>
      <c r="BJ222" s="101"/>
      <c r="BK222" s="101"/>
      <c r="BL222" s="101"/>
      <c r="BM222" s="101"/>
      <c r="BN222" s="101"/>
      <c r="BO222" s="101"/>
      <c r="BP222" s="101"/>
      <c r="BQ222" s="101"/>
      <c r="BR222" s="101"/>
      <c r="BS222" s="101"/>
      <c r="BT222" s="101"/>
      <c r="BU222" s="101"/>
      <c r="BV222" s="101"/>
      <c r="BW222" s="107"/>
      <c r="BX222" s="101"/>
      <c r="BY222" s="108"/>
      <c r="BZ222" s="108"/>
      <c r="CA222" s="109"/>
      <c r="CB222" s="101"/>
      <c r="CC222" s="101"/>
      <c r="CD222" s="101"/>
      <c r="CE222" s="101"/>
      <c r="CF222" s="101"/>
      <c r="CG222" s="101"/>
      <c r="CH222" s="101"/>
      <c r="CI222" s="101"/>
      <c r="CJ222" s="101"/>
      <c r="CK222" s="101"/>
      <c r="CL222" s="101"/>
      <c r="CM222" s="101"/>
      <c r="CN222" s="101"/>
      <c r="CO222" s="101"/>
      <c r="CP222" s="101"/>
      <c r="CQ222" s="101"/>
      <c r="CR222" s="101"/>
      <c r="CS222" s="101"/>
      <c r="CT222" s="101"/>
      <c r="CU222" s="109"/>
      <c r="CV222" s="110"/>
      <c r="CW222" s="109"/>
      <c r="CX222" s="110"/>
      <c r="CY222" s="101"/>
      <c r="CZ222" s="101"/>
      <c r="DA222" s="101"/>
      <c r="DB222" s="101"/>
      <c r="DC222" s="101"/>
      <c r="DD222" s="101"/>
      <c r="DE222" s="101"/>
      <c r="DF222" s="101"/>
      <c r="DG222" s="101"/>
      <c r="DH222" s="101"/>
      <c r="DI222" s="101"/>
      <c r="DJ222" s="101"/>
      <c r="DK222" s="101"/>
      <c r="DL222" s="101"/>
      <c r="DM222" s="101"/>
    </row>
    <row r="223" ht="21.75" customHeight="1">
      <c r="A223" s="101"/>
      <c r="B223" s="101"/>
      <c r="C223" s="101"/>
      <c r="D223" s="101"/>
      <c r="E223" s="103"/>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4"/>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5"/>
      <c r="AW223" s="105"/>
      <c r="AX223" s="106"/>
      <c r="AY223" s="106"/>
      <c r="AZ223" s="106"/>
      <c r="BA223" s="106"/>
      <c r="BB223" s="106"/>
      <c r="BC223" s="106"/>
      <c r="BD223" s="101"/>
      <c r="BE223" s="101"/>
      <c r="BF223" s="101"/>
      <c r="BG223" s="101"/>
      <c r="BH223" s="101"/>
      <c r="BI223" s="101"/>
      <c r="BJ223" s="101"/>
      <c r="BK223" s="101"/>
      <c r="BL223" s="101"/>
      <c r="BM223" s="101"/>
      <c r="BN223" s="101"/>
      <c r="BO223" s="101"/>
      <c r="BP223" s="101"/>
      <c r="BQ223" s="101"/>
      <c r="BR223" s="101"/>
      <c r="BS223" s="101"/>
      <c r="BT223" s="101"/>
      <c r="BU223" s="101"/>
      <c r="BV223" s="101"/>
      <c r="BW223" s="107"/>
      <c r="BX223" s="101"/>
      <c r="BY223" s="108"/>
      <c r="BZ223" s="108"/>
      <c r="CA223" s="109"/>
      <c r="CB223" s="101"/>
      <c r="CC223" s="101"/>
      <c r="CD223" s="101"/>
      <c r="CE223" s="101"/>
      <c r="CF223" s="101"/>
      <c r="CG223" s="101"/>
      <c r="CH223" s="101"/>
      <c r="CI223" s="101"/>
      <c r="CJ223" s="101"/>
      <c r="CK223" s="101"/>
      <c r="CL223" s="101"/>
      <c r="CM223" s="101"/>
      <c r="CN223" s="101"/>
      <c r="CO223" s="101"/>
      <c r="CP223" s="101"/>
      <c r="CQ223" s="101"/>
      <c r="CR223" s="101"/>
      <c r="CS223" s="101"/>
      <c r="CT223" s="101"/>
      <c r="CU223" s="109"/>
      <c r="CV223" s="110"/>
      <c r="CW223" s="109"/>
      <c r="CX223" s="110"/>
      <c r="CY223" s="101"/>
      <c r="CZ223" s="101"/>
      <c r="DA223" s="101"/>
      <c r="DB223" s="101"/>
      <c r="DC223" s="101"/>
      <c r="DD223" s="101"/>
      <c r="DE223" s="101"/>
      <c r="DF223" s="101"/>
      <c r="DG223" s="101"/>
      <c r="DH223" s="101"/>
      <c r="DI223" s="101"/>
      <c r="DJ223" s="101"/>
      <c r="DK223" s="101"/>
      <c r="DL223" s="101"/>
      <c r="DM223" s="101"/>
    </row>
    <row r="224" ht="21.75" customHeight="1">
      <c r="A224" s="101"/>
      <c r="B224" s="101"/>
      <c r="C224" s="101"/>
      <c r="D224" s="101"/>
      <c r="E224" s="103"/>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4"/>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5"/>
      <c r="AW224" s="105"/>
      <c r="AX224" s="106"/>
      <c r="AY224" s="106"/>
      <c r="AZ224" s="106"/>
      <c r="BA224" s="106"/>
      <c r="BB224" s="106"/>
      <c r="BC224" s="106"/>
      <c r="BD224" s="101"/>
      <c r="BE224" s="101"/>
      <c r="BF224" s="101"/>
      <c r="BG224" s="101"/>
      <c r="BH224" s="101"/>
      <c r="BI224" s="101"/>
      <c r="BJ224" s="101"/>
      <c r="BK224" s="101"/>
      <c r="BL224" s="101"/>
      <c r="BM224" s="101"/>
      <c r="BN224" s="101"/>
      <c r="BO224" s="101"/>
      <c r="BP224" s="101"/>
      <c r="BQ224" s="101"/>
      <c r="BR224" s="101"/>
      <c r="BS224" s="101"/>
      <c r="BT224" s="101"/>
      <c r="BU224" s="101"/>
      <c r="BV224" s="101"/>
      <c r="BW224" s="107"/>
      <c r="BX224" s="101"/>
      <c r="BY224" s="108"/>
      <c r="BZ224" s="108"/>
      <c r="CA224" s="109"/>
      <c r="CB224" s="101"/>
      <c r="CC224" s="101"/>
      <c r="CD224" s="101"/>
      <c r="CE224" s="101"/>
      <c r="CF224" s="101"/>
      <c r="CG224" s="101"/>
      <c r="CH224" s="101"/>
      <c r="CI224" s="101"/>
      <c r="CJ224" s="101"/>
      <c r="CK224" s="101"/>
      <c r="CL224" s="101"/>
      <c r="CM224" s="101"/>
      <c r="CN224" s="101"/>
      <c r="CO224" s="101"/>
      <c r="CP224" s="101"/>
      <c r="CQ224" s="101"/>
      <c r="CR224" s="101"/>
      <c r="CS224" s="101"/>
      <c r="CT224" s="101"/>
      <c r="CU224" s="109"/>
      <c r="CV224" s="110"/>
      <c r="CW224" s="109"/>
      <c r="CX224" s="110"/>
      <c r="CY224" s="101"/>
      <c r="CZ224" s="101"/>
      <c r="DA224" s="101"/>
      <c r="DB224" s="101"/>
      <c r="DC224" s="101"/>
      <c r="DD224" s="101"/>
      <c r="DE224" s="101"/>
      <c r="DF224" s="101"/>
      <c r="DG224" s="101"/>
      <c r="DH224" s="101"/>
      <c r="DI224" s="101"/>
      <c r="DJ224" s="101"/>
      <c r="DK224" s="101"/>
      <c r="DL224" s="101"/>
      <c r="DM224" s="101"/>
    </row>
    <row r="225" ht="21.75" customHeight="1">
      <c r="A225" s="101"/>
      <c r="B225" s="101"/>
      <c r="C225" s="101"/>
      <c r="D225" s="101"/>
      <c r="E225" s="103"/>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4"/>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5"/>
      <c r="AW225" s="105"/>
      <c r="AX225" s="106"/>
      <c r="AY225" s="106"/>
      <c r="AZ225" s="106"/>
      <c r="BA225" s="106"/>
      <c r="BB225" s="106"/>
      <c r="BC225" s="106"/>
      <c r="BD225" s="101"/>
      <c r="BE225" s="101"/>
      <c r="BF225" s="101"/>
      <c r="BG225" s="101"/>
      <c r="BH225" s="101"/>
      <c r="BI225" s="101"/>
      <c r="BJ225" s="101"/>
      <c r="BK225" s="101"/>
      <c r="BL225" s="101"/>
      <c r="BM225" s="101"/>
      <c r="BN225" s="101"/>
      <c r="BO225" s="101"/>
      <c r="BP225" s="101"/>
      <c r="BQ225" s="101"/>
      <c r="BR225" s="101"/>
      <c r="BS225" s="101"/>
      <c r="BT225" s="101"/>
      <c r="BU225" s="101"/>
      <c r="BV225" s="101"/>
      <c r="BW225" s="107"/>
      <c r="BX225" s="101"/>
      <c r="BY225" s="108"/>
      <c r="BZ225" s="108"/>
      <c r="CA225" s="109"/>
      <c r="CB225" s="101"/>
      <c r="CC225" s="101"/>
      <c r="CD225" s="101"/>
      <c r="CE225" s="101"/>
      <c r="CF225" s="101"/>
      <c r="CG225" s="101"/>
      <c r="CH225" s="101"/>
      <c r="CI225" s="101"/>
      <c r="CJ225" s="101"/>
      <c r="CK225" s="101"/>
      <c r="CL225" s="101"/>
      <c r="CM225" s="101"/>
      <c r="CN225" s="101"/>
      <c r="CO225" s="101"/>
      <c r="CP225" s="101"/>
      <c r="CQ225" s="101"/>
      <c r="CR225" s="101"/>
      <c r="CS225" s="101"/>
      <c r="CT225" s="101"/>
      <c r="CU225" s="109"/>
      <c r="CV225" s="110"/>
      <c r="CW225" s="109"/>
      <c r="CX225" s="110"/>
      <c r="CY225" s="101"/>
      <c r="CZ225" s="101"/>
      <c r="DA225" s="101"/>
      <c r="DB225" s="101"/>
      <c r="DC225" s="101"/>
      <c r="DD225" s="101"/>
      <c r="DE225" s="101"/>
      <c r="DF225" s="101"/>
      <c r="DG225" s="101"/>
      <c r="DH225" s="101"/>
      <c r="DI225" s="101"/>
      <c r="DJ225" s="101"/>
      <c r="DK225" s="101"/>
      <c r="DL225" s="101"/>
      <c r="DM225" s="101"/>
    </row>
    <row r="226" ht="21.75" customHeight="1">
      <c r="A226" s="101"/>
      <c r="B226" s="101"/>
      <c r="C226" s="101"/>
      <c r="D226" s="101"/>
      <c r="E226" s="103"/>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4"/>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5"/>
      <c r="AW226" s="105"/>
      <c r="AX226" s="106"/>
      <c r="AY226" s="106"/>
      <c r="AZ226" s="106"/>
      <c r="BA226" s="106"/>
      <c r="BB226" s="106"/>
      <c r="BC226" s="106"/>
      <c r="BD226" s="101"/>
      <c r="BE226" s="101"/>
      <c r="BF226" s="101"/>
      <c r="BG226" s="101"/>
      <c r="BH226" s="101"/>
      <c r="BI226" s="101"/>
      <c r="BJ226" s="101"/>
      <c r="BK226" s="101"/>
      <c r="BL226" s="101"/>
      <c r="BM226" s="101"/>
      <c r="BN226" s="101"/>
      <c r="BO226" s="101"/>
      <c r="BP226" s="101"/>
      <c r="BQ226" s="101"/>
      <c r="BR226" s="101"/>
      <c r="BS226" s="101"/>
      <c r="BT226" s="101"/>
      <c r="BU226" s="101"/>
      <c r="BV226" s="101"/>
      <c r="BW226" s="107"/>
      <c r="BX226" s="101"/>
      <c r="BY226" s="108"/>
      <c r="BZ226" s="108"/>
      <c r="CA226" s="109"/>
      <c r="CB226" s="101"/>
      <c r="CC226" s="101"/>
      <c r="CD226" s="101"/>
      <c r="CE226" s="101"/>
      <c r="CF226" s="101"/>
      <c r="CG226" s="101"/>
      <c r="CH226" s="101"/>
      <c r="CI226" s="101"/>
      <c r="CJ226" s="101"/>
      <c r="CK226" s="101"/>
      <c r="CL226" s="101"/>
      <c r="CM226" s="101"/>
      <c r="CN226" s="101"/>
      <c r="CO226" s="101"/>
      <c r="CP226" s="101"/>
      <c r="CQ226" s="101"/>
      <c r="CR226" s="101"/>
      <c r="CS226" s="101"/>
      <c r="CT226" s="101"/>
      <c r="CU226" s="109"/>
      <c r="CV226" s="110"/>
      <c r="CW226" s="109"/>
      <c r="CX226" s="110"/>
      <c r="CY226" s="101"/>
      <c r="CZ226" s="101"/>
      <c r="DA226" s="101"/>
      <c r="DB226" s="101"/>
      <c r="DC226" s="101"/>
      <c r="DD226" s="101"/>
      <c r="DE226" s="101"/>
      <c r="DF226" s="101"/>
      <c r="DG226" s="101"/>
      <c r="DH226" s="101"/>
      <c r="DI226" s="101"/>
      <c r="DJ226" s="101"/>
      <c r="DK226" s="101"/>
      <c r="DL226" s="101"/>
      <c r="DM226" s="101"/>
    </row>
    <row r="227" ht="21.75" customHeight="1">
      <c r="A227" s="101"/>
      <c r="B227" s="101"/>
      <c r="C227" s="101"/>
      <c r="D227" s="101"/>
      <c r="E227" s="103"/>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4"/>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5"/>
      <c r="AW227" s="105"/>
      <c r="AX227" s="106"/>
      <c r="AY227" s="106"/>
      <c r="AZ227" s="106"/>
      <c r="BA227" s="106"/>
      <c r="BB227" s="106"/>
      <c r="BC227" s="106"/>
      <c r="BD227" s="101"/>
      <c r="BE227" s="101"/>
      <c r="BF227" s="101"/>
      <c r="BG227" s="101"/>
      <c r="BH227" s="101"/>
      <c r="BI227" s="101"/>
      <c r="BJ227" s="101"/>
      <c r="BK227" s="101"/>
      <c r="BL227" s="101"/>
      <c r="BM227" s="101"/>
      <c r="BN227" s="101"/>
      <c r="BO227" s="101"/>
      <c r="BP227" s="101"/>
      <c r="BQ227" s="101"/>
      <c r="BR227" s="101"/>
      <c r="BS227" s="101"/>
      <c r="BT227" s="101"/>
      <c r="BU227" s="101"/>
      <c r="BV227" s="101"/>
      <c r="BW227" s="107"/>
      <c r="BX227" s="101"/>
      <c r="BY227" s="108"/>
      <c r="BZ227" s="108"/>
      <c r="CA227" s="109"/>
      <c r="CB227" s="101"/>
      <c r="CC227" s="101"/>
      <c r="CD227" s="101"/>
      <c r="CE227" s="101"/>
      <c r="CF227" s="101"/>
      <c r="CG227" s="101"/>
      <c r="CH227" s="101"/>
      <c r="CI227" s="101"/>
      <c r="CJ227" s="101"/>
      <c r="CK227" s="101"/>
      <c r="CL227" s="101"/>
      <c r="CM227" s="101"/>
      <c r="CN227" s="101"/>
      <c r="CO227" s="101"/>
      <c r="CP227" s="101"/>
      <c r="CQ227" s="101"/>
      <c r="CR227" s="101"/>
      <c r="CS227" s="101"/>
      <c r="CT227" s="101"/>
      <c r="CU227" s="109"/>
      <c r="CV227" s="110"/>
      <c r="CW227" s="109"/>
      <c r="CX227" s="110"/>
      <c r="CY227" s="101"/>
      <c r="CZ227" s="101"/>
      <c r="DA227" s="101"/>
      <c r="DB227" s="101"/>
      <c r="DC227" s="101"/>
      <c r="DD227" s="101"/>
      <c r="DE227" s="101"/>
      <c r="DF227" s="101"/>
      <c r="DG227" s="101"/>
      <c r="DH227" s="101"/>
      <c r="DI227" s="101"/>
      <c r="DJ227" s="101"/>
      <c r="DK227" s="101"/>
      <c r="DL227" s="101"/>
      <c r="DM227" s="101"/>
    </row>
    <row r="228" ht="21.75" customHeight="1">
      <c r="A228" s="101"/>
      <c r="B228" s="101"/>
      <c r="C228" s="101"/>
      <c r="D228" s="101"/>
      <c r="E228" s="103"/>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4"/>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5"/>
      <c r="AW228" s="105"/>
      <c r="AX228" s="106"/>
      <c r="AY228" s="106"/>
      <c r="AZ228" s="106"/>
      <c r="BA228" s="106"/>
      <c r="BB228" s="106"/>
      <c r="BC228" s="106"/>
      <c r="BD228" s="101"/>
      <c r="BE228" s="101"/>
      <c r="BF228" s="101"/>
      <c r="BG228" s="101"/>
      <c r="BH228" s="101"/>
      <c r="BI228" s="101"/>
      <c r="BJ228" s="101"/>
      <c r="BK228" s="101"/>
      <c r="BL228" s="101"/>
      <c r="BM228" s="101"/>
      <c r="BN228" s="101"/>
      <c r="BO228" s="101"/>
      <c r="BP228" s="101"/>
      <c r="BQ228" s="101"/>
      <c r="BR228" s="101"/>
      <c r="BS228" s="101"/>
      <c r="BT228" s="101"/>
      <c r="BU228" s="101"/>
      <c r="BV228" s="101"/>
      <c r="BW228" s="107"/>
      <c r="BX228" s="101"/>
      <c r="BY228" s="108"/>
      <c r="BZ228" s="108"/>
      <c r="CA228" s="109"/>
      <c r="CB228" s="101"/>
      <c r="CC228" s="101"/>
      <c r="CD228" s="101"/>
      <c r="CE228" s="101"/>
      <c r="CF228" s="101"/>
      <c r="CG228" s="101"/>
      <c r="CH228" s="101"/>
      <c r="CI228" s="101"/>
      <c r="CJ228" s="101"/>
      <c r="CK228" s="101"/>
      <c r="CL228" s="101"/>
      <c r="CM228" s="101"/>
      <c r="CN228" s="101"/>
      <c r="CO228" s="101"/>
      <c r="CP228" s="101"/>
      <c r="CQ228" s="101"/>
      <c r="CR228" s="101"/>
      <c r="CS228" s="101"/>
      <c r="CT228" s="101"/>
      <c r="CU228" s="109"/>
      <c r="CV228" s="110"/>
      <c r="CW228" s="109"/>
      <c r="CX228" s="110"/>
      <c r="CY228" s="101"/>
      <c r="CZ228" s="101"/>
      <c r="DA228" s="101"/>
      <c r="DB228" s="101"/>
      <c r="DC228" s="101"/>
      <c r="DD228" s="101"/>
      <c r="DE228" s="101"/>
      <c r="DF228" s="101"/>
      <c r="DG228" s="101"/>
      <c r="DH228" s="101"/>
      <c r="DI228" s="101"/>
      <c r="DJ228" s="101"/>
      <c r="DK228" s="101"/>
      <c r="DL228" s="101"/>
      <c r="DM228" s="101"/>
    </row>
    <row r="229" ht="21.75" customHeight="1">
      <c r="A229" s="101"/>
      <c r="B229" s="101"/>
      <c r="C229" s="101"/>
      <c r="D229" s="101"/>
      <c r="E229" s="103"/>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4"/>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5"/>
      <c r="AW229" s="105"/>
      <c r="AX229" s="106"/>
      <c r="AY229" s="106"/>
      <c r="AZ229" s="106"/>
      <c r="BA229" s="106"/>
      <c r="BB229" s="106"/>
      <c r="BC229" s="106"/>
      <c r="BD229" s="101"/>
      <c r="BE229" s="101"/>
      <c r="BF229" s="101"/>
      <c r="BG229" s="101"/>
      <c r="BH229" s="101"/>
      <c r="BI229" s="101"/>
      <c r="BJ229" s="101"/>
      <c r="BK229" s="101"/>
      <c r="BL229" s="101"/>
      <c r="BM229" s="101"/>
      <c r="BN229" s="101"/>
      <c r="BO229" s="101"/>
      <c r="BP229" s="101"/>
      <c r="BQ229" s="101"/>
      <c r="BR229" s="101"/>
      <c r="BS229" s="101"/>
      <c r="BT229" s="101"/>
      <c r="BU229" s="101"/>
      <c r="BV229" s="101"/>
      <c r="BW229" s="107"/>
      <c r="BX229" s="101"/>
      <c r="BY229" s="108"/>
      <c r="BZ229" s="108"/>
      <c r="CA229" s="109"/>
      <c r="CB229" s="101"/>
      <c r="CC229" s="101"/>
      <c r="CD229" s="101"/>
      <c r="CE229" s="101"/>
      <c r="CF229" s="101"/>
      <c r="CG229" s="101"/>
      <c r="CH229" s="101"/>
      <c r="CI229" s="101"/>
      <c r="CJ229" s="101"/>
      <c r="CK229" s="101"/>
      <c r="CL229" s="101"/>
      <c r="CM229" s="101"/>
      <c r="CN229" s="101"/>
      <c r="CO229" s="101"/>
      <c r="CP229" s="101"/>
      <c r="CQ229" s="101"/>
      <c r="CR229" s="101"/>
      <c r="CS229" s="101"/>
      <c r="CT229" s="101"/>
      <c r="CU229" s="109"/>
      <c r="CV229" s="110"/>
      <c r="CW229" s="109"/>
      <c r="CX229" s="110"/>
      <c r="CY229" s="101"/>
      <c r="CZ229" s="101"/>
      <c r="DA229" s="101"/>
      <c r="DB229" s="101"/>
      <c r="DC229" s="101"/>
      <c r="DD229" s="101"/>
      <c r="DE229" s="101"/>
      <c r="DF229" s="101"/>
      <c r="DG229" s="101"/>
      <c r="DH229" s="101"/>
      <c r="DI229" s="101"/>
      <c r="DJ229" s="101"/>
      <c r="DK229" s="101"/>
      <c r="DL229" s="101"/>
      <c r="DM229" s="101"/>
    </row>
    <row r="230" ht="21.75" customHeight="1">
      <c r="A230" s="101"/>
      <c r="B230" s="101"/>
      <c r="C230" s="101"/>
      <c r="D230" s="101"/>
      <c r="E230" s="103"/>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4"/>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5"/>
      <c r="AW230" s="105"/>
      <c r="AX230" s="106"/>
      <c r="AY230" s="106"/>
      <c r="AZ230" s="106"/>
      <c r="BA230" s="106"/>
      <c r="BB230" s="106"/>
      <c r="BC230" s="106"/>
      <c r="BD230" s="101"/>
      <c r="BE230" s="101"/>
      <c r="BF230" s="101"/>
      <c r="BG230" s="101"/>
      <c r="BH230" s="101"/>
      <c r="BI230" s="101"/>
      <c r="BJ230" s="101"/>
      <c r="BK230" s="101"/>
      <c r="BL230" s="101"/>
      <c r="BM230" s="101"/>
      <c r="BN230" s="101"/>
      <c r="BO230" s="101"/>
      <c r="BP230" s="101"/>
      <c r="BQ230" s="101"/>
      <c r="BR230" s="101"/>
      <c r="BS230" s="101"/>
      <c r="BT230" s="101"/>
      <c r="BU230" s="101"/>
      <c r="BV230" s="101"/>
      <c r="BW230" s="107"/>
      <c r="BX230" s="101"/>
      <c r="BY230" s="108"/>
      <c r="BZ230" s="108"/>
      <c r="CA230" s="109"/>
      <c r="CB230" s="101"/>
      <c r="CC230" s="101"/>
      <c r="CD230" s="101"/>
      <c r="CE230" s="101"/>
      <c r="CF230" s="101"/>
      <c r="CG230" s="101"/>
      <c r="CH230" s="101"/>
      <c r="CI230" s="101"/>
      <c r="CJ230" s="101"/>
      <c r="CK230" s="101"/>
      <c r="CL230" s="101"/>
      <c r="CM230" s="101"/>
      <c r="CN230" s="101"/>
      <c r="CO230" s="101"/>
      <c r="CP230" s="101"/>
      <c r="CQ230" s="101"/>
      <c r="CR230" s="101"/>
      <c r="CS230" s="101"/>
      <c r="CT230" s="101"/>
      <c r="CU230" s="109"/>
      <c r="CV230" s="110"/>
      <c r="CW230" s="109"/>
      <c r="CX230" s="110"/>
      <c r="CY230" s="101"/>
      <c r="CZ230" s="101"/>
      <c r="DA230" s="101"/>
      <c r="DB230" s="101"/>
      <c r="DC230" s="101"/>
      <c r="DD230" s="101"/>
      <c r="DE230" s="101"/>
      <c r="DF230" s="101"/>
      <c r="DG230" s="101"/>
      <c r="DH230" s="101"/>
      <c r="DI230" s="101"/>
      <c r="DJ230" s="101"/>
      <c r="DK230" s="101"/>
      <c r="DL230" s="101"/>
      <c r="DM230" s="101"/>
    </row>
    <row r="231" ht="21.75" customHeight="1">
      <c r="A231" s="101"/>
      <c r="B231" s="101"/>
      <c r="C231" s="101"/>
      <c r="D231" s="101"/>
      <c r="E231" s="103"/>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4"/>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5"/>
      <c r="AW231" s="105"/>
      <c r="AX231" s="106"/>
      <c r="AY231" s="106"/>
      <c r="AZ231" s="106"/>
      <c r="BA231" s="106"/>
      <c r="BB231" s="106"/>
      <c r="BC231" s="106"/>
      <c r="BD231" s="101"/>
      <c r="BE231" s="101"/>
      <c r="BF231" s="101"/>
      <c r="BG231" s="101"/>
      <c r="BH231" s="101"/>
      <c r="BI231" s="101"/>
      <c r="BJ231" s="101"/>
      <c r="BK231" s="101"/>
      <c r="BL231" s="101"/>
      <c r="BM231" s="101"/>
      <c r="BN231" s="101"/>
      <c r="BO231" s="101"/>
      <c r="BP231" s="101"/>
      <c r="BQ231" s="101"/>
      <c r="BR231" s="101"/>
      <c r="BS231" s="101"/>
      <c r="BT231" s="101"/>
      <c r="BU231" s="101"/>
      <c r="BV231" s="101"/>
      <c r="BW231" s="107"/>
      <c r="BX231" s="101"/>
      <c r="BY231" s="108"/>
      <c r="BZ231" s="108"/>
      <c r="CA231" s="109"/>
      <c r="CB231" s="101"/>
      <c r="CC231" s="101"/>
      <c r="CD231" s="101"/>
      <c r="CE231" s="101"/>
      <c r="CF231" s="101"/>
      <c r="CG231" s="101"/>
      <c r="CH231" s="101"/>
      <c r="CI231" s="101"/>
      <c r="CJ231" s="101"/>
      <c r="CK231" s="101"/>
      <c r="CL231" s="101"/>
      <c r="CM231" s="101"/>
      <c r="CN231" s="101"/>
      <c r="CO231" s="101"/>
      <c r="CP231" s="101"/>
      <c r="CQ231" s="101"/>
      <c r="CR231" s="101"/>
      <c r="CS231" s="101"/>
      <c r="CT231" s="101"/>
      <c r="CU231" s="109"/>
      <c r="CV231" s="110"/>
      <c r="CW231" s="109"/>
      <c r="CX231" s="110"/>
      <c r="CY231" s="101"/>
      <c r="CZ231" s="101"/>
      <c r="DA231" s="101"/>
      <c r="DB231" s="101"/>
      <c r="DC231" s="101"/>
      <c r="DD231" s="101"/>
      <c r="DE231" s="101"/>
      <c r="DF231" s="101"/>
      <c r="DG231" s="101"/>
      <c r="DH231" s="101"/>
      <c r="DI231" s="101"/>
      <c r="DJ231" s="101"/>
      <c r="DK231" s="101"/>
      <c r="DL231" s="101"/>
      <c r="DM231" s="101"/>
    </row>
    <row r="232" ht="21.75" customHeight="1">
      <c r="A232" s="101"/>
      <c r="B232" s="101"/>
      <c r="C232" s="101"/>
      <c r="D232" s="101"/>
      <c r="E232" s="103"/>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4"/>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5"/>
      <c r="AW232" s="105"/>
      <c r="AX232" s="106"/>
      <c r="AY232" s="106"/>
      <c r="AZ232" s="106"/>
      <c r="BA232" s="106"/>
      <c r="BB232" s="106"/>
      <c r="BC232" s="106"/>
      <c r="BD232" s="101"/>
      <c r="BE232" s="101"/>
      <c r="BF232" s="101"/>
      <c r="BG232" s="101"/>
      <c r="BH232" s="101"/>
      <c r="BI232" s="101"/>
      <c r="BJ232" s="101"/>
      <c r="BK232" s="101"/>
      <c r="BL232" s="101"/>
      <c r="BM232" s="101"/>
      <c r="BN232" s="101"/>
      <c r="BO232" s="101"/>
      <c r="BP232" s="101"/>
      <c r="BQ232" s="101"/>
      <c r="BR232" s="101"/>
      <c r="BS232" s="101"/>
      <c r="BT232" s="101"/>
      <c r="BU232" s="101"/>
      <c r="BV232" s="101"/>
      <c r="BW232" s="107"/>
      <c r="BX232" s="101"/>
      <c r="BY232" s="108"/>
      <c r="BZ232" s="108"/>
      <c r="CA232" s="109"/>
      <c r="CB232" s="101"/>
      <c r="CC232" s="101"/>
      <c r="CD232" s="101"/>
      <c r="CE232" s="101"/>
      <c r="CF232" s="101"/>
      <c r="CG232" s="101"/>
      <c r="CH232" s="101"/>
      <c r="CI232" s="101"/>
      <c r="CJ232" s="101"/>
      <c r="CK232" s="101"/>
      <c r="CL232" s="101"/>
      <c r="CM232" s="101"/>
      <c r="CN232" s="101"/>
      <c r="CO232" s="101"/>
      <c r="CP232" s="101"/>
      <c r="CQ232" s="101"/>
      <c r="CR232" s="101"/>
      <c r="CS232" s="101"/>
      <c r="CT232" s="101"/>
      <c r="CU232" s="109"/>
      <c r="CV232" s="110"/>
      <c r="CW232" s="109"/>
      <c r="CX232" s="110"/>
      <c r="CY232" s="101"/>
      <c r="CZ232" s="101"/>
      <c r="DA232" s="101"/>
      <c r="DB232" s="101"/>
      <c r="DC232" s="101"/>
      <c r="DD232" s="101"/>
      <c r="DE232" s="101"/>
      <c r="DF232" s="101"/>
      <c r="DG232" s="101"/>
      <c r="DH232" s="101"/>
      <c r="DI232" s="101"/>
      <c r="DJ232" s="101"/>
      <c r="DK232" s="101"/>
      <c r="DL232" s="101"/>
      <c r="DM232" s="101"/>
    </row>
    <row r="233" ht="21.75" customHeight="1">
      <c r="A233" s="101"/>
      <c r="B233" s="101"/>
      <c r="C233" s="101"/>
      <c r="D233" s="101"/>
      <c r="E233" s="103"/>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4"/>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5"/>
      <c r="AW233" s="105"/>
      <c r="AX233" s="106"/>
      <c r="AY233" s="106"/>
      <c r="AZ233" s="106"/>
      <c r="BA233" s="106"/>
      <c r="BB233" s="106"/>
      <c r="BC233" s="106"/>
      <c r="BD233" s="101"/>
      <c r="BE233" s="101"/>
      <c r="BF233" s="101"/>
      <c r="BG233" s="101"/>
      <c r="BH233" s="101"/>
      <c r="BI233" s="101"/>
      <c r="BJ233" s="101"/>
      <c r="BK233" s="101"/>
      <c r="BL233" s="101"/>
      <c r="BM233" s="101"/>
      <c r="BN233" s="101"/>
      <c r="BO233" s="101"/>
      <c r="BP233" s="101"/>
      <c r="BQ233" s="101"/>
      <c r="BR233" s="101"/>
      <c r="BS233" s="101"/>
      <c r="BT233" s="101"/>
      <c r="BU233" s="101"/>
      <c r="BV233" s="101"/>
      <c r="BW233" s="107"/>
      <c r="BX233" s="101"/>
      <c r="BY233" s="108"/>
      <c r="BZ233" s="108"/>
      <c r="CA233" s="109"/>
      <c r="CB233" s="101"/>
      <c r="CC233" s="101"/>
      <c r="CD233" s="101"/>
      <c r="CE233" s="101"/>
      <c r="CF233" s="101"/>
      <c r="CG233" s="101"/>
      <c r="CH233" s="101"/>
      <c r="CI233" s="101"/>
      <c r="CJ233" s="101"/>
      <c r="CK233" s="101"/>
      <c r="CL233" s="101"/>
      <c r="CM233" s="101"/>
      <c r="CN233" s="101"/>
      <c r="CO233" s="101"/>
      <c r="CP233" s="101"/>
      <c r="CQ233" s="101"/>
      <c r="CR233" s="101"/>
      <c r="CS233" s="101"/>
      <c r="CT233" s="101"/>
      <c r="CU233" s="109"/>
      <c r="CV233" s="110"/>
      <c r="CW233" s="109"/>
      <c r="CX233" s="110"/>
      <c r="CY233" s="101"/>
      <c r="CZ233" s="101"/>
      <c r="DA233" s="101"/>
      <c r="DB233" s="101"/>
      <c r="DC233" s="101"/>
      <c r="DD233" s="101"/>
      <c r="DE233" s="101"/>
      <c r="DF233" s="101"/>
      <c r="DG233" s="101"/>
      <c r="DH233" s="101"/>
      <c r="DI233" s="101"/>
      <c r="DJ233" s="101"/>
      <c r="DK233" s="101"/>
      <c r="DL233" s="101"/>
      <c r="DM233" s="101"/>
    </row>
    <row r="234" ht="21.75" customHeight="1">
      <c r="A234" s="101"/>
      <c r="B234" s="101"/>
      <c r="C234" s="101"/>
      <c r="D234" s="101"/>
      <c r="E234" s="103"/>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4"/>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5"/>
      <c r="AW234" s="105"/>
      <c r="AX234" s="106"/>
      <c r="AY234" s="106"/>
      <c r="AZ234" s="106"/>
      <c r="BA234" s="106"/>
      <c r="BB234" s="106"/>
      <c r="BC234" s="106"/>
      <c r="BD234" s="101"/>
      <c r="BE234" s="101"/>
      <c r="BF234" s="101"/>
      <c r="BG234" s="101"/>
      <c r="BH234" s="101"/>
      <c r="BI234" s="101"/>
      <c r="BJ234" s="101"/>
      <c r="BK234" s="101"/>
      <c r="BL234" s="101"/>
      <c r="BM234" s="101"/>
      <c r="BN234" s="101"/>
      <c r="BO234" s="101"/>
      <c r="BP234" s="101"/>
      <c r="BQ234" s="101"/>
      <c r="BR234" s="101"/>
      <c r="BS234" s="101"/>
      <c r="BT234" s="101"/>
      <c r="BU234" s="101"/>
      <c r="BV234" s="101"/>
      <c r="BW234" s="107"/>
      <c r="BX234" s="101"/>
      <c r="BY234" s="108"/>
      <c r="BZ234" s="108"/>
      <c r="CA234" s="109"/>
      <c r="CB234" s="101"/>
      <c r="CC234" s="101"/>
      <c r="CD234" s="101"/>
      <c r="CE234" s="101"/>
      <c r="CF234" s="101"/>
      <c r="CG234" s="101"/>
      <c r="CH234" s="101"/>
      <c r="CI234" s="101"/>
      <c r="CJ234" s="101"/>
      <c r="CK234" s="101"/>
      <c r="CL234" s="101"/>
      <c r="CM234" s="101"/>
      <c r="CN234" s="101"/>
      <c r="CO234" s="101"/>
      <c r="CP234" s="101"/>
      <c r="CQ234" s="101"/>
      <c r="CR234" s="101"/>
      <c r="CS234" s="101"/>
      <c r="CT234" s="101"/>
      <c r="CU234" s="109"/>
      <c r="CV234" s="110"/>
      <c r="CW234" s="109"/>
      <c r="CX234" s="110"/>
      <c r="CY234" s="101"/>
      <c r="CZ234" s="101"/>
      <c r="DA234" s="101"/>
      <c r="DB234" s="101"/>
      <c r="DC234" s="101"/>
      <c r="DD234" s="101"/>
      <c r="DE234" s="101"/>
      <c r="DF234" s="101"/>
      <c r="DG234" s="101"/>
      <c r="DH234" s="101"/>
      <c r="DI234" s="101"/>
      <c r="DJ234" s="101"/>
      <c r="DK234" s="101"/>
      <c r="DL234" s="101"/>
      <c r="DM234" s="101"/>
    </row>
    <row r="235" ht="21.75" customHeight="1">
      <c r="A235" s="101"/>
      <c r="B235" s="101"/>
      <c r="C235" s="101"/>
      <c r="D235" s="101"/>
      <c r="E235" s="103"/>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4"/>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5"/>
      <c r="AW235" s="105"/>
      <c r="AX235" s="106"/>
      <c r="AY235" s="106"/>
      <c r="AZ235" s="106"/>
      <c r="BA235" s="106"/>
      <c r="BB235" s="106"/>
      <c r="BC235" s="106"/>
      <c r="BD235" s="101"/>
      <c r="BE235" s="101"/>
      <c r="BF235" s="101"/>
      <c r="BG235" s="101"/>
      <c r="BH235" s="101"/>
      <c r="BI235" s="101"/>
      <c r="BJ235" s="101"/>
      <c r="BK235" s="101"/>
      <c r="BL235" s="101"/>
      <c r="BM235" s="101"/>
      <c r="BN235" s="101"/>
      <c r="BO235" s="101"/>
      <c r="BP235" s="101"/>
      <c r="BQ235" s="101"/>
      <c r="BR235" s="101"/>
      <c r="BS235" s="101"/>
      <c r="BT235" s="101"/>
      <c r="BU235" s="101"/>
      <c r="BV235" s="101"/>
      <c r="BW235" s="107"/>
      <c r="BX235" s="101"/>
      <c r="BY235" s="108"/>
      <c r="BZ235" s="108"/>
      <c r="CA235" s="109"/>
      <c r="CB235" s="101"/>
      <c r="CC235" s="101"/>
      <c r="CD235" s="101"/>
      <c r="CE235" s="101"/>
      <c r="CF235" s="101"/>
      <c r="CG235" s="101"/>
      <c r="CH235" s="101"/>
      <c r="CI235" s="101"/>
      <c r="CJ235" s="101"/>
      <c r="CK235" s="101"/>
      <c r="CL235" s="101"/>
      <c r="CM235" s="101"/>
      <c r="CN235" s="101"/>
      <c r="CO235" s="101"/>
      <c r="CP235" s="101"/>
      <c r="CQ235" s="101"/>
      <c r="CR235" s="101"/>
      <c r="CS235" s="101"/>
      <c r="CT235" s="101"/>
      <c r="CU235" s="109"/>
      <c r="CV235" s="110"/>
      <c r="CW235" s="109"/>
      <c r="CX235" s="110"/>
      <c r="CY235" s="101"/>
      <c r="CZ235" s="101"/>
      <c r="DA235" s="101"/>
      <c r="DB235" s="101"/>
      <c r="DC235" s="101"/>
      <c r="DD235" s="101"/>
      <c r="DE235" s="101"/>
      <c r="DF235" s="101"/>
      <c r="DG235" s="101"/>
      <c r="DH235" s="101"/>
      <c r="DI235" s="101"/>
      <c r="DJ235" s="101"/>
      <c r="DK235" s="101"/>
      <c r="DL235" s="101"/>
      <c r="DM235" s="101"/>
    </row>
    <row r="236" ht="21.75" customHeight="1">
      <c r="A236" s="101"/>
      <c r="B236" s="101"/>
      <c r="C236" s="101"/>
      <c r="D236" s="101"/>
      <c r="E236" s="103"/>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4"/>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5"/>
      <c r="AW236" s="105"/>
      <c r="AX236" s="106"/>
      <c r="AY236" s="106"/>
      <c r="AZ236" s="106"/>
      <c r="BA236" s="106"/>
      <c r="BB236" s="106"/>
      <c r="BC236" s="106"/>
      <c r="BD236" s="101"/>
      <c r="BE236" s="101"/>
      <c r="BF236" s="101"/>
      <c r="BG236" s="101"/>
      <c r="BH236" s="101"/>
      <c r="BI236" s="101"/>
      <c r="BJ236" s="101"/>
      <c r="BK236" s="101"/>
      <c r="BL236" s="101"/>
      <c r="BM236" s="101"/>
      <c r="BN236" s="101"/>
      <c r="BO236" s="101"/>
      <c r="BP236" s="101"/>
      <c r="BQ236" s="101"/>
      <c r="BR236" s="101"/>
      <c r="BS236" s="101"/>
      <c r="BT236" s="101"/>
      <c r="BU236" s="101"/>
      <c r="BV236" s="101"/>
      <c r="BW236" s="107"/>
      <c r="BX236" s="101"/>
      <c r="BY236" s="108"/>
      <c r="BZ236" s="108"/>
      <c r="CA236" s="109"/>
      <c r="CB236" s="101"/>
      <c r="CC236" s="101"/>
      <c r="CD236" s="101"/>
      <c r="CE236" s="101"/>
      <c r="CF236" s="101"/>
      <c r="CG236" s="101"/>
      <c r="CH236" s="101"/>
      <c r="CI236" s="101"/>
      <c r="CJ236" s="101"/>
      <c r="CK236" s="101"/>
      <c r="CL236" s="101"/>
      <c r="CM236" s="101"/>
      <c r="CN236" s="101"/>
      <c r="CO236" s="101"/>
      <c r="CP236" s="101"/>
      <c r="CQ236" s="101"/>
      <c r="CR236" s="101"/>
      <c r="CS236" s="101"/>
      <c r="CT236" s="101"/>
      <c r="CU236" s="109"/>
      <c r="CV236" s="110"/>
      <c r="CW236" s="109"/>
      <c r="CX236" s="110"/>
      <c r="CY236" s="101"/>
      <c r="CZ236" s="101"/>
      <c r="DA236" s="101"/>
      <c r="DB236" s="101"/>
      <c r="DC236" s="101"/>
      <c r="DD236" s="101"/>
      <c r="DE236" s="101"/>
      <c r="DF236" s="101"/>
      <c r="DG236" s="101"/>
      <c r="DH236" s="101"/>
      <c r="DI236" s="101"/>
      <c r="DJ236" s="101"/>
      <c r="DK236" s="101"/>
      <c r="DL236" s="101"/>
      <c r="DM236" s="101"/>
    </row>
    <row r="237" ht="21.75" customHeight="1">
      <c r="A237" s="101"/>
      <c r="B237" s="101"/>
      <c r="C237" s="101"/>
      <c r="D237" s="101"/>
      <c r="E237" s="103"/>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4"/>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5"/>
      <c r="AW237" s="105"/>
      <c r="AX237" s="106"/>
      <c r="AY237" s="106"/>
      <c r="AZ237" s="106"/>
      <c r="BA237" s="106"/>
      <c r="BB237" s="106"/>
      <c r="BC237" s="106"/>
      <c r="BD237" s="101"/>
      <c r="BE237" s="101"/>
      <c r="BF237" s="101"/>
      <c r="BG237" s="101"/>
      <c r="BH237" s="101"/>
      <c r="BI237" s="101"/>
      <c r="BJ237" s="101"/>
      <c r="BK237" s="101"/>
      <c r="BL237" s="101"/>
      <c r="BM237" s="101"/>
      <c r="BN237" s="101"/>
      <c r="BO237" s="101"/>
      <c r="BP237" s="101"/>
      <c r="BQ237" s="101"/>
      <c r="BR237" s="101"/>
      <c r="BS237" s="101"/>
      <c r="BT237" s="101"/>
      <c r="BU237" s="101"/>
      <c r="BV237" s="101"/>
      <c r="BW237" s="107"/>
      <c r="BX237" s="101"/>
      <c r="BY237" s="108"/>
      <c r="BZ237" s="108"/>
      <c r="CA237" s="109"/>
      <c r="CB237" s="101"/>
      <c r="CC237" s="101"/>
      <c r="CD237" s="101"/>
      <c r="CE237" s="101"/>
      <c r="CF237" s="101"/>
      <c r="CG237" s="101"/>
      <c r="CH237" s="101"/>
      <c r="CI237" s="101"/>
      <c r="CJ237" s="101"/>
      <c r="CK237" s="101"/>
      <c r="CL237" s="101"/>
      <c r="CM237" s="101"/>
      <c r="CN237" s="101"/>
      <c r="CO237" s="101"/>
      <c r="CP237" s="101"/>
      <c r="CQ237" s="101"/>
      <c r="CR237" s="101"/>
      <c r="CS237" s="101"/>
      <c r="CT237" s="101"/>
      <c r="CU237" s="109"/>
      <c r="CV237" s="110"/>
      <c r="CW237" s="109"/>
      <c r="CX237" s="110"/>
      <c r="CY237" s="101"/>
      <c r="CZ237" s="101"/>
      <c r="DA237" s="101"/>
      <c r="DB237" s="101"/>
      <c r="DC237" s="101"/>
      <c r="DD237" s="101"/>
      <c r="DE237" s="101"/>
      <c r="DF237" s="101"/>
      <c r="DG237" s="101"/>
      <c r="DH237" s="101"/>
      <c r="DI237" s="101"/>
      <c r="DJ237" s="101"/>
      <c r="DK237" s="101"/>
      <c r="DL237" s="101"/>
      <c r="DM237" s="101"/>
    </row>
    <row r="238" ht="21.75" customHeight="1">
      <c r="A238" s="101"/>
      <c r="B238" s="101"/>
      <c r="C238" s="101"/>
      <c r="D238" s="101"/>
      <c r="E238" s="103"/>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4"/>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5"/>
      <c r="AW238" s="105"/>
      <c r="AX238" s="106"/>
      <c r="AY238" s="106"/>
      <c r="AZ238" s="106"/>
      <c r="BA238" s="106"/>
      <c r="BB238" s="106"/>
      <c r="BC238" s="106"/>
      <c r="BD238" s="101"/>
      <c r="BE238" s="101"/>
      <c r="BF238" s="101"/>
      <c r="BG238" s="101"/>
      <c r="BH238" s="101"/>
      <c r="BI238" s="101"/>
      <c r="BJ238" s="101"/>
      <c r="BK238" s="101"/>
      <c r="BL238" s="101"/>
      <c r="BM238" s="101"/>
      <c r="BN238" s="101"/>
      <c r="BO238" s="101"/>
      <c r="BP238" s="101"/>
      <c r="BQ238" s="101"/>
      <c r="BR238" s="101"/>
      <c r="BS238" s="101"/>
      <c r="BT238" s="101"/>
      <c r="BU238" s="101"/>
      <c r="BV238" s="101"/>
      <c r="BW238" s="107"/>
      <c r="BX238" s="101"/>
      <c r="BY238" s="108"/>
      <c r="BZ238" s="108"/>
      <c r="CA238" s="109"/>
      <c r="CB238" s="101"/>
      <c r="CC238" s="101"/>
      <c r="CD238" s="101"/>
      <c r="CE238" s="101"/>
      <c r="CF238" s="101"/>
      <c r="CG238" s="101"/>
      <c r="CH238" s="101"/>
      <c r="CI238" s="101"/>
      <c r="CJ238" s="101"/>
      <c r="CK238" s="101"/>
      <c r="CL238" s="101"/>
      <c r="CM238" s="101"/>
      <c r="CN238" s="101"/>
      <c r="CO238" s="101"/>
      <c r="CP238" s="101"/>
      <c r="CQ238" s="101"/>
      <c r="CR238" s="101"/>
      <c r="CS238" s="101"/>
      <c r="CT238" s="101"/>
      <c r="CU238" s="109"/>
      <c r="CV238" s="110"/>
      <c r="CW238" s="109"/>
      <c r="CX238" s="110"/>
      <c r="CY238" s="101"/>
      <c r="CZ238" s="101"/>
      <c r="DA238" s="101"/>
      <c r="DB238" s="101"/>
      <c r="DC238" s="101"/>
      <c r="DD238" s="101"/>
      <c r="DE238" s="101"/>
      <c r="DF238" s="101"/>
      <c r="DG238" s="101"/>
      <c r="DH238" s="101"/>
      <c r="DI238" s="101"/>
      <c r="DJ238" s="101"/>
      <c r="DK238" s="101"/>
      <c r="DL238" s="101"/>
      <c r="DM238" s="101"/>
    </row>
    <row r="239" ht="21.75" customHeight="1">
      <c r="A239" s="101"/>
      <c r="B239" s="101"/>
      <c r="C239" s="101"/>
      <c r="D239" s="101"/>
      <c r="E239" s="103"/>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4"/>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5"/>
      <c r="AW239" s="105"/>
      <c r="AX239" s="106"/>
      <c r="AY239" s="106"/>
      <c r="AZ239" s="106"/>
      <c r="BA239" s="106"/>
      <c r="BB239" s="106"/>
      <c r="BC239" s="106"/>
      <c r="BD239" s="101"/>
      <c r="BE239" s="101"/>
      <c r="BF239" s="101"/>
      <c r="BG239" s="101"/>
      <c r="BH239" s="101"/>
      <c r="BI239" s="101"/>
      <c r="BJ239" s="101"/>
      <c r="BK239" s="101"/>
      <c r="BL239" s="101"/>
      <c r="BM239" s="101"/>
      <c r="BN239" s="101"/>
      <c r="BO239" s="101"/>
      <c r="BP239" s="101"/>
      <c r="BQ239" s="101"/>
      <c r="BR239" s="101"/>
      <c r="BS239" s="101"/>
      <c r="BT239" s="101"/>
      <c r="BU239" s="101"/>
      <c r="BV239" s="101"/>
      <c r="BW239" s="107"/>
      <c r="BX239" s="101"/>
      <c r="BY239" s="108"/>
      <c r="BZ239" s="108"/>
      <c r="CA239" s="109"/>
      <c r="CB239" s="101"/>
      <c r="CC239" s="101"/>
      <c r="CD239" s="101"/>
      <c r="CE239" s="101"/>
      <c r="CF239" s="101"/>
      <c r="CG239" s="101"/>
      <c r="CH239" s="101"/>
      <c r="CI239" s="101"/>
      <c r="CJ239" s="101"/>
      <c r="CK239" s="101"/>
      <c r="CL239" s="101"/>
      <c r="CM239" s="101"/>
      <c r="CN239" s="101"/>
      <c r="CO239" s="101"/>
      <c r="CP239" s="101"/>
      <c r="CQ239" s="101"/>
      <c r="CR239" s="101"/>
      <c r="CS239" s="101"/>
      <c r="CT239" s="101"/>
      <c r="CU239" s="109"/>
      <c r="CV239" s="110"/>
      <c r="CW239" s="109"/>
      <c r="CX239" s="110"/>
      <c r="CY239" s="101"/>
      <c r="CZ239" s="101"/>
      <c r="DA239" s="101"/>
      <c r="DB239" s="101"/>
      <c r="DC239" s="101"/>
      <c r="DD239" s="101"/>
      <c r="DE239" s="101"/>
      <c r="DF239" s="101"/>
      <c r="DG239" s="101"/>
      <c r="DH239" s="101"/>
      <c r="DI239" s="101"/>
      <c r="DJ239" s="101"/>
      <c r="DK239" s="101"/>
      <c r="DL239" s="101"/>
      <c r="DM239" s="101"/>
    </row>
    <row r="240" ht="21.75" customHeight="1">
      <c r="A240" s="101"/>
      <c r="B240" s="101"/>
      <c r="C240" s="101"/>
      <c r="D240" s="101"/>
      <c r="E240" s="103"/>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4"/>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5"/>
      <c r="AW240" s="105"/>
      <c r="AX240" s="106"/>
      <c r="AY240" s="106"/>
      <c r="AZ240" s="106"/>
      <c r="BA240" s="106"/>
      <c r="BB240" s="106"/>
      <c r="BC240" s="106"/>
      <c r="BD240" s="101"/>
      <c r="BE240" s="101"/>
      <c r="BF240" s="101"/>
      <c r="BG240" s="101"/>
      <c r="BH240" s="101"/>
      <c r="BI240" s="101"/>
      <c r="BJ240" s="101"/>
      <c r="BK240" s="101"/>
      <c r="BL240" s="101"/>
      <c r="BM240" s="101"/>
      <c r="BN240" s="101"/>
      <c r="BO240" s="101"/>
      <c r="BP240" s="101"/>
      <c r="BQ240" s="101"/>
      <c r="BR240" s="101"/>
      <c r="BS240" s="101"/>
      <c r="BT240" s="101"/>
      <c r="BU240" s="101"/>
      <c r="BV240" s="101"/>
      <c r="BW240" s="107"/>
      <c r="BX240" s="101"/>
      <c r="BY240" s="108"/>
      <c r="BZ240" s="108"/>
      <c r="CA240" s="109"/>
      <c r="CB240" s="101"/>
      <c r="CC240" s="101"/>
      <c r="CD240" s="101"/>
      <c r="CE240" s="101"/>
      <c r="CF240" s="101"/>
      <c r="CG240" s="101"/>
      <c r="CH240" s="101"/>
      <c r="CI240" s="101"/>
      <c r="CJ240" s="101"/>
      <c r="CK240" s="101"/>
      <c r="CL240" s="101"/>
      <c r="CM240" s="101"/>
      <c r="CN240" s="101"/>
      <c r="CO240" s="101"/>
      <c r="CP240" s="101"/>
      <c r="CQ240" s="101"/>
      <c r="CR240" s="101"/>
      <c r="CS240" s="101"/>
      <c r="CT240" s="101"/>
      <c r="CU240" s="109"/>
      <c r="CV240" s="110"/>
      <c r="CW240" s="109"/>
      <c r="CX240" s="110"/>
      <c r="CY240" s="101"/>
      <c r="CZ240" s="101"/>
      <c r="DA240" s="101"/>
      <c r="DB240" s="101"/>
      <c r="DC240" s="101"/>
      <c r="DD240" s="101"/>
      <c r="DE240" s="101"/>
      <c r="DF240" s="101"/>
      <c r="DG240" s="101"/>
      <c r="DH240" s="101"/>
      <c r="DI240" s="101"/>
      <c r="DJ240" s="101"/>
      <c r="DK240" s="101"/>
      <c r="DL240" s="101"/>
      <c r="DM240" s="101"/>
    </row>
    <row r="241" ht="21.75" customHeight="1">
      <c r="A241" s="101"/>
      <c r="B241" s="101"/>
      <c r="C241" s="101"/>
      <c r="D241" s="101"/>
      <c r="E241" s="103"/>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4"/>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5"/>
      <c r="AW241" s="105"/>
      <c r="AX241" s="106"/>
      <c r="AY241" s="106"/>
      <c r="AZ241" s="106"/>
      <c r="BA241" s="106"/>
      <c r="BB241" s="106"/>
      <c r="BC241" s="106"/>
      <c r="BD241" s="101"/>
      <c r="BE241" s="101"/>
      <c r="BF241" s="101"/>
      <c r="BG241" s="101"/>
      <c r="BH241" s="101"/>
      <c r="BI241" s="101"/>
      <c r="BJ241" s="101"/>
      <c r="BK241" s="101"/>
      <c r="BL241" s="101"/>
      <c r="BM241" s="101"/>
      <c r="BN241" s="101"/>
      <c r="BO241" s="101"/>
      <c r="BP241" s="101"/>
      <c r="BQ241" s="101"/>
      <c r="BR241" s="101"/>
      <c r="BS241" s="101"/>
      <c r="BT241" s="101"/>
      <c r="BU241" s="101"/>
      <c r="BV241" s="101"/>
      <c r="BW241" s="107"/>
      <c r="BX241" s="101"/>
      <c r="BY241" s="108"/>
      <c r="BZ241" s="108"/>
      <c r="CA241" s="109"/>
      <c r="CB241" s="101"/>
      <c r="CC241" s="101"/>
      <c r="CD241" s="101"/>
      <c r="CE241" s="101"/>
      <c r="CF241" s="101"/>
      <c r="CG241" s="101"/>
      <c r="CH241" s="101"/>
      <c r="CI241" s="101"/>
      <c r="CJ241" s="101"/>
      <c r="CK241" s="101"/>
      <c r="CL241" s="101"/>
      <c r="CM241" s="101"/>
      <c r="CN241" s="101"/>
      <c r="CO241" s="101"/>
      <c r="CP241" s="101"/>
      <c r="CQ241" s="101"/>
      <c r="CR241" s="101"/>
      <c r="CS241" s="101"/>
      <c r="CT241" s="101"/>
      <c r="CU241" s="109"/>
      <c r="CV241" s="110"/>
      <c r="CW241" s="109"/>
      <c r="CX241" s="110"/>
      <c r="CY241" s="101"/>
      <c r="CZ241" s="101"/>
      <c r="DA241" s="101"/>
      <c r="DB241" s="101"/>
      <c r="DC241" s="101"/>
      <c r="DD241" s="101"/>
      <c r="DE241" s="101"/>
      <c r="DF241" s="101"/>
      <c r="DG241" s="101"/>
      <c r="DH241" s="101"/>
      <c r="DI241" s="101"/>
      <c r="DJ241" s="101"/>
      <c r="DK241" s="101"/>
      <c r="DL241" s="101"/>
      <c r="DM241" s="101"/>
    </row>
    <row r="242" ht="21.75" customHeight="1">
      <c r="A242" s="101"/>
      <c r="B242" s="101"/>
      <c r="C242" s="101"/>
      <c r="D242" s="101"/>
      <c r="E242" s="103"/>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4"/>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5"/>
      <c r="AW242" s="105"/>
      <c r="AX242" s="106"/>
      <c r="AY242" s="106"/>
      <c r="AZ242" s="106"/>
      <c r="BA242" s="106"/>
      <c r="BB242" s="106"/>
      <c r="BC242" s="106"/>
      <c r="BD242" s="101"/>
      <c r="BE242" s="101"/>
      <c r="BF242" s="101"/>
      <c r="BG242" s="101"/>
      <c r="BH242" s="101"/>
      <c r="BI242" s="101"/>
      <c r="BJ242" s="101"/>
      <c r="BK242" s="101"/>
      <c r="BL242" s="101"/>
      <c r="BM242" s="101"/>
      <c r="BN242" s="101"/>
      <c r="BO242" s="101"/>
      <c r="BP242" s="101"/>
      <c r="BQ242" s="101"/>
      <c r="BR242" s="101"/>
      <c r="BS242" s="101"/>
      <c r="BT242" s="101"/>
      <c r="BU242" s="101"/>
      <c r="BV242" s="101"/>
      <c r="BW242" s="107"/>
      <c r="BX242" s="101"/>
      <c r="BY242" s="108"/>
      <c r="BZ242" s="108"/>
      <c r="CA242" s="109"/>
      <c r="CB242" s="101"/>
      <c r="CC242" s="101"/>
      <c r="CD242" s="101"/>
      <c r="CE242" s="101"/>
      <c r="CF242" s="101"/>
      <c r="CG242" s="101"/>
      <c r="CH242" s="101"/>
      <c r="CI242" s="101"/>
      <c r="CJ242" s="101"/>
      <c r="CK242" s="101"/>
      <c r="CL242" s="101"/>
      <c r="CM242" s="101"/>
      <c r="CN242" s="101"/>
      <c r="CO242" s="101"/>
      <c r="CP242" s="101"/>
      <c r="CQ242" s="101"/>
      <c r="CR242" s="101"/>
      <c r="CS242" s="101"/>
      <c r="CT242" s="101"/>
      <c r="CU242" s="109"/>
      <c r="CV242" s="110"/>
      <c r="CW242" s="109"/>
      <c r="CX242" s="110"/>
      <c r="CY242" s="101"/>
      <c r="CZ242" s="101"/>
      <c r="DA242" s="101"/>
      <c r="DB242" s="101"/>
      <c r="DC242" s="101"/>
      <c r="DD242" s="101"/>
      <c r="DE242" s="101"/>
      <c r="DF242" s="101"/>
      <c r="DG242" s="101"/>
      <c r="DH242" s="101"/>
      <c r="DI242" s="101"/>
      <c r="DJ242" s="101"/>
      <c r="DK242" s="101"/>
      <c r="DL242" s="101"/>
      <c r="DM242" s="101"/>
    </row>
    <row r="243" ht="21.75" customHeight="1">
      <c r="A243" s="101"/>
      <c r="B243" s="101"/>
      <c r="C243" s="101"/>
      <c r="D243" s="101"/>
      <c r="E243" s="103"/>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4"/>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5"/>
      <c r="AW243" s="105"/>
      <c r="AX243" s="106"/>
      <c r="AY243" s="106"/>
      <c r="AZ243" s="106"/>
      <c r="BA243" s="106"/>
      <c r="BB243" s="106"/>
      <c r="BC243" s="106"/>
      <c r="BD243" s="101"/>
      <c r="BE243" s="101"/>
      <c r="BF243" s="101"/>
      <c r="BG243" s="101"/>
      <c r="BH243" s="101"/>
      <c r="BI243" s="101"/>
      <c r="BJ243" s="101"/>
      <c r="BK243" s="101"/>
      <c r="BL243" s="101"/>
      <c r="BM243" s="101"/>
      <c r="BN243" s="101"/>
      <c r="BO243" s="101"/>
      <c r="BP243" s="101"/>
      <c r="BQ243" s="101"/>
      <c r="BR243" s="101"/>
      <c r="BS243" s="101"/>
      <c r="BT243" s="101"/>
      <c r="BU243" s="101"/>
      <c r="BV243" s="101"/>
      <c r="BW243" s="107"/>
      <c r="BX243" s="101"/>
      <c r="BY243" s="108"/>
      <c r="BZ243" s="108"/>
      <c r="CA243" s="109"/>
      <c r="CB243" s="101"/>
      <c r="CC243" s="101"/>
      <c r="CD243" s="101"/>
      <c r="CE243" s="101"/>
      <c r="CF243" s="101"/>
      <c r="CG243" s="101"/>
      <c r="CH243" s="101"/>
      <c r="CI243" s="101"/>
      <c r="CJ243" s="101"/>
      <c r="CK243" s="101"/>
      <c r="CL243" s="101"/>
      <c r="CM243" s="101"/>
      <c r="CN243" s="101"/>
      <c r="CO243" s="101"/>
      <c r="CP243" s="101"/>
      <c r="CQ243" s="101"/>
      <c r="CR243" s="101"/>
      <c r="CS243" s="101"/>
      <c r="CT243" s="101"/>
      <c r="CU243" s="109"/>
      <c r="CV243" s="110"/>
      <c r="CW243" s="109"/>
      <c r="CX243" s="110"/>
      <c r="CY243" s="101"/>
      <c r="CZ243" s="101"/>
      <c r="DA243" s="101"/>
      <c r="DB243" s="101"/>
      <c r="DC243" s="101"/>
      <c r="DD243" s="101"/>
      <c r="DE243" s="101"/>
      <c r="DF243" s="101"/>
      <c r="DG243" s="101"/>
      <c r="DH243" s="101"/>
      <c r="DI243" s="101"/>
      <c r="DJ243" s="101"/>
      <c r="DK243" s="101"/>
      <c r="DL243" s="101"/>
      <c r="DM243" s="101"/>
    </row>
    <row r="244" ht="21.75" customHeight="1">
      <c r="A244" s="101"/>
      <c r="B244" s="101"/>
      <c r="C244" s="101"/>
      <c r="D244" s="101"/>
      <c r="E244" s="103"/>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4"/>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5"/>
      <c r="AW244" s="105"/>
      <c r="AX244" s="106"/>
      <c r="AY244" s="106"/>
      <c r="AZ244" s="106"/>
      <c r="BA244" s="106"/>
      <c r="BB244" s="106"/>
      <c r="BC244" s="106"/>
      <c r="BD244" s="101"/>
      <c r="BE244" s="101"/>
      <c r="BF244" s="101"/>
      <c r="BG244" s="101"/>
      <c r="BH244" s="101"/>
      <c r="BI244" s="101"/>
      <c r="BJ244" s="101"/>
      <c r="BK244" s="101"/>
      <c r="BL244" s="101"/>
      <c r="BM244" s="101"/>
      <c r="BN244" s="101"/>
      <c r="BO244" s="101"/>
      <c r="BP244" s="101"/>
      <c r="BQ244" s="101"/>
      <c r="BR244" s="101"/>
      <c r="BS244" s="101"/>
      <c r="BT244" s="101"/>
      <c r="BU244" s="101"/>
      <c r="BV244" s="101"/>
      <c r="BW244" s="107"/>
      <c r="BX244" s="101"/>
      <c r="BY244" s="108"/>
      <c r="BZ244" s="108"/>
      <c r="CA244" s="109"/>
      <c r="CB244" s="101"/>
      <c r="CC244" s="101"/>
      <c r="CD244" s="101"/>
      <c r="CE244" s="101"/>
      <c r="CF244" s="101"/>
      <c r="CG244" s="101"/>
      <c r="CH244" s="101"/>
      <c r="CI244" s="101"/>
      <c r="CJ244" s="101"/>
      <c r="CK244" s="101"/>
      <c r="CL244" s="101"/>
      <c r="CM244" s="101"/>
      <c r="CN244" s="101"/>
      <c r="CO244" s="101"/>
      <c r="CP244" s="101"/>
      <c r="CQ244" s="101"/>
      <c r="CR244" s="101"/>
      <c r="CS244" s="101"/>
      <c r="CT244" s="101"/>
      <c r="CU244" s="109"/>
      <c r="CV244" s="110"/>
      <c r="CW244" s="109"/>
      <c r="CX244" s="110"/>
      <c r="CY244" s="101"/>
      <c r="CZ244" s="101"/>
      <c r="DA244" s="101"/>
      <c r="DB244" s="101"/>
      <c r="DC244" s="101"/>
      <c r="DD244" s="101"/>
      <c r="DE244" s="101"/>
      <c r="DF244" s="101"/>
      <c r="DG244" s="101"/>
      <c r="DH244" s="101"/>
      <c r="DI244" s="101"/>
      <c r="DJ244" s="101"/>
      <c r="DK244" s="101"/>
      <c r="DL244" s="101"/>
      <c r="DM244" s="101"/>
    </row>
    <row r="245" ht="21.75" customHeight="1">
      <c r="A245" s="101"/>
      <c r="B245" s="101"/>
      <c r="C245" s="101"/>
      <c r="D245" s="101"/>
      <c r="E245" s="103"/>
      <c r="F245" s="101"/>
      <c r="G245" s="101"/>
      <c r="H245" s="101"/>
      <c r="I245" s="101"/>
      <c r="J245" s="101"/>
      <c r="K245" s="101"/>
      <c r="L245" s="101"/>
      <c r="M245" s="101"/>
      <c r="N245" s="101"/>
      <c r="O245" s="101"/>
      <c r="P245" s="101"/>
      <c r="Q245" s="101"/>
      <c r="R245" s="101"/>
      <c r="S245" s="101"/>
      <c r="T245" s="101"/>
      <c r="U245" s="101"/>
      <c r="V245" s="101"/>
      <c r="W245" s="101"/>
      <c r="X245" s="101"/>
      <c r="Y245" s="101"/>
      <c r="Z245" s="101"/>
      <c r="AA245" s="104"/>
      <c r="AB245" s="101"/>
      <c r="AC245" s="101"/>
      <c r="AD245" s="101"/>
      <c r="AE245" s="101"/>
      <c r="AF245" s="101"/>
      <c r="AG245" s="101"/>
      <c r="AH245" s="101"/>
      <c r="AI245" s="101"/>
      <c r="AJ245" s="101"/>
      <c r="AK245" s="101"/>
      <c r="AL245" s="101"/>
      <c r="AM245" s="101"/>
      <c r="AN245" s="101"/>
      <c r="AO245" s="101"/>
      <c r="AP245" s="101"/>
      <c r="AQ245" s="101"/>
      <c r="AR245" s="101"/>
      <c r="AS245" s="101"/>
      <c r="AT245" s="101"/>
      <c r="AU245" s="101"/>
      <c r="AV245" s="105"/>
      <c r="AW245" s="105"/>
      <c r="AX245" s="106"/>
      <c r="AY245" s="106"/>
      <c r="AZ245" s="106"/>
      <c r="BA245" s="106"/>
      <c r="BB245" s="106"/>
      <c r="BC245" s="106"/>
      <c r="BD245" s="101"/>
      <c r="BE245" s="101"/>
      <c r="BF245" s="101"/>
      <c r="BG245" s="101"/>
      <c r="BH245" s="101"/>
      <c r="BI245" s="101"/>
      <c r="BJ245" s="101"/>
      <c r="BK245" s="101"/>
      <c r="BL245" s="101"/>
      <c r="BM245" s="101"/>
      <c r="BN245" s="101"/>
      <c r="BO245" s="101"/>
      <c r="BP245" s="101"/>
      <c r="BQ245" s="101"/>
      <c r="BR245" s="101"/>
      <c r="BS245" s="101"/>
      <c r="BT245" s="101"/>
      <c r="BU245" s="101"/>
      <c r="BV245" s="101"/>
      <c r="BW245" s="107"/>
      <c r="BX245" s="101"/>
      <c r="BY245" s="108"/>
      <c r="BZ245" s="108"/>
      <c r="CA245" s="109"/>
      <c r="CB245" s="101"/>
      <c r="CC245" s="101"/>
      <c r="CD245" s="101"/>
      <c r="CE245" s="101"/>
      <c r="CF245" s="101"/>
      <c r="CG245" s="101"/>
      <c r="CH245" s="101"/>
      <c r="CI245" s="101"/>
      <c r="CJ245" s="101"/>
      <c r="CK245" s="101"/>
      <c r="CL245" s="101"/>
      <c r="CM245" s="101"/>
      <c r="CN245" s="101"/>
      <c r="CO245" s="101"/>
      <c r="CP245" s="101"/>
      <c r="CQ245" s="101"/>
      <c r="CR245" s="101"/>
      <c r="CS245" s="101"/>
      <c r="CT245" s="101"/>
      <c r="CU245" s="109"/>
      <c r="CV245" s="110"/>
      <c r="CW245" s="109"/>
      <c r="CX245" s="110"/>
      <c r="CY245" s="101"/>
      <c r="CZ245" s="101"/>
      <c r="DA245" s="101"/>
      <c r="DB245" s="101"/>
      <c r="DC245" s="101"/>
      <c r="DD245" s="101"/>
      <c r="DE245" s="101"/>
      <c r="DF245" s="101"/>
      <c r="DG245" s="101"/>
      <c r="DH245" s="101"/>
      <c r="DI245" s="101"/>
      <c r="DJ245" s="101"/>
      <c r="DK245" s="101"/>
      <c r="DL245" s="101"/>
      <c r="DM245" s="101"/>
    </row>
    <row r="246" ht="21.75" customHeight="1">
      <c r="A246" s="101"/>
      <c r="B246" s="101"/>
      <c r="C246" s="101"/>
      <c r="D246" s="101"/>
      <c r="E246" s="103"/>
      <c r="F246" s="101"/>
      <c r="G246" s="101"/>
      <c r="H246" s="101"/>
      <c r="I246" s="101"/>
      <c r="J246" s="101"/>
      <c r="K246" s="101"/>
      <c r="L246" s="101"/>
      <c r="M246" s="101"/>
      <c r="N246" s="101"/>
      <c r="O246" s="101"/>
      <c r="P246" s="101"/>
      <c r="Q246" s="101"/>
      <c r="R246" s="101"/>
      <c r="S246" s="101"/>
      <c r="T246" s="101"/>
      <c r="U246" s="101"/>
      <c r="V246" s="101"/>
      <c r="W246" s="101"/>
      <c r="X246" s="101"/>
      <c r="Y246" s="101"/>
      <c r="Z246" s="101"/>
      <c r="AA246" s="104"/>
      <c r="AB246" s="101"/>
      <c r="AC246" s="101"/>
      <c r="AD246" s="101"/>
      <c r="AE246" s="101"/>
      <c r="AF246" s="101"/>
      <c r="AG246" s="101"/>
      <c r="AH246" s="101"/>
      <c r="AI246" s="101"/>
      <c r="AJ246" s="101"/>
      <c r="AK246" s="101"/>
      <c r="AL246" s="101"/>
      <c r="AM246" s="101"/>
      <c r="AN246" s="101"/>
      <c r="AO246" s="101"/>
      <c r="AP246" s="101"/>
      <c r="AQ246" s="101"/>
      <c r="AR246" s="101"/>
      <c r="AS246" s="101"/>
      <c r="AT246" s="101"/>
      <c r="AU246" s="101"/>
      <c r="AV246" s="105"/>
      <c r="AW246" s="105"/>
      <c r="AX246" s="106"/>
      <c r="AY246" s="106"/>
      <c r="AZ246" s="106"/>
      <c r="BA246" s="106"/>
      <c r="BB246" s="106"/>
      <c r="BC246" s="106"/>
      <c r="BD246" s="101"/>
      <c r="BE246" s="101"/>
      <c r="BF246" s="101"/>
      <c r="BG246" s="101"/>
      <c r="BH246" s="101"/>
      <c r="BI246" s="101"/>
      <c r="BJ246" s="101"/>
      <c r="BK246" s="101"/>
      <c r="BL246" s="101"/>
      <c r="BM246" s="101"/>
      <c r="BN246" s="101"/>
      <c r="BO246" s="101"/>
      <c r="BP246" s="101"/>
      <c r="BQ246" s="101"/>
      <c r="BR246" s="101"/>
      <c r="BS246" s="101"/>
      <c r="BT246" s="101"/>
      <c r="BU246" s="101"/>
      <c r="BV246" s="101"/>
      <c r="BW246" s="107"/>
      <c r="BX246" s="101"/>
      <c r="BY246" s="108"/>
      <c r="BZ246" s="108"/>
      <c r="CA246" s="109"/>
      <c r="CB246" s="101"/>
      <c r="CC246" s="101"/>
      <c r="CD246" s="101"/>
      <c r="CE246" s="101"/>
      <c r="CF246" s="101"/>
      <c r="CG246" s="101"/>
      <c r="CH246" s="101"/>
      <c r="CI246" s="101"/>
      <c r="CJ246" s="101"/>
      <c r="CK246" s="101"/>
      <c r="CL246" s="101"/>
      <c r="CM246" s="101"/>
      <c r="CN246" s="101"/>
      <c r="CO246" s="101"/>
      <c r="CP246" s="101"/>
      <c r="CQ246" s="101"/>
      <c r="CR246" s="101"/>
      <c r="CS246" s="101"/>
      <c r="CT246" s="101"/>
      <c r="CU246" s="109"/>
      <c r="CV246" s="110"/>
      <c r="CW246" s="109"/>
      <c r="CX246" s="110"/>
      <c r="CY246" s="101"/>
      <c r="CZ246" s="101"/>
      <c r="DA246" s="101"/>
      <c r="DB246" s="101"/>
      <c r="DC246" s="101"/>
      <c r="DD246" s="101"/>
      <c r="DE246" s="101"/>
      <c r="DF246" s="101"/>
      <c r="DG246" s="101"/>
      <c r="DH246" s="101"/>
      <c r="DI246" s="101"/>
      <c r="DJ246" s="101"/>
      <c r="DK246" s="101"/>
      <c r="DL246" s="101"/>
      <c r="DM246" s="101"/>
    </row>
    <row r="247" ht="21.75" customHeight="1">
      <c r="A247" s="101"/>
      <c r="B247" s="101"/>
      <c r="C247" s="101"/>
      <c r="D247" s="101"/>
      <c r="E247" s="103"/>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4"/>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5"/>
      <c r="AW247" s="105"/>
      <c r="AX247" s="106"/>
      <c r="AY247" s="106"/>
      <c r="AZ247" s="106"/>
      <c r="BA247" s="106"/>
      <c r="BB247" s="106"/>
      <c r="BC247" s="106"/>
      <c r="BD247" s="101"/>
      <c r="BE247" s="101"/>
      <c r="BF247" s="101"/>
      <c r="BG247" s="101"/>
      <c r="BH247" s="101"/>
      <c r="BI247" s="101"/>
      <c r="BJ247" s="101"/>
      <c r="BK247" s="101"/>
      <c r="BL247" s="101"/>
      <c r="BM247" s="101"/>
      <c r="BN247" s="101"/>
      <c r="BO247" s="101"/>
      <c r="BP247" s="101"/>
      <c r="BQ247" s="101"/>
      <c r="BR247" s="101"/>
      <c r="BS247" s="101"/>
      <c r="BT247" s="101"/>
      <c r="BU247" s="101"/>
      <c r="BV247" s="101"/>
      <c r="BW247" s="107"/>
      <c r="BX247" s="101"/>
      <c r="BY247" s="108"/>
      <c r="BZ247" s="108"/>
      <c r="CA247" s="109"/>
      <c r="CB247" s="101"/>
      <c r="CC247" s="101"/>
      <c r="CD247" s="101"/>
      <c r="CE247" s="101"/>
      <c r="CF247" s="101"/>
      <c r="CG247" s="101"/>
      <c r="CH247" s="101"/>
      <c r="CI247" s="101"/>
      <c r="CJ247" s="101"/>
      <c r="CK247" s="101"/>
      <c r="CL247" s="101"/>
      <c r="CM247" s="101"/>
      <c r="CN247" s="101"/>
      <c r="CO247" s="101"/>
      <c r="CP247" s="101"/>
      <c r="CQ247" s="101"/>
      <c r="CR247" s="101"/>
      <c r="CS247" s="101"/>
      <c r="CT247" s="101"/>
      <c r="CU247" s="109"/>
      <c r="CV247" s="110"/>
      <c r="CW247" s="109"/>
      <c r="CX247" s="110"/>
      <c r="CY247" s="101"/>
      <c r="CZ247" s="101"/>
      <c r="DA247" s="101"/>
      <c r="DB247" s="101"/>
      <c r="DC247" s="101"/>
      <c r="DD247" s="101"/>
      <c r="DE247" s="101"/>
      <c r="DF247" s="101"/>
      <c r="DG247" s="101"/>
      <c r="DH247" s="101"/>
      <c r="DI247" s="101"/>
      <c r="DJ247" s="101"/>
      <c r="DK247" s="101"/>
      <c r="DL247" s="101"/>
      <c r="DM247" s="101"/>
    </row>
    <row r="248" ht="21.75" customHeight="1">
      <c r="A248" s="101"/>
      <c r="B248" s="101"/>
      <c r="C248" s="101"/>
      <c r="D248" s="101"/>
      <c r="E248" s="103"/>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4"/>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5"/>
      <c r="AW248" s="105"/>
      <c r="AX248" s="106"/>
      <c r="AY248" s="106"/>
      <c r="AZ248" s="106"/>
      <c r="BA248" s="106"/>
      <c r="BB248" s="106"/>
      <c r="BC248" s="106"/>
      <c r="BD248" s="101"/>
      <c r="BE248" s="101"/>
      <c r="BF248" s="101"/>
      <c r="BG248" s="101"/>
      <c r="BH248" s="101"/>
      <c r="BI248" s="101"/>
      <c r="BJ248" s="101"/>
      <c r="BK248" s="101"/>
      <c r="BL248" s="101"/>
      <c r="BM248" s="101"/>
      <c r="BN248" s="101"/>
      <c r="BO248" s="101"/>
      <c r="BP248" s="101"/>
      <c r="BQ248" s="101"/>
      <c r="BR248" s="101"/>
      <c r="BS248" s="101"/>
      <c r="BT248" s="101"/>
      <c r="BU248" s="101"/>
      <c r="BV248" s="101"/>
      <c r="BW248" s="107"/>
      <c r="BX248" s="101"/>
      <c r="BY248" s="108"/>
      <c r="BZ248" s="108"/>
      <c r="CA248" s="109"/>
      <c r="CB248" s="101"/>
      <c r="CC248" s="101"/>
      <c r="CD248" s="101"/>
      <c r="CE248" s="101"/>
      <c r="CF248" s="101"/>
      <c r="CG248" s="101"/>
      <c r="CH248" s="101"/>
      <c r="CI248" s="101"/>
      <c r="CJ248" s="101"/>
      <c r="CK248" s="101"/>
      <c r="CL248" s="101"/>
      <c r="CM248" s="101"/>
      <c r="CN248" s="101"/>
      <c r="CO248" s="101"/>
      <c r="CP248" s="101"/>
      <c r="CQ248" s="101"/>
      <c r="CR248" s="101"/>
      <c r="CS248" s="101"/>
      <c r="CT248" s="101"/>
      <c r="CU248" s="109"/>
      <c r="CV248" s="110"/>
      <c r="CW248" s="109"/>
      <c r="CX248" s="110"/>
      <c r="CY248" s="101"/>
      <c r="CZ248" s="101"/>
      <c r="DA248" s="101"/>
      <c r="DB248" s="101"/>
      <c r="DC248" s="101"/>
      <c r="DD248" s="101"/>
      <c r="DE248" s="101"/>
      <c r="DF248" s="101"/>
      <c r="DG248" s="101"/>
      <c r="DH248" s="101"/>
      <c r="DI248" s="101"/>
      <c r="DJ248" s="101"/>
      <c r="DK248" s="101"/>
      <c r="DL248" s="101"/>
      <c r="DM248" s="101"/>
    </row>
    <row r="249" ht="21.75" customHeight="1">
      <c r="A249" s="101"/>
      <c r="B249" s="101"/>
      <c r="C249" s="101"/>
      <c r="D249" s="101"/>
      <c r="E249" s="103"/>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4"/>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5"/>
      <c r="AW249" s="105"/>
      <c r="AX249" s="106"/>
      <c r="AY249" s="106"/>
      <c r="AZ249" s="106"/>
      <c r="BA249" s="106"/>
      <c r="BB249" s="106"/>
      <c r="BC249" s="106"/>
      <c r="BD249" s="101"/>
      <c r="BE249" s="101"/>
      <c r="BF249" s="101"/>
      <c r="BG249" s="101"/>
      <c r="BH249" s="101"/>
      <c r="BI249" s="101"/>
      <c r="BJ249" s="101"/>
      <c r="BK249" s="101"/>
      <c r="BL249" s="101"/>
      <c r="BM249" s="101"/>
      <c r="BN249" s="101"/>
      <c r="BO249" s="101"/>
      <c r="BP249" s="101"/>
      <c r="BQ249" s="101"/>
      <c r="BR249" s="101"/>
      <c r="BS249" s="101"/>
      <c r="BT249" s="101"/>
      <c r="BU249" s="101"/>
      <c r="BV249" s="101"/>
      <c r="BW249" s="107"/>
      <c r="BX249" s="101"/>
      <c r="BY249" s="108"/>
      <c r="BZ249" s="108"/>
      <c r="CA249" s="109"/>
      <c r="CB249" s="101"/>
      <c r="CC249" s="101"/>
      <c r="CD249" s="101"/>
      <c r="CE249" s="101"/>
      <c r="CF249" s="101"/>
      <c r="CG249" s="101"/>
      <c r="CH249" s="101"/>
      <c r="CI249" s="101"/>
      <c r="CJ249" s="101"/>
      <c r="CK249" s="101"/>
      <c r="CL249" s="101"/>
      <c r="CM249" s="101"/>
      <c r="CN249" s="101"/>
      <c r="CO249" s="101"/>
      <c r="CP249" s="101"/>
      <c r="CQ249" s="101"/>
      <c r="CR249" s="101"/>
      <c r="CS249" s="101"/>
      <c r="CT249" s="101"/>
      <c r="CU249" s="109"/>
      <c r="CV249" s="110"/>
      <c r="CW249" s="109"/>
      <c r="CX249" s="110"/>
      <c r="CY249" s="101"/>
      <c r="CZ249" s="101"/>
      <c r="DA249" s="101"/>
      <c r="DB249" s="101"/>
      <c r="DC249" s="101"/>
      <c r="DD249" s="101"/>
      <c r="DE249" s="101"/>
      <c r="DF249" s="101"/>
      <c r="DG249" s="101"/>
      <c r="DH249" s="101"/>
      <c r="DI249" s="101"/>
      <c r="DJ249" s="101"/>
      <c r="DK249" s="101"/>
      <c r="DL249" s="101"/>
      <c r="DM249" s="101"/>
    </row>
    <row r="250" ht="21.75" customHeight="1">
      <c r="A250" s="101"/>
      <c r="B250" s="101"/>
      <c r="C250" s="101"/>
      <c r="D250" s="101"/>
      <c r="E250" s="103"/>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4"/>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5"/>
      <c r="AW250" s="105"/>
      <c r="AX250" s="106"/>
      <c r="AY250" s="106"/>
      <c r="AZ250" s="106"/>
      <c r="BA250" s="106"/>
      <c r="BB250" s="106"/>
      <c r="BC250" s="106"/>
      <c r="BD250" s="101"/>
      <c r="BE250" s="101"/>
      <c r="BF250" s="101"/>
      <c r="BG250" s="101"/>
      <c r="BH250" s="101"/>
      <c r="BI250" s="101"/>
      <c r="BJ250" s="101"/>
      <c r="BK250" s="101"/>
      <c r="BL250" s="101"/>
      <c r="BM250" s="101"/>
      <c r="BN250" s="101"/>
      <c r="BO250" s="101"/>
      <c r="BP250" s="101"/>
      <c r="BQ250" s="101"/>
      <c r="BR250" s="101"/>
      <c r="BS250" s="101"/>
      <c r="BT250" s="101"/>
      <c r="BU250" s="101"/>
      <c r="BV250" s="101"/>
      <c r="BW250" s="107"/>
      <c r="BX250" s="101"/>
      <c r="BY250" s="108"/>
      <c r="BZ250" s="108"/>
      <c r="CA250" s="109"/>
      <c r="CB250" s="101"/>
      <c r="CC250" s="101"/>
      <c r="CD250" s="101"/>
      <c r="CE250" s="101"/>
      <c r="CF250" s="101"/>
      <c r="CG250" s="101"/>
      <c r="CH250" s="101"/>
      <c r="CI250" s="101"/>
      <c r="CJ250" s="101"/>
      <c r="CK250" s="101"/>
      <c r="CL250" s="101"/>
      <c r="CM250" s="101"/>
      <c r="CN250" s="101"/>
      <c r="CO250" s="101"/>
      <c r="CP250" s="101"/>
      <c r="CQ250" s="101"/>
      <c r="CR250" s="101"/>
      <c r="CS250" s="101"/>
      <c r="CT250" s="101"/>
      <c r="CU250" s="109"/>
      <c r="CV250" s="110"/>
      <c r="CW250" s="109"/>
      <c r="CX250" s="110"/>
      <c r="CY250" s="101"/>
      <c r="CZ250" s="101"/>
      <c r="DA250" s="101"/>
      <c r="DB250" s="101"/>
      <c r="DC250" s="101"/>
      <c r="DD250" s="101"/>
      <c r="DE250" s="101"/>
      <c r="DF250" s="101"/>
      <c r="DG250" s="101"/>
      <c r="DH250" s="101"/>
      <c r="DI250" s="101"/>
      <c r="DJ250" s="101"/>
      <c r="DK250" s="101"/>
      <c r="DL250" s="101"/>
      <c r="DM250" s="101"/>
    </row>
    <row r="251" ht="21.75" customHeight="1">
      <c r="A251" s="101"/>
      <c r="B251" s="101"/>
      <c r="C251" s="101"/>
      <c r="D251" s="101"/>
      <c r="E251" s="103"/>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4"/>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5"/>
      <c r="AW251" s="105"/>
      <c r="AX251" s="106"/>
      <c r="AY251" s="106"/>
      <c r="AZ251" s="106"/>
      <c r="BA251" s="106"/>
      <c r="BB251" s="106"/>
      <c r="BC251" s="106"/>
      <c r="BD251" s="101"/>
      <c r="BE251" s="101"/>
      <c r="BF251" s="101"/>
      <c r="BG251" s="101"/>
      <c r="BH251" s="101"/>
      <c r="BI251" s="101"/>
      <c r="BJ251" s="101"/>
      <c r="BK251" s="101"/>
      <c r="BL251" s="101"/>
      <c r="BM251" s="101"/>
      <c r="BN251" s="101"/>
      <c r="BO251" s="101"/>
      <c r="BP251" s="101"/>
      <c r="BQ251" s="101"/>
      <c r="BR251" s="101"/>
      <c r="BS251" s="101"/>
      <c r="BT251" s="101"/>
      <c r="BU251" s="101"/>
      <c r="BV251" s="101"/>
      <c r="BW251" s="107"/>
      <c r="BX251" s="101"/>
      <c r="BY251" s="108"/>
      <c r="BZ251" s="108"/>
      <c r="CA251" s="109"/>
      <c r="CB251" s="101"/>
      <c r="CC251" s="101"/>
      <c r="CD251" s="101"/>
      <c r="CE251" s="101"/>
      <c r="CF251" s="101"/>
      <c r="CG251" s="101"/>
      <c r="CH251" s="101"/>
      <c r="CI251" s="101"/>
      <c r="CJ251" s="101"/>
      <c r="CK251" s="101"/>
      <c r="CL251" s="101"/>
      <c r="CM251" s="101"/>
      <c r="CN251" s="101"/>
      <c r="CO251" s="101"/>
      <c r="CP251" s="101"/>
      <c r="CQ251" s="101"/>
      <c r="CR251" s="101"/>
      <c r="CS251" s="101"/>
      <c r="CT251" s="101"/>
      <c r="CU251" s="109"/>
      <c r="CV251" s="110"/>
      <c r="CW251" s="109"/>
      <c r="CX251" s="110"/>
      <c r="CY251" s="101"/>
      <c r="CZ251" s="101"/>
      <c r="DA251" s="101"/>
      <c r="DB251" s="101"/>
      <c r="DC251" s="101"/>
      <c r="DD251" s="101"/>
      <c r="DE251" s="101"/>
      <c r="DF251" s="101"/>
      <c r="DG251" s="101"/>
      <c r="DH251" s="101"/>
      <c r="DI251" s="101"/>
      <c r="DJ251" s="101"/>
      <c r="DK251" s="101"/>
      <c r="DL251" s="101"/>
      <c r="DM251" s="101"/>
    </row>
    <row r="252" ht="21.75" customHeight="1">
      <c r="A252" s="101"/>
      <c r="B252" s="101"/>
      <c r="C252" s="101"/>
      <c r="D252" s="101"/>
      <c r="E252" s="103"/>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4"/>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5"/>
      <c r="AW252" s="105"/>
      <c r="AX252" s="106"/>
      <c r="AY252" s="106"/>
      <c r="AZ252" s="106"/>
      <c r="BA252" s="106"/>
      <c r="BB252" s="106"/>
      <c r="BC252" s="106"/>
      <c r="BD252" s="101"/>
      <c r="BE252" s="101"/>
      <c r="BF252" s="101"/>
      <c r="BG252" s="101"/>
      <c r="BH252" s="101"/>
      <c r="BI252" s="101"/>
      <c r="BJ252" s="101"/>
      <c r="BK252" s="101"/>
      <c r="BL252" s="101"/>
      <c r="BM252" s="101"/>
      <c r="BN252" s="101"/>
      <c r="BO252" s="101"/>
      <c r="BP252" s="101"/>
      <c r="BQ252" s="101"/>
      <c r="BR252" s="101"/>
      <c r="BS252" s="101"/>
      <c r="BT252" s="101"/>
      <c r="BU252" s="101"/>
      <c r="BV252" s="101"/>
      <c r="BW252" s="107"/>
      <c r="BX252" s="101"/>
      <c r="BY252" s="108"/>
      <c r="BZ252" s="108"/>
      <c r="CA252" s="109"/>
      <c r="CB252" s="101"/>
      <c r="CC252" s="101"/>
      <c r="CD252" s="101"/>
      <c r="CE252" s="101"/>
      <c r="CF252" s="101"/>
      <c r="CG252" s="101"/>
      <c r="CH252" s="101"/>
      <c r="CI252" s="101"/>
      <c r="CJ252" s="101"/>
      <c r="CK252" s="101"/>
      <c r="CL252" s="101"/>
      <c r="CM252" s="101"/>
      <c r="CN252" s="101"/>
      <c r="CO252" s="101"/>
      <c r="CP252" s="101"/>
      <c r="CQ252" s="101"/>
      <c r="CR252" s="101"/>
      <c r="CS252" s="101"/>
      <c r="CT252" s="101"/>
      <c r="CU252" s="109"/>
      <c r="CV252" s="110"/>
      <c r="CW252" s="109"/>
      <c r="CX252" s="110"/>
      <c r="CY252" s="101"/>
      <c r="CZ252" s="101"/>
      <c r="DA252" s="101"/>
      <c r="DB252" s="101"/>
      <c r="DC252" s="101"/>
      <c r="DD252" s="101"/>
      <c r="DE252" s="101"/>
      <c r="DF252" s="101"/>
      <c r="DG252" s="101"/>
      <c r="DH252" s="101"/>
      <c r="DI252" s="101"/>
      <c r="DJ252" s="101"/>
      <c r="DK252" s="101"/>
      <c r="DL252" s="101"/>
      <c r="DM252" s="101"/>
    </row>
    <row r="253" ht="21.75" customHeight="1">
      <c r="A253" s="101"/>
      <c r="B253" s="101"/>
      <c r="C253" s="101"/>
      <c r="D253" s="101"/>
      <c r="E253" s="103"/>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4"/>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5"/>
      <c r="AW253" s="105"/>
      <c r="AX253" s="106"/>
      <c r="AY253" s="106"/>
      <c r="AZ253" s="106"/>
      <c r="BA253" s="106"/>
      <c r="BB253" s="106"/>
      <c r="BC253" s="106"/>
      <c r="BD253" s="101"/>
      <c r="BE253" s="101"/>
      <c r="BF253" s="101"/>
      <c r="BG253" s="101"/>
      <c r="BH253" s="101"/>
      <c r="BI253" s="101"/>
      <c r="BJ253" s="101"/>
      <c r="BK253" s="101"/>
      <c r="BL253" s="101"/>
      <c r="BM253" s="101"/>
      <c r="BN253" s="101"/>
      <c r="BO253" s="101"/>
      <c r="BP253" s="101"/>
      <c r="BQ253" s="101"/>
      <c r="BR253" s="101"/>
      <c r="BS253" s="101"/>
      <c r="BT253" s="101"/>
      <c r="BU253" s="101"/>
      <c r="BV253" s="101"/>
      <c r="BW253" s="107"/>
      <c r="BX253" s="101"/>
      <c r="BY253" s="108"/>
      <c r="BZ253" s="108"/>
      <c r="CA253" s="109"/>
      <c r="CB253" s="101"/>
      <c r="CC253" s="101"/>
      <c r="CD253" s="101"/>
      <c r="CE253" s="101"/>
      <c r="CF253" s="101"/>
      <c r="CG253" s="101"/>
      <c r="CH253" s="101"/>
      <c r="CI253" s="101"/>
      <c r="CJ253" s="101"/>
      <c r="CK253" s="101"/>
      <c r="CL253" s="101"/>
      <c r="CM253" s="101"/>
      <c r="CN253" s="101"/>
      <c r="CO253" s="101"/>
      <c r="CP253" s="101"/>
      <c r="CQ253" s="101"/>
      <c r="CR253" s="101"/>
      <c r="CS253" s="101"/>
      <c r="CT253" s="101"/>
      <c r="CU253" s="109"/>
      <c r="CV253" s="110"/>
      <c r="CW253" s="109"/>
      <c r="CX253" s="110"/>
      <c r="CY253" s="101"/>
      <c r="CZ253" s="101"/>
      <c r="DA253" s="101"/>
      <c r="DB253" s="101"/>
      <c r="DC253" s="101"/>
      <c r="DD253" s="101"/>
      <c r="DE253" s="101"/>
      <c r="DF253" s="101"/>
      <c r="DG253" s="101"/>
      <c r="DH253" s="101"/>
      <c r="DI253" s="101"/>
      <c r="DJ253" s="101"/>
      <c r="DK253" s="101"/>
      <c r="DL253" s="101"/>
      <c r="DM253" s="101"/>
    </row>
    <row r="254" ht="21.75" customHeight="1">
      <c r="A254" s="101"/>
      <c r="B254" s="101"/>
      <c r="C254" s="101"/>
      <c r="D254" s="101"/>
      <c r="E254" s="103"/>
      <c r="F254" s="101"/>
      <c r="G254" s="101"/>
      <c r="H254" s="101"/>
      <c r="I254" s="101"/>
      <c r="J254" s="101"/>
      <c r="K254" s="101"/>
      <c r="L254" s="101"/>
      <c r="M254" s="101"/>
      <c r="N254" s="101"/>
      <c r="O254" s="101"/>
      <c r="P254" s="101"/>
      <c r="Q254" s="101"/>
      <c r="R254" s="101"/>
      <c r="S254" s="101"/>
      <c r="T254" s="101"/>
      <c r="U254" s="101"/>
      <c r="V254" s="101"/>
      <c r="W254" s="101"/>
      <c r="X254" s="101"/>
      <c r="Y254" s="101"/>
      <c r="Z254" s="101"/>
      <c r="AA254" s="104"/>
      <c r="AB254" s="101"/>
      <c r="AC254" s="101"/>
      <c r="AD254" s="101"/>
      <c r="AE254" s="101"/>
      <c r="AF254" s="101"/>
      <c r="AG254" s="101"/>
      <c r="AH254" s="101"/>
      <c r="AI254" s="101"/>
      <c r="AJ254" s="101"/>
      <c r="AK254" s="101"/>
      <c r="AL254" s="101"/>
      <c r="AM254" s="101"/>
      <c r="AN254" s="101"/>
      <c r="AO254" s="101"/>
      <c r="AP254" s="101"/>
      <c r="AQ254" s="101"/>
      <c r="AR254" s="101"/>
      <c r="AS254" s="101"/>
      <c r="AT254" s="101"/>
      <c r="AU254" s="101"/>
      <c r="AV254" s="105"/>
      <c r="AW254" s="105"/>
      <c r="AX254" s="106"/>
      <c r="AY254" s="106"/>
      <c r="AZ254" s="106"/>
      <c r="BA254" s="106"/>
      <c r="BB254" s="106"/>
      <c r="BC254" s="106"/>
      <c r="BD254" s="101"/>
      <c r="BE254" s="101"/>
      <c r="BF254" s="101"/>
      <c r="BG254" s="101"/>
      <c r="BH254" s="101"/>
      <c r="BI254" s="101"/>
      <c r="BJ254" s="101"/>
      <c r="BK254" s="101"/>
      <c r="BL254" s="101"/>
      <c r="BM254" s="101"/>
      <c r="BN254" s="101"/>
      <c r="BO254" s="101"/>
      <c r="BP254" s="101"/>
      <c r="BQ254" s="101"/>
      <c r="BR254" s="101"/>
      <c r="BS254" s="101"/>
      <c r="BT254" s="101"/>
      <c r="BU254" s="101"/>
      <c r="BV254" s="101"/>
      <c r="BW254" s="107"/>
      <c r="BX254" s="101"/>
      <c r="BY254" s="108"/>
      <c r="BZ254" s="108"/>
      <c r="CA254" s="109"/>
      <c r="CB254" s="101"/>
      <c r="CC254" s="101"/>
      <c r="CD254" s="101"/>
      <c r="CE254" s="101"/>
      <c r="CF254" s="101"/>
      <c r="CG254" s="101"/>
      <c r="CH254" s="101"/>
      <c r="CI254" s="101"/>
      <c r="CJ254" s="101"/>
      <c r="CK254" s="101"/>
      <c r="CL254" s="101"/>
      <c r="CM254" s="101"/>
      <c r="CN254" s="101"/>
      <c r="CO254" s="101"/>
      <c r="CP254" s="101"/>
      <c r="CQ254" s="101"/>
      <c r="CR254" s="101"/>
      <c r="CS254" s="101"/>
      <c r="CT254" s="101"/>
      <c r="CU254" s="109"/>
      <c r="CV254" s="110"/>
      <c r="CW254" s="109"/>
      <c r="CX254" s="110"/>
      <c r="CY254" s="101"/>
      <c r="CZ254" s="101"/>
      <c r="DA254" s="101"/>
      <c r="DB254" s="101"/>
      <c r="DC254" s="101"/>
      <c r="DD254" s="101"/>
      <c r="DE254" s="101"/>
      <c r="DF254" s="101"/>
      <c r="DG254" s="101"/>
      <c r="DH254" s="101"/>
      <c r="DI254" s="101"/>
      <c r="DJ254" s="101"/>
      <c r="DK254" s="101"/>
      <c r="DL254" s="101"/>
      <c r="DM254" s="101"/>
    </row>
    <row r="255" ht="21.75" customHeight="1">
      <c r="A255" s="101"/>
      <c r="B255" s="101"/>
      <c r="C255" s="101"/>
      <c r="D255" s="101"/>
      <c r="E255" s="103"/>
      <c r="F255" s="101"/>
      <c r="G255" s="101"/>
      <c r="H255" s="101"/>
      <c r="I255" s="101"/>
      <c r="J255" s="101"/>
      <c r="K255" s="101"/>
      <c r="L255" s="101"/>
      <c r="M255" s="101"/>
      <c r="N255" s="101"/>
      <c r="O255" s="101"/>
      <c r="P255" s="101"/>
      <c r="Q255" s="101"/>
      <c r="R255" s="101"/>
      <c r="S255" s="101"/>
      <c r="T255" s="101"/>
      <c r="U255" s="101"/>
      <c r="V255" s="101"/>
      <c r="W255" s="101"/>
      <c r="X255" s="101"/>
      <c r="Y255" s="101"/>
      <c r="Z255" s="101"/>
      <c r="AA255" s="104"/>
      <c r="AB255" s="101"/>
      <c r="AC255" s="101"/>
      <c r="AD255" s="101"/>
      <c r="AE255" s="101"/>
      <c r="AF255" s="101"/>
      <c r="AG255" s="101"/>
      <c r="AH255" s="101"/>
      <c r="AI255" s="101"/>
      <c r="AJ255" s="101"/>
      <c r="AK255" s="101"/>
      <c r="AL255" s="101"/>
      <c r="AM255" s="101"/>
      <c r="AN255" s="101"/>
      <c r="AO255" s="101"/>
      <c r="AP255" s="101"/>
      <c r="AQ255" s="101"/>
      <c r="AR255" s="101"/>
      <c r="AS255" s="101"/>
      <c r="AT255" s="101"/>
      <c r="AU255" s="101"/>
      <c r="AV255" s="105"/>
      <c r="AW255" s="105"/>
      <c r="AX255" s="106"/>
      <c r="AY255" s="106"/>
      <c r="AZ255" s="106"/>
      <c r="BA255" s="106"/>
      <c r="BB255" s="106"/>
      <c r="BC255" s="106"/>
      <c r="BD255" s="101"/>
      <c r="BE255" s="101"/>
      <c r="BF255" s="101"/>
      <c r="BG255" s="101"/>
      <c r="BH255" s="101"/>
      <c r="BI255" s="101"/>
      <c r="BJ255" s="101"/>
      <c r="BK255" s="101"/>
      <c r="BL255" s="101"/>
      <c r="BM255" s="101"/>
      <c r="BN255" s="101"/>
      <c r="BO255" s="101"/>
      <c r="BP255" s="101"/>
      <c r="BQ255" s="101"/>
      <c r="BR255" s="101"/>
      <c r="BS255" s="101"/>
      <c r="BT255" s="101"/>
      <c r="BU255" s="101"/>
      <c r="BV255" s="101"/>
      <c r="BW255" s="107"/>
      <c r="BX255" s="101"/>
      <c r="BY255" s="108"/>
      <c r="BZ255" s="108"/>
      <c r="CA255" s="109"/>
      <c r="CB255" s="101"/>
      <c r="CC255" s="101"/>
      <c r="CD255" s="101"/>
      <c r="CE255" s="101"/>
      <c r="CF255" s="101"/>
      <c r="CG255" s="101"/>
      <c r="CH255" s="101"/>
      <c r="CI255" s="101"/>
      <c r="CJ255" s="101"/>
      <c r="CK255" s="101"/>
      <c r="CL255" s="101"/>
      <c r="CM255" s="101"/>
      <c r="CN255" s="101"/>
      <c r="CO255" s="101"/>
      <c r="CP255" s="101"/>
      <c r="CQ255" s="101"/>
      <c r="CR255" s="101"/>
      <c r="CS255" s="101"/>
      <c r="CT255" s="101"/>
      <c r="CU255" s="109"/>
      <c r="CV255" s="110"/>
      <c r="CW255" s="109"/>
      <c r="CX255" s="110"/>
      <c r="CY255" s="101"/>
      <c r="CZ255" s="101"/>
      <c r="DA255" s="101"/>
      <c r="DB255" s="101"/>
      <c r="DC255" s="101"/>
      <c r="DD255" s="101"/>
      <c r="DE255" s="101"/>
      <c r="DF255" s="101"/>
      <c r="DG255" s="101"/>
      <c r="DH255" s="101"/>
      <c r="DI255" s="101"/>
      <c r="DJ255" s="101"/>
      <c r="DK255" s="101"/>
      <c r="DL255" s="101"/>
      <c r="DM255" s="101"/>
    </row>
    <row r="256" ht="21.75" customHeight="1">
      <c r="A256" s="101"/>
      <c r="B256" s="101"/>
      <c r="C256" s="101"/>
      <c r="D256" s="101"/>
      <c r="E256" s="103"/>
      <c r="F256" s="101"/>
      <c r="G256" s="101"/>
      <c r="H256" s="101"/>
      <c r="I256" s="101"/>
      <c r="J256" s="101"/>
      <c r="K256" s="101"/>
      <c r="L256" s="101"/>
      <c r="M256" s="101"/>
      <c r="N256" s="101"/>
      <c r="O256" s="101"/>
      <c r="P256" s="101"/>
      <c r="Q256" s="101"/>
      <c r="R256" s="101"/>
      <c r="S256" s="101"/>
      <c r="T256" s="101"/>
      <c r="U256" s="101"/>
      <c r="V256" s="101"/>
      <c r="W256" s="101"/>
      <c r="X256" s="101"/>
      <c r="Y256" s="101"/>
      <c r="Z256" s="101"/>
      <c r="AA256" s="104"/>
      <c r="AB256" s="101"/>
      <c r="AC256" s="101"/>
      <c r="AD256" s="101"/>
      <c r="AE256" s="101"/>
      <c r="AF256" s="101"/>
      <c r="AG256" s="101"/>
      <c r="AH256" s="101"/>
      <c r="AI256" s="101"/>
      <c r="AJ256" s="101"/>
      <c r="AK256" s="101"/>
      <c r="AL256" s="101"/>
      <c r="AM256" s="101"/>
      <c r="AN256" s="101"/>
      <c r="AO256" s="101"/>
      <c r="AP256" s="101"/>
      <c r="AQ256" s="101"/>
      <c r="AR256" s="101"/>
      <c r="AS256" s="101"/>
      <c r="AT256" s="101"/>
      <c r="AU256" s="101"/>
      <c r="AV256" s="105"/>
      <c r="AW256" s="105"/>
      <c r="AX256" s="106"/>
      <c r="AY256" s="106"/>
      <c r="AZ256" s="106"/>
      <c r="BA256" s="106"/>
      <c r="BB256" s="106"/>
      <c r="BC256" s="106"/>
      <c r="BD256" s="101"/>
      <c r="BE256" s="101"/>
      <c r="BF256" s="101"/>
      <c r="BG256" s="101"/>
      <c r="BH256" s="101"/>
      <c r="BI256" s="101"/>
      <c r="BJ256" s="101"/>
      <c r="BK256" s="101"/>
      <c r="BL256" s="101"/>
      <c r="BM256" s="101"/>
      <c r="BN256" s="101"/>
      <c r="BO256" s="101"/>
      <c r="BP256" s="101"/>
      <c r="BQ256" s="101"/>
      <c r="BR256" s="101"/>
      <c r="BS256" s="101"/>
      <c r="BT256" s="101"/>
      <c r="BU256" s="101"/>
      <c r="BV256" s="101"/>
      <c r="BW256" s="107"/>
      <c r="BX256" s="101"/>
      <c r="BY256" s="108"/>
      <c r="BZ256" s="108"/>
      <c r="CA256" s="109"/>
      <c r="CB256" s="101"/>
      <c r="CC256" s="101"/>
      <c r="CD256" s="101"/>
      <c r="CE256" s="101"/>
      <c r="CF256" s="101"/>
      <c r="CG256" s="101"/>
      <c r="CH256" s="101"/>
      <c r="CI256" s="101"/>
      <c r="CJ256" s="101"/>
      <c r="CK256" s="101"/>
      <c r="CL256" s="101"/>
      <c r="CM256" s="101"/>
      <c r="CN256" s="101"/>
      <c r="CO256" s="101"/>
      <c r="CP256" s="101"/>
      <c r="CQ256" s="101"/>
      <c r="CR256" s="101"/>
      <c r="CS256" s="101"/>
      <c r="CT256" s="101"/>
      <c r="CU256" s="109"/>
      <c r="CV256" s="110"/>
      <c r="CW256" s="109"/>
      <c r="CX256" s="110"/>
      <c r="CY256" s="101"/>
      <c r="CZ256" s="101"/>
      <c r="DA256" s="101"/>
      <c r="DB256" s="101"/>
      <c r="DC256" s="101"/>
      <c r="DD256" s="101"/>
      <c r="DE256" s="101"/>
      <c r="DF256" s="101"/>
      <c r="DG256" s="101"/>
      <c r="DH256" s="101"/>
      <c r="DI256" s="101"/>
      <c r="DJ256" s="101"/>
      <c r="DK256" s="101"/>
      <c r="DL256" s="101"/>
      <c r="DM256" s="101"/>
    </row>
    <row r="257" ht="21.75" customHeight="1">
      <c r="A257" s="101"/>
      <c r="B257" s="101"/>
      <c r="C257" s="101"/>
      <c r="D257" s="101"/>
      <c r="E257" s="103"/>
      <c r="F257" s="101"/>
      <c r="G257" s="101"/>
      <c r="H257" s="101"/>
      <c r="I257" s="101"/>
      <c r="J257" s="101"/>
      <c r="K257" s="101"/>
      <c r="L257" s="101"/>
      <c r="M257" s="101"/>
      <c r="N257" s="101"/>
      <c r="O257" s="101"/>
      <c r="P257" s="101"/>
      <c r="Q257" s="101"/>
      <c r="R257" s="101"/>
      <c r="S257" s="101"/>
      <c r="T257" s="101"/>
      <c r="U257" s="101"/>
      <c r="V257" s="101"/>
      <c r="W257" s="101"/>
      <c r="X257" s="101"/>
      <c r="Y257" s="101"/>
      <c r="Z257" s="101"/>
      <c r="AA257" s="104"/>
      <c r="AB257" s="101"/>
      <c r="AC257" s="101"/>
      <c r="AD257" s="101"/>
      <c r="AE257" s="101"/>
      <c r="AF257" s="101"/>
      <c r="AG257" s="101"/>
      <c r="AH257" s="101"/>
      <c r="AI257" s="101"/>
      <c r="AJ257" s="101"/>
      <c r="AK257" s="101"/>
      <c r="AL257" s="101"/>
      <c r="AM257" s="101"/>
      <c r="AN257" s="101"/>
      <c r="AO257" s="101"/>
      <c r="AP257" s="101"/>
      <c r="AQ257" s="101"/>
      <c r="AR257" s="101"/>
      <c r="AS257" s="101"/>
      <c r="AT257" s="101"/>
      <c r="AU257" s="101"/>
      <c r="AV257" s="105"/>
      <c r="AW257" s="105"/>
      <c r="AX257" s="106"/>
      <c r="AY257" s="106"/>
      <c r="AZ257" s="106"/>
      <c r="BA257" s="106"/>
      <c r="BB257" s="106"/>
      <c r="BC257" s="106"/>
      <c r="BD257" s="101"/>
      <c r="BE257" s="101"/>
      <c r="BF257" s="101"/>
      <c r="BG257" s="101"/>
      <c r="BH257" s="101"/>
      <c r="BI257" s="101"/>
      <c r="BJ257" s="101"/>
      <c r="BK257" s="101"/>
      <c r="BL257" s="101"/>
      <c r="BM257" s="101"/>
      <c r="BN257" s="101"/>
      <c r="BO257" s="101"/>
      <c r="BP257" s="101"/>
      <c r="BQ257" s="101"/>
      <c r="BR257" s="101"/>
      <c r="BS257" s="101"/>
      <c r="BT257" s="101"/>
      <c r="BU257" s="101"/>
      <c r="BV257" s="101"/>
      <c r="BW257" s="107"/>
      <c r="BX257" s="101"/>
      <c r="BY257" s="108"/>
      <c r="BZ257" s="108"/>
      <c r="CA257" s="109"/>
      <c r="CB257" s="101"/>
      <c r="CC257" s="101"/>
      <c r="CD257" s="101"/>
      <c r="CE257" s="101"/>
      <c r="CF257" s="101"/>
      <c r="CG257" s="101"/>
      <c r="CH257" s="101"/>
      <c r="CI257" s="101"/>
      <c r="CJ257" s="101"/>
      <c r="CK257" s="101"/>
      <c r="CL257" s="101"/>
      <c r="CM257" s="101"/>
      <c r="CN257" s="101"/>
      <c r="CO257" s="101"/>
      <c r="CP257" s="101"/>
      <c r="CQ257" s="101"/>
      <c r="CR257" s="101"/>
      <c r="CS257" s="101"/>
      <c r="CT257" s="101"/>
      <c r="CU257" s="109"/>
      <c r="CV257" s="110"/>
      <c r="CW257" s="109"/>
      <c r="CX257" s="110"/>
      <c r="CY257" s="101"/>
      <c r="CZ257" s="101"/>
      <c r="DA257" s="101"/>
      <c r="DB257" s="101"/>
      <c r="DC257" s="101"/>
      <c r="DD257" s="101"/>
      <c r="DE257" s="101"/>
      <c r="DF257" s="101"/>
      <c r="DG257" s="101"/>
      <c r="DH257" s="101"/>
      <c r="DI257" s="101"/>
      <c r="DJ257" s="101"/>
      <c r="DK257" s="101"/>
      <c r="DL257" s="101"/>
      <c r="DM257" s="101"/>
    </row>
    <row r="258" ht="21.75" customHeight="1">
      <c r="A258" s="101"/>
      <c r="B258" s="101"/>
      <c r="C258" s="101"/>
      <c r="D258" s="101"/>
      <c r="E258" s="103"/>
      <c r="F258" s="101"/>
      <c r="G258" s="101"/>
      <c r="H258" s="101"/>
      <c r="I258" s="101"/>
      <c r="J258" s="101"/>
      <c r="K258" s="101"/>
      <c r="L258" s="101"/>
      <c r="M258" s="101"/>
      <c r="N258" s="101"/>
      <c r="O258" s="101"/>
      <c r="P258" s="101"/>
      <c r="Q258" s="101"/>
      <c r="R258" s="101"/>
      <c r="S258" s="101"/>
      <c r="T258" s="101"/>
      <c r="U258" s="101"/>
      <c r="V258" s="101"/>
      <c r="W258" s="101"/>
      <c r="X258" s="101"/>
      <c r="Y258" s="101"/>
      <c r="Z258" s="101"/>
      <c r="AA258" s="104"/>
      <c r="AB258" s="101"/>
      <c r="AC258" s="101"/>
      <c r="AD258" s="101"/>
      <c r="AE258" s="101"/>
      <c r="AF258" s="101"/>
      <c r="AG258" s="101"/>
      <c r="AH258" s="101"/>
      <c r="AI258" s="101"/>
      <c r="AJ258" s="101"/>
      <c r="AK258" s="101"/>
      <c r="AL258" s="101"/>
      <c r="AM258" s="101"/>
      <c r="AN258" s="101"/>
      <c r="AO258" s="101"/>
      <c r="AP258" s="101"/>
      <c r="AQ258" s="101"/>
      <c r="AR258" s="101"/>
      <c r="AS258" s="101"/>
      <c r="AT258" s="101"/>
      <c r="AU258" s="101"/>
      <c r="AV258" s="105"/>
      <c r="AW258" s="105"/>
      <c r="AX258" s="106"/>
      <c r="AY258" s="106"/>
      <c r="AZ258" s="106"/>
      <c r="BA258" s="106"/>
      <c r="BB258" s="106"/>
      <c r="BC258" s="106"/>
      <c r="BD258" s="101"/>
      <c r="BE258" s="101"/>
      <c r="BF258" s="101"/>
      <c r="BG258" s="101"/>
      <c r="BH258" s="101"/>
      <c r="BI258" s="101"/>
      <c r="BJ258" s="101"/>
      <c r="BK258" s="101"/>
      <c r="BL258" s="101"/>
      <c r="BM258" s="101"/>
      <c r="BN258" s="101"/>
      <c r="BO258" s="101"/>
      <c r="BP258" s="101"/>
      <c r="BQ258" s="101"/>
      <c r="BR258" s="101"/>
      <c r="BS258" s="101"/>
      <c r="BT258" s="101"/>
      <c r="BU258" s="101"/>
      <c r="BV258" s="101"/>
      <c r="BW258" s="107"/>
      <c r="BX258" s="101"/>
      <c r="BY258" s="108"/>
      <c r="BZ258" s="108"/>
      <c r="CA258" s="109"/>
      <c r="CB258" s="101"/>
      <c r="CC258" s="101"/>
      <c r="CD258" s="101"/>
      <c r="CE258" s="101"/>
      <c r="CF258" s="101"/>
      <c r="CG258" s="101"/>
      <c r="CH258" s="101"/>
      <c r="CI258" s="101"/>
      <c r="CJ258" s="101"/>
      <c r="CK258" s="101"/>
      <c r="CL258" s="101"/>
      <c r="CM258" s="101"/>
      <c r="CN258" s="101"/>
      <c r="CO258" s="101"/>
      <c r="CP258" s="101"/>
      <c r="CQ258" s="101"/>
      <c r="CR258" s="101"/>
      <c r="CS258" s="101"/>
      <c r="CT258" s="101"/>
      <c r="CU258" s="109"/>
      <c r="CV258" s="110"/>
      <c r="CW258" s="109"/>
      <c r="CX258" s="110"/>
      <c r="CY258" s="101"/>
      <c r="CZ258" s="101"/>
      <c r="DA258" s="101"/>
      <c r="DB258" s="101"/>
      <c r="DC258" s="101"/>
      <c r="DD258" s="101"/>
      <c r="DE258" s="101"/>
      <c r="DF258" s="101"/>
      <c r="DG258" s="101"/>
      <c r="DH258" s="101"/>
      <c r="DI258" s="101"/>
      <c r="DJ258" s="101"/>
      <c r="DK258" s="101"/>
      <c r="DL258" s="101"/>
      <c r="DM258" s="101"/>
    </row>
    <row r="259" ht="21.75" customHeight="1">
      <c r="A259" s="101"/>
      <c r="B259" s="101"/>
      <c r="C259" s="101"/>
      <c r="D259" s="101"/>
      <c r="E259" s="103"/>
      <c r="F259" s="101"/>
      <c r="G259" s="101"/>
      <c r="H259" s="101"/>
      <c r="I259" s="101"/>
      <c r="J259" s="101"/>
      <c r="K259" s="101"/>
      <c r="L259" s="101"/>
      <c r="M259" s="101"/>
      <c r="N259" s="101"/>
      <c r="O259" s="101"/>
      <c r="P259" s="101"/>
      <c r="Q259" s="101"/>
      <c r="R259" s="101"/>
      <c r="S259" s="101"/>
      <c r="T259" s="101"/>
      <c r="U259" s="101"/>
      <c r="V259" s="101"/>
      <c r="W259" s="101"/>
      <c r="X259" s="101"/>
      <c r="Y259" s="101"/>
      <c r="Z259" s="101"/>
      <c r="AA259" s="104"/>
      <c r="AB259" s="101"/>
      <c r="AC259" s="101"/>
      <c r="AD259" s="101"/>
      <c r="AE259" s="101"/>
      <c r="AF259" s="101"/>
      <c r="AG259" s="101"/>
      <c r="AH259" s="101"/>
      <c r="AI259" s="101"/>
      <c r="AJ259" s="101"/>
      <c r="AK259" s="101"/>
      <c r="AL259" s="101"/>
      <c r="AM259" s="101"/>
      <c r="AN259" s="101"/>
      <c r="AO259" s="101"/>
      <c r="AP259" s="101"/>
      <c r="AQ259" s="101"/>
      <c r="AR259" s="101"/>
      <c r="AS259" s="101"/>
      <c r="AT259" s="101"/>
      <c r="AU259" s="101"/>
      <c r="AV259" s="105"/>
      <c r="AW259" s="105"/>
      <c r="AX259" s="106"/>
      <c r="AY259" s="106"/>
      <c r="AZ259" s="106"/>
      <c r="BA259" s="106"/>
      <c r="BB259" s="106"/>
      <c r="BC259" s="106"/>
      <c r="BD259" s="101"/>
      <c r="BE259" s="101"/>
      <c r="BF259" s="101"/>
      <c r="BG259" s="101"/>
      <c r="BH259" s="101"/>
      <c r="BI259" s="101"/>
      <c r="BJ259" s="101"/>
      <c r="BK259" s="101"/>
      <c r="BL259" s="101"/>
      <c r="BM259" s="101"/>
      <c r="BN259" s="101"/>
      <c r="BO259" s="101"/>
      <c r="BP259" s="101"/>
      <c r="BQ259" s="101"/>
      <c r="BR259" s="101"/>
      <c r="BS259" s="101"/>
      <c r="BT259" s="101"/>
      <c r="BU259" s="101"/>
      <c r="BV259" s="101"/>
      <c r="BW259" s="107"/>
      <c r="BX259" s="101"/>
      <c r="BY259" s="108"/>
      <c r="BZ259" s="108"/>
      <c r="CA259" s="109"/>
      <c r="CB259" s="101"/>
      <c r="CC259" s="101"/>
      <c r="CD259" s="101"/>
      <c r="CE259" s="101"/>
      <c r="CF259" s="101"/>
      <c r="CG259" s="101"/>
      <c r="CH259" s="101"/>
      <c r="CI259" s="101"/>
      <c r="CJ259" s="101"/>
      <c r="CK259" s="101"/>
      <c r="CL259" s="101"/>
      <c r="CM259" s="101"/>
      <c r="CN259" s="101"/>
      <c r="CO259" s="101"/>
      <c r="CP259" s="101"/>
      <c r="CQ259" s="101"/>
      <c r="CR259" s="101"/>
      <c r="CS259" s="101"/>
      <c r="CT259" s="101"/>
      <c r="CU259" s="109"/>
      <c r="CV259" s="110"/>
      <c r="CW259" s="109"/>
      <c r="CX259" s="110"/>
      <c r="CY259" s="101"/>
      <c r="CZ259" s="101"/>
      <c r="DA259" s="101"/>
      <c r="DB259" s="101"/>
      <c r="DC259" s="101"/>
      <c r="DD259" s="101"/>
      <c r="DE259" s="101"/>
      <c r="DF259" s="101"/>
      <c r="DG259" s="101"/>
      <c r="DH259" s="101"/>
      <c r="DI259" s="101"/>
      <c r="DJ259" s="101"/>
      <c r="DK259" s="101"/>
      <c r="DL259" s="101"/>
      <c r="DM259" s="101"/>
    </row>
    <row r="260" ht="21.75" customHeight="1">
      <c r="A260" s="101"/>
      <c r="B260" s="101"/>
      <c r="C260" s="101"/>
      <c r="D260" s="101"/>
      <c r="E260" s="103"/>
      <c r="F260" s="101"/>
      <c r="G260" s="101"/>
      <c r="H260" s="101"/>
      <c r="I260" s="101"/>
      <c r="J260" s="101"/>
      <c r="K260" s="101"/>
      <c r="L260" s="101"/>
      <c r="M260" s="101"/>
      <c r="N260" s="101"/>
      <c r="O260" s="101"/>
      <c r="P260" s="101"/>
      <c r="Q260" s="101"/>
      <c r="R260" s="101"/>
      <c r="S260" s="101"/>
      <c r="T260" s="101"/>
      <c r="U260" s="101"/>
      <c r="V260" s="101"/>
      <c r="W260" s="101"/>
      <c r="X260" s="101"/>
      <c r="Y260" s="101"/>
      <c r="Z260" s="101"/>
      <c r="AA260" s="104"/>
      <c r="AB260" s="101"/>
      <c r="AC260" s="101"/>
      <c r="AD260" s="101"/>
      <c r="AE260" s="101"/>
      <c r="AF260" s="101"/>
      <c r="AG260" s="101"/>
      <c r="AH260" s="101"/>
      <c r="AI260" s="101"/>
      <c r="AJ260" s="101"/>
      <c r="AK260" s="101"/>
      <c r="AL260" s="101"/>
      <c r="AM260" s="101"/>
      <c r="AN260" s="101"/>
      <c r="AO260" s="101"/>
      <c r="AP260" s="101"/>
      <c r="AQ260" s="101"/>
      <c r="AR260" s="101"/>
      <c r="AS260" s="101"/>
      <c r="AT260" s="101"/>
      <c r="AU260" s="101"/>
      <c r="AV260" s="105"/>
      <c r="AW260" s="105"/>
      <c r="AX260" s="106"/>
      <c r="AY260" s="106"/>
      <c r="AZ260" s="106"/>
      <c r="BA260" s="106"/>
      <c r="BB260" s="106"/>
      <c r="BC260" s="106"/>
      <c r="BD260" s="101"/>
      <c r="BE260" s="101"/>
      <c r="BF260" s="101"/>
      <c r="BG260" s="101"/>
      <c r="BH260" s="101"/>
      <c r="BI260" s="101"/>
      <c r="BJ260" s="101"/>
      <c r="BK260" s="101"/>
      <c r="BL260" s="101"/>
      <c r="BM260" s="101"/>
      <c r="BN260" s="101"/>
      <c r="BO260" s="101"/>
      <c r="BP260" s="101"/>
      <c r="BQ260" s="101"/>
      <c r="BR260" s="101"/>
      <c r="BS260" s="101"/>
      <c r="BT260" s="101"/>
      <c r="BU260" s="101"/>
      <c r="BV260" s="101"/>
      <c r="BW260" s="107"/>
      <c r="BX260" s="101"/>
      <c r="BY260" s="108"/>
      <c r="BZ260" s="108"/>
      <c r="CA260" s="109"/>
      <c r="CB260" s="101"/>
      <c r="CC260" s="101"/>
      <c r="CD260" s="101"/>
      <c r="CE260" s="101"/>
      <c r="CF260" s="101"/>
      <c r="CG260" s="101"/>
      <c r="CH260" s="101"/>
      <c r="CI260" s="101"/>
      <c r="CJ260" s="101"/>
      <c r="CK260" s="101"/>
      <c r="CL260" s="101"/>
      <c r="CM260" s="101"/>
      <c r="CN260" s="101"/>
      <c r="CO260" s="101"/>
      <c r="CP260" s="101"/>
      <c r="CQ260" s="101"/>
      <c r="CR260" s="101"/>
      <c r="CS260" s="101"/>
      <c r="CT260" s="101"/>
      <c r="CU260" s="109"/>
      <c r="CV260" s="110"/>
      <c r="CW260" s="109"/>
      <c r="CX260" s="110"/>
      <c r="CY260" s="101"/>
      <c r="CZ260" s="101"/>
      <c r="DA260" s="101"/>
      <c r="DB260" s="101"/>
      <c r="DC260" s="101"/>
      <c r="DD260" s="101"/>
      <c r="DE260" s="101"/>
      <c r="DF260" s="101"/>
      <c r="DG260" s="101"/>
      <c r="DH260" s="101"/>
      <c r="DI260" s="101"/>
      <c r="DJ260" s="101"/>
      <c r="DK260" s="101"/>
      <c r="DL260" s="101"/>
      <c r="DM260" s="101"/>
    </row>
    <row r="261" ht="21.75" customHeight="1">
      <c r="A261" s="101"/>
      <c r="B261" s="101"/>
      <c r="C261" s="101"/>
      <c r="D261" s="101"/>
      <c r="E261" s="103"/>
      <c r="F261" s="101"/>
      <c r="G261" s="101"/>
      <c r="H261" s="101"/>
      <c r="I261" s="101"/>
      <c r="J261" s="101"/>
      <c r="K261" s="101"/>
      <c r="L261" s="101"/>
      <c r="M261" s="101"/>
      <c r="N261" s="101"/>
      <c r="O261" s="101"/>
      <c r="P261" s="101"/>
      <c r="Q261" s="101"/>
      <c r="R261" s="101"/>
      <c r="S261" s="101"/>
      <c r="T261" s="101"/>
      <c r="U261" s="101"/>
      <c r="V261" s="101"/>
      <c r="W261" s="101"/>
      <c r="X261" s="101"/>
      <c r="Y261" s="101"/>
      <c r="Z261" s="101"/>
      <c r="AA261" s="104"/>
      <c r="AB261" s="101"/>
      <c r="AC261" s="101"/>
      <c r="AD261" s="101"/>
      <c r="AE261" s="101"/>
      <c r="AF261" s="101"/>
      <c r="AG261" s="101"/>
      <c r="AH261" s="101"/>
      <c r="AI261" s="101"/>
      <c r="AJ261" s="101"/>
      <c r="AK261" s="101"/>
      <c r="AL261" s="101"/>
      <c r="AM261" s="101"/>
      <c r="AN261" s="101"/>
      <c r="AO261" s="101"/>
      <c r="AP261" s="101"/>
      <c r="AQ261" s="101"/>
      <c r="AR261" s="101"/>
      <c r="AS261" s="101"/>
      <c r="AT261" s="101"/>
      <c r="AU261" s="101"/>
      <c r="AV261" s="105"/>
      <c r="AW261" s="105"/>
      <c r="AX261" s="106"/>
      <c r="AY261" s="106"/>
      <c r="AZ261" s="106"/>
      <c r="BA261" s="106"/>
      <c r="BB261" s="106"/>
      <c r="BC261" s="106"/>
      <c r="BD261" s="101"/>
      <c r="BE261" s="101"/>
      <c r="BF261" s="101"/>
      <c r="BG261" s="101"/>
      <c r="BH261" s="101"/>
      <c r="BI261" s="101"/>
      <c r="BJ261" s="101"/>
      <c r="BK261" s="101"/>
      <c r="BL261" s="101"/>
      <c r="BM261" s="101"/>
      <c r="BN261" s="101"/>
      <c r="BO261" s="101"/>
      <c r="BP261" s="101"/>
      <c r="BQ261" s="101"/>
      <c r="BR261" s="101"/>
      <c r="BS261" s="101"/>
      <c r="BT261" s="101"/>
      <c r="BU261" s="101"/>
      <c r="BV261" s="101"/>
      <c r="BW261" s="107"/>
      <c r="BX261" s="101"/>
      <c r="BY261" s="108"/>
      <c r="BZ261" s="108"/>
      <c r="CA261" s="109"/>
      <c r="CB261" s="101"/>
      <c r="CC261" s="101"/>
      <c r="CD261" s="101"/>
      <c r="CE261" s="101"/>
      <c r="CF261" s="101"/>
      <c r="CG261" s="101"/>
      <c r="CH261" s="101"/>
      <c r="CI261" s="101"/>
      <c r="CJ261" s="101"/>
      <c r="CK261" s="101"/>
      <c r="CL261" s="101"/>
      <c r="CM261" s="101"/>
      <c r="CN261" s="101"/>
      <c r="CO261" s="101"/>
      <c r="CP261" s="101"/>
      <c r="CQ261" s="101"/>
      <c r="CR261" s="101"/>
      <c r="CS261" s="101"/>
      <c r="CT261" s="101"/>
      <c r="CU261" s="109"/>
      <c r="CV261" s="110"/>
      <c r="CW261" s="109"/>
      <c r="CX261" s="110"/>
      <c r="CY261" s="101"/>
      <c r="CZ261" s="101"/>
      <c r="DA261" s="101"/>
      <c r="DB261" s="101"/>
      <c r="DC261" s="101"/>
      <c r="DD261" s="101"/>
      <c r="DE261" s="101"/>
      <c r="DF261" s="101"/>
      <c r="DG261" s="101"/>
      <c r="DH261" s="101"/>
      <c r="DI261" s="101"/>
      <c r="DJ261" s="101"/>
      <c r="DK261" s="101"/>
      <c r="DL261" s="101"/>
      <c r="DM261" s="101"/>
    </row>
    <row r="262" ht="21.75" customHeight="1">
      <c r="A262" s="101"/>
      <c r="B262" s="101"/>
      <c r="C262" s="101"/>
      <c r="D262" s="101"/>
      <c r="E262" s="103"/>
      <c r="F262" s="101"/>
      <c r="G262" s="101"/>
      <c r="H262" s="101"/>
      <c r="I262" s="101"/>
      <c r="J262" s="101"/>
      <c r="K262" s="101"/>
      <c r="L262" s="101"/>
      <c r="M262" s="101"/>
      <c r="N262" s="101"/>
      <c r="O262" s="101"/>
      <c r="P262" s="101"/>
      <c r="Q262" s="101"/>
      <c r="R262" s="101"/>
      <c r="S262" s="101"/>
      <c r="T262" s="101"/>
      <c r="U262" s="101"/>
      <c r="V262" s="101"/>
      <c r="W262" s="101"/>
      <c r="X262" s="101"/>
      <c r="Y262" s="101"/>
      <c r="Z262" s="101"/>
      <c r="AA262" s="104"/>
      <c r="AB262" s="101"/>
      <c r="AC262" s="101"/>
      <c r="AD262" s="101"/>
      <c r="AE262" s="101"/>
      <c r="AF262" s="101"/>
      <c r="AG262" s="101"/>
      <c r="AH262" s="101"/>
      <c r="AI262" s="101"/>
      <c r="AJ262" s="101"/>
      <c r="AK262" s="101"/>
      <c r="AL262" s="101"/>
      <c r="AM262" s="101"/>
      <c r="AN262" s="101"/>
      <c r="AO262" s="101"/>
      <c r="AP262" s="101"/>
      <c r="AQ262" s="101"/>
      <c r="AR262" s="101"/>
      <c r="AS262" s="101"/>
      <c r="AT262" s="101"/>
      <c r="AU262" s="101"/>
      <c r="AV262" s="105"/>
      <c r="AW262" s="105"/>
      <c r="AX262" s="106"/>
      <c r="AY262" s="106"/>
      <c r="AZ262" s="106"/>
      <c r="BA262" s="106"/>
      <c r="BB262" s="106"/>
      <c r="BC262" s="106"/>
      <c r="BD262" s="101"/>
      <c r="BE262" s="101"/>
      <c r="BF262" s="101"/>
      <c r="BG262" s="101"/>
      <c r="BH262" s="101"/>
      <c r="BI262" s="101"/>
      <c r="BJ262" s="101"/>
      <c r="BK262" s="101"/>
      <c r="BL262" s="101"/>
      <c r="BM262" s="101"/>
      <c r="BN262" s="101"/>
      <c r="BO262" s="101"/>
      <c r="BP262" s="101"/>
      <c r="BQ262" s="101"/>
      <c r="BR262" s="101"/>
      <c r="BS262" s="101"/>
      <c r="BT262" s="101"/>
      <c r="BU262" s="101"/>
      <c r="BV262" s="101"/>
      <c r="BW262" s="107"/>
      <c r="BX262" s="101"/>
      <c r="BY262" s="108"/>
      <c r="BZ262" s="108"/>
      <c r="CA262" s="109"/>
      <c r="CB262" s="101"/>
      <c r="CC262" s="101"/>
      <c r="CD262" s="101"/>
      <c r="CE262" s="101"/>
      <c r="CF262" s="101"/>
      <c r="CG262" s="101"/>
      <c r="CH262" s="101"/>
      <c r="CI262" s="101"/>
      <c r="CJ262" s="101"/>
      <c r="CK262" s="101"/>
      <c r="CL262" s="101"/>
      <c r="CM262" s="101"/>
      <c r="CN262" s="101"/>
      <c r="CO262" s="101"/>
      <c r="CP262" s="101"/>
      <c r="CQ262" s="101"/>
      <c r="CR262" s="101"/>
      <c r="CS262" s="101"/>
      <c r="CT262" s="101"/>
      <c r="CU262" s="109"/>
      <c r="CV262" s="110"/>
      <c r="CW262" s="109"/>
      <c r="CX262" s="110"/>
      <c r="CY262" s="101"/>
      <c r="CZ262" s="101"/>
      <c r="DA262" s="101"/>
      <c r="DB262" s="101"/>
      <c r="DC262" s="101"/>
      <c r="DD262" s="101"/>
      <c r="DE262" s="101"/>
      <c r="DF262" s="101"/>
      <c r="DG262" s="101"/>
      <c r="DH262" s="101"/>
      <c r="DI262" s="101"/>
      <c r="DJ262" s="101"/>
      <c r="DK262" s="101"/>
      <c r="DL262" s="101"/>
      <c r="DM262" s="101"/>
    </row>
    <row r="263" ht="21.75" customHeight="1">
      <c r="A263" s="101"/>
      <c r="B263" s="101"/>
      <c r="C263" s="101"/>
      <c r="D263" s="101"/>
      <c r="E263" s="103"/>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4"/>
      <c r="AB263" s="101"/>
      <c r="AC263" s="101"/>
      <c r="AD263" s="101"/>
      <c r="AE263" s="101"/>
      <c r="AF263" s="101"/>
      <c r="AG263" s="101"/>
      <c r="AH263" s="101"/>
      <c r="AI263" s="101"/>
      <c r="AJ263" s="101"/>
      <c r="AK263" s="101"/>
      <c r="AL263" s="101"/>
      <c r="AM263" s="101"/>
      <c r="AN263" s="101"/>
      <c r="AO263" s="101"/>
      <c r="AP263" s="101"/>
      <c r="AQ263" s="101"/>
      <c r="AR263" s="101"/>
      <c r="AS263" s="101"/>
      <c r="AT263" s="101"/>
      <c r="AU263" s="101"/>
      <c r="AV263" s="105"/>
      <c r="AW263" s="105"/>
      <c r="AX263" s="106"/>
      <c r="AY263" s="106"/>
      <c r="AZ263" s="106"/>
      <c r="BA263" s="106"/>
      <c r="BB263" s="106"/>
      <c r="BC263" s="106"/>
      <c r="BD263" s="101"/>
      <c r="BE263" s="101"/>
      <c r="BF263" s="101"/>
      <c r="BG263" s="101"/>
      <c r="BH263" s="101"/>
      <c r="BI263" s="101"/>
      <c r="BJ263" s="101"/>
      <c r="BK263" s="101"/>
      <c r="BL263" s="101"/>
      <c r="BM263" s="101"/>
      <c r="BN263" s="101"/>
      <c r="BO263" s="101"/>
      <c r="BP263" s="101"/>
      <c r="BQ263" s="101"/>
      <c r="BR263" s="101"/>
      <c r="BS263" s="101"/>
      <c r="BT263" s="101"/>
      <c r="BU263" s="101"/>
      <c r="BV263" s="101"/>
      <c r="BW263" s="107"/>
      <c r="BX263" s="101"/>
      <c r="BY263" s="108"/>
      <c r="BZ263" s="108"/>
      <c r="CA263" s="109"/>
      <c r="CB263" s="101"/>
      <c r="CC263" s="101"/>
      <c r="CD263" s="101"/>
      <c r="CE263" s="101"/>
      <c r="CF263" s="101"/>
      <c r="CG263" s="101"/>
      <c r="CH263" s="101"/>
      <c r="CI263" s="101"/>
      <c r="CJ263" s="101"/>
      <c r="CK263" s="101"/>
      <c r="CL263" s="101"/>
      <c r="CM263" s="101"/>
      <c r="CN263" s="101"/>
      <c r="CO263" s="101"/>
      <c r="CP263" s="101"/>
      <c r="CQ263" s="101"/>
      <c r="CR263" s="101"/>
      <c r="CS263" s="101"/>
      <c r="CT263" s="101"/>
      <c r="CU263" s="109"/>
      <c r="CV263" s="110"/>
      <c r="CW263" s="109"/>
      <c r="CX263" s="110"/>
      <c r="CY263" s="101"/>
      <c r="CZ263" s="101"/>
      <c r="DA263" s="101"/>
      <c r="DB263" s="101"/>
      <c r="DC263" s="101"/>
      <c r="DD263" s="101"/>
      <c r="DE263" s="101"/>
      <c r="DF263" s="101"/>
      <c r="DG263" s="101"/>
      <c r="DH263" s="101"/>
      <c r="DI263" s="101"/>
      <c r="DJ263" s="101"/>
      <c r="DK263" s="101"/>
      <c r="DL263" s="101"/>
      <c r="DM263" s="101"/>
    </row>
    <row r="264" ht="21.75" customHeight="1">
      <c r="A264" s="101"/>
      <c r="B264" s="101"/>
      <c r="C264" s="101"/>
      <c r="D264" s="101"/>
      <c r="E264" s="103"/>
      <c r="F264" s="101"/>
      <c r="G264" s="101"/>
      <c r="H264" s="101"/>
      <c r="I264" s="101"/>
      <c r="J264" s="101"/>
      <c r="K264" s="101"/>
      <c r="L264" s="101"/>
      <c r="M264" s="101"/>
      <c r="N264" s="101"/>
      <c r="O264" s="101"/>
      <c r="P264" s="101"/>
      <c r="Q264" s="101"/>
      <c r="R264" s="101"/>
      <c r="S264" s="101"/>
      <c r="T264" s="101"/>
      <c r="U264" s="101"/>
      <c r="V264" s="101"/>
      <c r="W264" s="101"/>
      <c r="X264" s="101"/>
      <c r="Y264" s="101"/>
      <c r="Z264" s="101"/>
      <c r="AA264" s="104"/>
      <c r="AB264" s="101"/>
      <c r="AC264" s="101"/>
      <c r="AD264" s="101"/>
      <c r="AE264" s="101"/>
      <c r="AF264" s="101"/>
      <c r="AG264" s="101"/>
      <c r="AH264" s="101"/>
      <c r="AI264" s="101"/>
      <c r="AJ264" s="101"/>
      <c r="AK264" s="101"/>
      <c r="AL264" s="101"/>
      <c r="AM264" s="101"/>
      <c r="AN264" s="101"/>
      <c r="AO264" s="101"/>
      <c r="AP264" s="101"/>
      <c r="AQ264" s="101"/>
      <c r="AR264" s="101"/>
      <c r="AS264" s="101"/>
      <c r="AT264" s="101"/>
      <c r="AU264" s="101"/>
      <c r="AV264" s="105"/>
      <c r="AW264" s="105"/>
      <c r="AX264" s="106"/>
      <c r="AY264" s="106"/>
      <c r="AZ264" s="106"/>
      <c r="BA264" s="106"/>
      <c r="BB264" s="106"/>
      <c r="BC264" s="106"/>
      <c r="BD264" s="101"/>
      <c r="BE264" s="101"/>
      <c r="BF264" s="101"/>
      <c r="BG264" s="101"/>
      <c r="BH264" s="101"/>
      <c r="BI264" s="101"/>
      <c r="BJ264" s="101"/>
      <c r="BK264" s="101"/>
      <c r="BL264" s="101"/>
      <c r="BM264" s="101"/>
      <c r="BN264" s="101"/>
      <c r="BO264" s="101"/>
      <c r="BP264" s="101"/>
      <c r="BQ264" s="101"/>
      <c r="BR264" s="101"/>
      <c r="BS264" s="101"/>
      <c r="BT264" s="101"/>
      <c r="BU264" s="101"/>
      <c r="BV264" s="101"/>
      <c r="BW264" s="107"/>
      <c r="BX264" s="101"/>
      <c r="BY264" s="108"/>
      <c r="BZ264" s="108"/>
      <c r="CA264" s="109"/>
      <c r="CB264" s="101"/>
      <c r="CC264" s="101"/>
      <c r="CD264" s="101"/>
      <c r="CE264" s="101"/>
      <c r="CF264" s="101"/>
      <c r="CG264" s="101"/>
      <c r="CH264" s="101"/>
      <c r="CI264" s="101"/>
      <c r="CJ264" s="101"/>
      <c r="CK264" s="101"/>
      <c r="CL264" s="101"/>
      <c r="CM264" s="101"/>
      <c r="CN264" s="101"/>
      <c r="CO264" s="101"/>
      <c r="CP264" s="101"/>
      <c r="CQ264" s="101"/>
      <c r="CR264" s="101"/>
      <c r="CS264" s="101"/>
      <c r="CT264" s="101"/>
      <c r="CU264" s="109"/>
      <c r="CV264" s="110"/>
      <c r="CW264" s="109"/>
      <c r="CX264" s="110"/>
      <c r="CY264" s="101"/>
      <c r="CZ264" s="101"/>
      <c r="DA264" s="101"/>
      <c r="DB264" s="101"/>
      <c r="DC264" s="101"/>
      <c r="DD264" s="101"/>
      <c r="DE264" s="101"/>
      <c r="DF264" s="101"/>
      <c r="DG264" s="101"/>
      <c r="DH264" s="101"/>
      <c r="DI264" s="101"/>
      <c r="DJ264" s="101"/>
      <c r="DK264" s="101"/>
      <c r="DL264" s="101"/>
      <c r="DM264" s="101"/>
    </row>
    <row r="265" ht="21.75" customHeight="1">
      <c r="A265" s="101"/>
      <c r="B265" s="101"/>
      <c r="C265" s="101"/>
      <c r="D265" s="101"/>
      <c r="E265" s="103"/>
      <c r="F265" s="101"/>
      <c r="G265" s="101"/>
      <c r="H265" s="101"/>
      <c r="I265" s="101"/>
      <c r="J265" s="101"/>
      <c r="K265" s="101"/>
      <c r="L265" s="101"/>
      <c r="M265" s="101"/>
      <c r="N265" s="101"/>
      <c r="O265" s="101"/>
      <c r="P265" s="101"/>
      <c r="Q265" s="101"/>
      <c r="R265" s="101"/>
      <c r="S265" s="101"/>
      <c r="T265" s="101"/>
      <c r="U265" s="101"/>
      <c r="V265" s="101"/>
      <c r="W265" s="101"/>
      <c r="X265" s="101"/>
      <c r="Y265" s="101"/>
      <c r="Z265" s="101"/>
      <c r="AA265" s="104"/>
      <c r="AB265" s="101"/>
      <c r="AC265" s="101"/>
      <c r="AD265" s="101"/>
      <c r="AE265" s="101"/>
      <c r="AF265" s="101"/>
      <c r="AG265" s="101"/>
      <c r="AH265" s="101"/>
      <c r="AI265" s="101"/>
      <c r="AJ265" s="101"/>
      <c r="AK265" s="101"/>
      <c r="AL265" s="101"/>
      <c r="AM265" s="101"/>
      <c r="AN265" s="101"/>
      <c r="AO265" s="101"/>
      <c r="AP265" s="101"/>
      <c r="AQ265" s="101"/>
      <c r="AR265" s="101"/>
      <c r="AS265" s="101"/>
      <c r="AT265" s="101"/>
      <c r="AU265" s="101"/>
      <c r="AV265" s="105"/>
      <c r="AW265" s="105"/>
      <c r="AX265" s="106"/>
      <c r="AY265" s="106"/>
      <c r="AZ265" s="106"/>
      <c r="BA265" s="106"/>
      <c r="BB265" s="106"/>
      <c r="BC265" s="106"/>
      <c r="BD265" s="101"/>
      <c r="BE265" s="101"/>
      <c r="BF265" s="101"/>
      <c r="BG265" s="101"/>
      <c r="BH265" s="101"/>
      <c r="BI265" s="101"/>
      <c r="BJ265" s="101"/>
      <c r="BK265" s="101"/>
      <c r="BL265" s="101"/>
      <c r="BM265" s="101"/>
      <c r="BN265" s="101"/>
      <c r="BO265" s="101"/>
      <c r="BP265" s="101"/>
      <c r="BQ265" s="101"/>
      <c r="BR265" s="101"/>
      <c r="BS265" s="101"/>
      <c r="BT265" s="101"/>
      <c r="BU265" s="101"/>
      <c r="BV265" s="101"/>
      <c r="BW265" s="107"/>
      <c r="BX265" s="101"/>
      <c r="BY265" s="108"/>
      <c r="BZ265" s="108"/>
      <c r="CA265" s="109"/>
      <c r="CB265" s="101"/>
      <c r="CC265" s="101"/>
      <c r="CD265" s="101"/>
      <c r="CE265" s="101"/>
      <c r="CF265" s="101"/>
      <c r="CG265" s="101"/>
      <c r="CH265" s="101"/>
      <c r="CI265" s="101"/>
      <c r="CJ265" s="101"/>
      <c r="CK265" s="101"/>
      <c r="CL265" s="101"/>
      <c r="CM265" s="101"/>
      <c r="CN265" s="101"/>
      <c r="CO265" s="101"/>
      <c r="CP265" s="101"/>
      <c r="CQ265" s="101"/>
      <c r="CR265" s="101"/>
      <c r="CS265" s="101"/>
      <c r="CT265" s="101"/>
      <c r="CU265" s="109"/>
      <c r="CV265" s="110"/>
      <c r="CW265" s="109"/>
      <c r="CX265" s="110"/>
      <c r="CY265" s="101"/>
      <c r="CZ265" s="101"/>
      <c r="DA265" s="101"/>
      <c r="DB265" s="101"/>
      <c r="DC265" s="101"/>
      <c r="DD265" s="101"/>
      <c r="DE265" s="101"/>
      <c r="DF265" s="101"/>
      <c r="DG265" s="101"/>
      <c r="DH265" s="101"/>
      <c r="DI265" s="101"/>
      <c r="DJ265" s="101"/>
      <c r="DK265" s="101"/>
      <c r="DL265" s="101"/>
      <c r="DM265" s="101"/>
    </row>
    <row r="266" ht="21.75" customHeight="1">
      <c r="A266" s="101"/>
      <c r="B266" s="101"/>
      <c r="C266" s="101"/>
      <c r="D266" s="101"/>
      <c r="E266" s="103"/>
      <c r="F266" s="101"/>
      <c r="G266" s="101"/>
      <c r="H266" s="101"/>
      <c r="I266" s="101"/>
      <c r="J266" s="101"/>
      <c r="K266" s="101"/>
      <c r="L266" s="101"/>
      <c r="M266" s="101"/>
      <c r="N266" s="101"/>
      <c r="O266" s="101"/>
      <c r="P266" s="101"/>
      <c r="Q266" s="101"/>
      <c r="R266" s="101"/>
      <c r="S266" s="101"/>
      <c r="T266" s="101"/>
      <c r="U266" s="101"/>
      <c r="V266" s="101"/>
      <c r="W266" s="101"/>
      <c r="X266" s="101"/>
      <c r="Y266" s="101"/>
      <c r="Z266" s="101"/>
      <c r="AA266" s="104"/>
      <c r="AB266" s="101"/>
      <c r="AC266" s="101"/>
      <c r="AD266" s="101"/>
      <c r="AE266" s="101"/>
      <c r="AF266" s="101"/>
      <c r="AG266" s="101"/>
      <c r="AH266" s="101"/>
      <c r="AI266" s="101"/>
      <c r="AJ266" s="101"/>
      <c r="AK266" s="101"/>
      <c r="AL266" s="101"/>
      <c r="AM266" s="101"/>
      <c r="AN266" s="101"/>
      <c r="AO266" s="101"/>
      <c r="AP266" s="101"/>
      <c r="AQ266" s="101"/>
      <c r="AR266" s="101"/>
      <c r="AS266" s="101"/>
      <c r="AT266" s="101"/>
      <c r="AU266" s="101"/>
      <c r="AV266" s="105"/>
      <c r="AW266" s="105"/>
      <c r="AX266" s="106"/>
      <c r="AY266" s="106"/>
      <c r="AZ266" s="106"/>
      <c r="BA266" s="106"/>
      <c r="BB266" s="106"/>
      <c r="BC266" s="106"/>
      <c r="BD266" s="101"/>
      <c r="BE266" s="101"/>
      <c r="BF266" s="101"/>
      <c r="BG266" s="101"/>
      <c r="BH266" s="101"/>
      <c r="BI266" s="101"/>
      <c r="BJ266" s="101"/>
      <c r="BK266" s="101"/>
      <c r="BL266" s="101"/>
      <c r="BM266" s="101"/>
      <c r="BN266" s="101"/>
      <c r="BO266" s="101"/>
      <c r="BP266" s="101"/>
      <c r="BQ266" s="101"/>
      <c r="BR266" s="101"/>
      <c r="BS266" s="101"/>
      <c r="BT266" s="101"/>
      <c r="BU266" s="101"/>
      <c r="BV266" s="101"/>
      <c r="BW266" s="107"/>
      <c r="BX266" s="101"/>
      <c r="BY266" s="108"/>
      <c r="BZ266" s="108"/>
      <c r="CA266" s="109"/>
      <c r="CB266" s="101"/>
      <c r="CC266" s="101"/>
      <c r="CD266" s="101"/>
      <c r="CE266" s="101"/>
      <c r="CF266" s="101"/>
      <c r="CG266" s="101"/>
      <c r="CH266" s="101"/>
      <c r="CI266" s="101"/>
      <c r="CJ266" s="101"/>
      <c r="CK266" s="101"/>
      <c r="CL266" s="101"/>
      <c r="CM266" s="101"/>
      <c r="CN266" s="101"/>
      <c r="CO266" s="101"/>
      <c r="CP266" s="101"/>
      <c r="CQ266" s="101"/>
      <c r="CR266" s="101"/>
      <c r="CS266" s="101"/>
      <c r="CT266" s="101"/>
      <c r="CU266" s="109"/>
      <c r="CV266" s="110"/>
      <c r="CW266" s="109"/>
      <c r="CX266" s="110"/>
      <c r="CY266" s="101"/>
      <c r="CZ266" s="101"/>
      <c r="DA266" s="101"/>
      <c r="DB266" s="101"/>
      <c r="DC266" s="101"/>
      <c r="DD266" s="101"/>
      <c r="DE266" s="101"/>
      <c r="DF266" s="101"/>
      <c r="DG266" s="101"/>
      <c r="DH266" s="101"/>
      <c r="DI266" s="101"/>
      <c r="DJ266" s="101"/>
      <c r="DK266" s="101"/>
      <c r="DL266" s="101"/>
      <c r="DM266" s="101"/>
    </row>
    <row r="267" ht="21.75" customHeight="1">
      <c r="A267" s="101"/>
      <c r="B267" s="101"/>
      <c r="C267" s="101"/>
      <c r="D267" s="101"/>
      <c r="E267" s="103"/>
      <c r="F267" s="101"/>
      <c r="G267" s="101"/>
      <c r="H267" s="101"/>
      <c r="I267" s="101"/>
      <c r="J267" s="101"/>
      <c r="K267" s="101"/>
      <c r="L267" s="101"/>
      <c r="M267" s="101"/>
      <c r="N267" s="101"/>
      <c r="O267" s="101"/>
      <c r="P267" s="101"/>
      <c r="Q267" s="101"/>
      <c r="R267" s="101"/>
      <c r="S267" s="101"/>
      <c r="T267" s="101"/>
      <c r="U267" s="101"/>
      <c r="V267" s="101"/>
      <c r="W267" s="101"/>
      <c r="X267" s="101"/>
      <c r="Y267" s="101"/>
      <c r="Z267" s="101"/>
      <c r="AA267" s="104"/>
      <c r="AB267" s="101"/>
      <c r="AC267" s="101"/>
      <c r="AD267" s="101"/>
      <c r="AE267" s="101"/>
      <c r="AF267" s="101"/>
      <c r="AG267" s="101"/>
      <c r="AH267" s="101"/>
      <c r="AI267" s="101"/>
      <c r="AJ267" s="101"/>
      <c r="AK267" s="101"/>
      <c r="AL267" s="101"/>
      <c r="AM267" s="101"/>
      <c r="AN267" s="101"/>
      <c r="AO267" s="101"/>
      <c r="AP267" s="101"/>
      <c r="AQ267" s="101"/>
      <c r="AR267" s="101"/>
      <c r="AS267" s="101"/>
      <c r="AT267" s="101"/>
      <c r="AU267" s="101"/>
      <c r="AV267" s="105"/>
      <c r="AW267" s="105"/>
      <c r="AX267" s="106"/>
      <c r="AY267" s="106"/>
      <c r="AZ267" s="106"/>
      <c r="BA267" s="106"/>
      <c r="BB267" s="106"/>
      <c r="BC267" s="106"/>
      <c r="BD267" s="101"/>
      <c r="BE267" s="101"/>
      <c r="BF267" s="101"/>
      <c r="BG267" s="101"/>
      <c r="BH267" s="101"/>
      <c r="BI267" s="101"/>
      <c r="BJ267" s="101"/>
      <c r="BK267" s="101"/>
      <c r="BL267" s="101"/>
      <c r="BM267" s="101"/>
      <c r="BN267" s="101"/>
      <c r="BO267" s="101"/>
      <c r="BP267" s="101"/>
      <c r="BQ267" s="101"/>
      <c r="BR267" s="101"/>
      <c r="BS267" s="101"/>
      <c r="BT267" s="101"/>
      <c r="BU267" s="101"/>
      <c r="BV267" s="101"/>
      <c r="BW267" s="107"/>
      <c r="BX267" s="101"/>
      <c r="BY267" s="108"/>
      <c r="BZ267" s="108"/>
      <c r="CA267" s="109"/>
      <c r="CB267" s="101"/>
      <c r="CC267" s="101"/>
      <c r="CD267" s="101"/>
      <c r="CE267" s="101"/>
      <c r="CF267" s="101"/>
      <c r="CG267" s="101"/>
      <c r="CH267" s="101"/>
      <c r="CI267" s="101"/>
      <c r="CJ267" s="101"/>
      <c r="CK267" s="101"/>
      <c r="CL267" s="101"/>
      <c r="CM267" s="101"/>
      <c r="CN267" s="101"/>
      <c r="CO267" s="101"/>
      <c r="CP267" s="101"/>
      <c r="CQ267" s="101"/>
      <c r="CR267" s="101"/>
      <c r="CS267" s="101"/>
      <c r="CT267" s="101"/>
      <c r="CU267" s="109"/>
      <c r="CV267" s="110"/>
      <c r="CW267" s="109"/>
      <c r="CX267" s="110"/>
      <c r="CY267" s="101"/>
      <c r="CZ267" s="101"/>
      <c r="DA267" s="101"/>
      <c r="DB267" s="101"/>
      <c r="DC267" s="101"/>
      <c r="DD267" s="101"/>
      <c r="DE267" s="101"/>
      <c r="DF267" s="101"/>
      <c r="DG267" s="101"/>
      <c r="DH267" s="101"/>
      <c r="DI267" s="101"/>
      <c r="DJ267" s="101"/>
      <c r="DK267" s="101"/>
      <c r="DL267" s="101"/>
      <c r="DM267" s="101"/>
    </row>
    <row r="268" ht="21.75" customHeight="1">
      <c r="A268" s="101"/>
      <c r="B268" s="101"/>
      <c r="C268" s="101"/>
      <c r="D268" s="101"/>
      <c r="E268" s="103"/>
      <c r="F268" s="101"/>
      <c r="G268" s="101"/>
      <c r="H268" s="101"/>
      <c r="I268" s="101"/>
      <c r="J268" s="101"/>
      <c r="K268" s="101"/>
      <c r="L268" s="101"/>
      <c r="M268" s="101"/>
      <c r="N268" s="101"/>
      <c r="O268" s="101"/>
      <c r="P268" s="101"/>
      <c r="Q268" s="101"/>
      <c r="R268" s="101"/>
      <c r="S268" s="101"/>
      <c r="T268" s="101"/>
      <c r="U268" s="101"/>
      <c r="V268" s="101"/>
      <c r="W268" s="101"/>
      <c r="X268" s="101"/>
      <c r="Y268" s="101"/>
      <c r="Z268" s="101"/>
      <c r="AA268" s="104"/>
      <c r="AB268" s="101"/>
      <c r="AC268" s="101"/>
      <c r="AD268" s="101"/>
      <c r="AE268" s="101"/>
      <c r="AF268" s="101"/>
      <c r="AG268" s="101"/>
      <c r="AH268" s="101"/>
      <c r="AI268" s="101"/>
      <c r="AJ268" s="101"/>
      <c r="AK268" s="101"/>
      <c r="AL268" s="101"/>
      <c r="AM268" s="101"/>
      <c r="AN268" s="101"/>
      <c r="AO268" s="101"/>
      <c r="AP268" s="101"/>
      <c r="AQ268" s="101"/>
      <c r="AR268" s="101"/>
      <c r="AS268" s="101"/>
      <c r="AT268" s="101"/>
      <c r="AU268" s="101"/>
      <c r="AV268" s="105"/>
      <c r="AW268" s="105"/>
      <c r="AX268" s="106"/>
      <c r="AY268" s="106"/>
      <c r="AZ268" s="106"/>
      <c r="BA268" s="106"/>
      <c r="BB268" s="106"/>
      <c r="BC268" s="106"/>
      <c r="BD268" s="101"/>
      <c r="BE268" s="101"/>
      <c r="BF268" s="101"/>
      <c r="BG268" s="101"/>
      <c r="BH268" s="101"/>
      <c r="BI268" s="101"/>
      <c r="BJ268" s="101"/>
      <c r="BK268" s="101"/>
      <c r="BL268" s="101"/>
      <c r="BM268" s="101"/>
      <c r="BN268" s="101"/>
      <c r="BO268" s="101"/>
      <c r="BP268" s="101"/>
      <c r="BQ268" s="101"/>
      <c r="BR268" s="101"/>
      <c r="BS268" s="101"/>
      <c r="BT268" s="101"/>
      <c r="BU268" s="101"/>
      <c r="BV268" s="101"/>
      <c r="BW268" s="107"/>
      <c r="BX268" s="101"/>
      <c r="BY268" s="108"/>
      <c r="BZ268" s="108"/>
      <c r="CA268" s="109"/>
      <c r="CB268" s="101"/>
      <c r="CC268" s="101"/>
      <c r="CD268" s="101"/>
      <c r="CE268" s="101"/>
      <c r="CF268" s="101"/>
      <c r="CG268" s="101"/>
      <c r="CH268" s="101"/>
      <c r="CI268" s="101"/>
      <c r="CJ268" s="101"/>
      <c r="CK268" s="101"/>
      <c r="CL268" s="101"/>
      <c r="CM268" s="101"/>
      <c r="CN268" s="101"/>
      <c r="CO268" s="101"/>
      <c r="CP268" s="101"/>
      <c r="CQ268" s="101"/>
      <c r="CR268" s="101"/>
      <c r="CS268" s="101"/>
      <c r="CT268" s="101"/>
      <c r="CU268" s="109"/>
      <c r="CV268" s="110"/>
      <c r="CW268" s="109"/>
      <c r="CX268" s="110"/>
      <c r="CY268" s="101"/>
      <c r="CZ268" s="101"/>
      <c r="DA268" s="101"/>
      <c r="DB268" s="101"/>
      <c r="DC268" s="101"/>
      <c r="DD268" s="101"/>
      <c r="DE268" s="101"/>
      <c r="DF268" s="101"/>
      <c r="DG268" s="101"/>
      <c r="DH268" s="101"/>
      <c r="DI268" s="101"/>
      <c r="DJ268" s="101"/>
      <c r="DK268" s="101"/>
      <c r="DL268" s="101"/>
      <c r="DM268" s="101"/>
    </row>
    <row r="269" ht="21.75" customHeight="1">
      <c r="A269" s="101"/>
      <c r="B269" s="101"/>
      <c r="C269" s="101"/>
      <c r="D269" s="101"/>
      <c r="E269" s="103"/>
      <c r="F269" s="101"/>
      <c r="G269" s="101"/>
      <c r="H269" s="101"/>
      <c r="I269" s="101"/>
      <c r="J269" s="101"/>
      <c r="K269" s="101"/>
      <c r="L269" s="101"/>
      <c r="M269" s="101"/>
      <c r="N269" s="101"/>
      <c r="O269" s="101"/>
      <c r="P269" s="101"/>
      <c r="Q269" s="101"/>
      <c r="R269" s="101"/>
      <c r="S269" s="101"/>
      <c r="T269" s="101"/>
      <c r="U269" s="101"/>
      <c r="V269" s="101"/>
      <c r="W269" s="101"/>
      <c r="X269" s="101"/>
      <c r="Y269" s="101"/>
      <c r="Z269" s="101"/>
      <c r="AA269" s="104"/>
      <c r="AB269" s="101"/>
      <c r="AC269" s="101"/>
      <c r="AD269" s="101"/>
      <c r="AE269" s="101"/>
      <c r="AF269" s="101"/>
      <c r="AG269" s="101"/>
      <c r="AH269" s="101"/>
      <c r="AI269" s="101"/>
      <c r="AJ269" s="101"/>
      <c r="AK269" s="101"/>
      <c r="AL269" s="101"/>
      <c r="AM269" s="101"/>
      <c r="AN269" s="101"/>
      <c r="AO269" s="101"/>
      <c r="AP269" s="101"/>
      <c r="AQ269" s="101"/>
      <c r="AR269" s="101"/>
      <c r="AS269" s="101"/>
      <c r="AT269" s="101"/>
      <c r="AU269" s="101"/>
      <c r="AV269" s="105"/>
      <c r="AW269" s="105"/>
      <c r="AX269" s="106"/>
      <c r="AY269" s="106"/>
      <c r="AZ269" s="106"/>
      <c r="BA269" s="106"/>
      <c r="BB269" s="106"/>
      <c r="BC269" s="106"/>
      <c r="BD269" s="101"/>
      <c r="BE269" s="101"/>
      <c r="BF269" s="101"/>
      <c r="BG269" s="101"/>
      <c r="BH269" s="101"/>
      <c r="BI269" s="101"/>
      <c r="BJ269" s="101"/>
      <c r="BK269" s="101"/>
      <c r="BL269" s="101"/>
      <c r="BM269" s="101"/>
      <c r="BN269" s="101"/>
      <c r="BO269" s="101"/>
      <c r="BP269" s="101"/>
      <c r="BQ269" s="101"/>
      <c r="BR269" s="101"/>
      <c r="BS269" s="101"/>
      <c r="BT269" s="101"/>
      <c r="BU269" s="101"/>
      <c r="BV269" s="101"/>
      <c r="BW269" s="107"/>
      <c r="BX269" s="101"/>
      <c r="BY269" s="108"/>
      <c r="BZ269" s="108"/>
      <c r="CA269" s="109"/>
      <c r="CB269" s="101"/>
      <c r="CC269" s="101"/>
      <c r="CD269" s="101"/>
      <c r="CE269" s="101"/>
      <c r="CF269" s="101"/>
      <c r="CG269" s="101"/>
      <c r="CH269" s="101"/>
      <c r="CI269" s="101"/>
      <c r="CJ269" s="101"/>
      <c r="CK269" s="101"/>
      <c r="CL269" s="101"/>
      <c r="CM269" s="101"/>
      <c r="CN269" s="101"/>
      <c r="CO269" s="101"/>
      <c r="CP269" s="101"/>
      <c r="CQ269" s="101"/>
      <c r="CR269" s="101"/>
      <c r="CS269" s="101"/>
      <c r="CT269" s="101"/>
      <c r="CU269" s="109"/>
      <c r="CV269" s="110"/>
      <c r="CW269" s="109"/>
      <c r="CX269" s="110"/>
      <c r="CY269" s="101"/>
      <c r="CZ269" s="101"/>
      <c r="DA269" s="101"/>
      <c r="DB269" s="101"/>
      <c r="DC269" s="101"/>
      <c r="DD269" s="101"/>
      <c r="DE269" s="101"/>
      <c r="DF269" s="101"/>
      <c r="DG269" s="101"/>
      <c r="DH269" s="101"/>
      <c r="DI269" s="101"/>
      <c r="DJ269" s="101"/>
      <c r="DK269" s="101"/>
      <c r="DL269" s="101"/>
      <c r="DM269" s="101"/>
    </row>
    <row r="270" ht="21.75" customHeight="1">
      <c r="A270" s="101"/>
      <c r="B270" s="101"/>
      <c r="C270" s="101"/>
      <c r="D270" s="101"/>
      <c r="E270" s="103"/>
      <c r="F270" s="101"/>
      <c r="G270" s="101"/>
      <c r="H270" s="101"/>
      <c r="I270" s="101"/>
      <c r="J270" s="101"/>
      <c r="K270" s="101"/>
      <c r="L270" s="101"/>
      <c r="M270" s="101"/>
      <c r="N270" s="101"/>
      <c r="O270" s="101"/>
      <c r="P270" s="101"/>
      <c r="Q270" s="101"/>
      <c r="R270" s="101"/>
      <c r="S270" s="101"/>
      <c r="T270" s="101"/>
      <c r="U270" s="101"/>
      <c r="V270" s="101"/>
      <c r="W270" s="101"/>
      <c r="X270" s="101"/>
      <c r="Y270" s="101"/>
      <c r="Z270" s="101"/>
      <c r="AA270" s="104"/>
      <c r="AB270" s="101"/>
      <c r="AC270" s="101"/>
      <c r="AD270" s="101"/>
      <c r="AE270" s="101"/>
      <c r="AF270" s="101"/>
      <c r="AG270" s="101"/>
      <c r="AH270" s="101"/>
      <c r="AI270" s="101"/>
      <c r="AJ270" s="101"/>
      <c r="AK270" s="101"/>
      <c r="AL270" s="101"/>
      <c r="AM270" s="101"/>
      <c r="AN270" s="101"/>
      <c r="AO270" s="101"/>
      <c r="AP270" s="101"/>
      <c r="AQ270" s="101"/>
      <c r="AR270" s="101"/>
      <c r="AS270" s="101"/>
      <c r="AT270" s="101"/>
      <c r="AU270" s="101"/>
      <c r="AV270" s="105"/>
      <c r="AW270" s="105"/>
      <c r="AX270" s="106"/>
      <c r="AY270" s="106"/>
      <c r="AZ270" s="106"/>
      <c r="BA270" s="106"/>
      <c r="BB270" s="106"/>
      <c r="BC270" s="106"/>
      <c r="BD270" s="101"/>
      <c r="BE270" s="101"/>
      <c r="BF270" s="101"/>
      <c r="BG270" s="101"/>
      <c r="BH270" s="101"/>
      <c r="BI270" s="101"/>
      <c r="BJ270" s="101"/>
      <c r="BK270" s="101"/>
      <c r="BL270" s="101"/>
      <c r="BM270" s="101"/>
      <c r="BN270" s="101"/>
      <c r="BO270" s="101"/>
      <c r="BP270" s="101"/>
      <c r="BQ270" s="101"/>
      <c r="BR270" s="101"/>
      <c r="BS270" s="101"/>
      <c r="BT270" s="101"/>
      <c r="BU270" s="101"/>
      <c r="BV270" s="101"/>
      <c r="BW270" s="107"/>
      <c r="BX270" s="101"/>
      <c r="BY270" s="108"/>
      <c r="BZ270" s="108"/>
      <c r="CA270" s="109"/>
      <c r="CB270" s="101"/>
      <c r="CC270" s="101"/>
      <c r="CD270" s="101"/>
      <c r="CE270" s="101"/>
      <c r="CF270" s="101"/>
      <c r="CG270" s="101"/>
      <c r="CH270" s="101"/>
      <c r="CI270" s="101"/>
      <c r="CJ270" s="101"/>
      <c r="CK270" s="101"/>
      <c r="CL270" s="101"/>
      <c r="CM270" s="101"/>
      <c r="CN270" s="101"/>
      <c r="CO270" s="101"/>
      <c r="CP270" s="101"/>
      <c r="CQ270" s="101"/>
      <c r="CR270" s="101"/>
      <c r="CS270" s="101"/>
      <c r="CT270" s="101"/>
      <c r="CU270" s="109"/>
      <c r="CV270" s="110"/>
      <c r="CW270" s="109"/>
      <c r="CX270" s="110"/>
      <c r="CY270" s="101"/>
      <c r="CZ270" s="101"/>
      <c r="DA270" s="101"/>
      <c r="DB270" s="101"/>
      <c r="DC270" s="101"/>
      <c r="DD270" s="101"/>
      <c r="DE270" s="101"/>
      <c r="DF270" s="101"/>
      <c r="DG270" s="101"/>
      <c r="DH270" s="101"/>
      <c r="DI270" s="101"/>
      <c r="DJ270" s="101"/>
      <c r="DK270" s="101"/>
      <c r="DL270" s="101"/>
      <c r="DM270" s="101"/>
    </row>
    <row r="271" ht="21.75" customHeight="1">
      <c r="A271" s="101"/>
      <c r="B271" s="101"/>
      <c r="C271" s="101"/>
      <c r="D271" s="101"/>
      <c r="E271" s="103"/>
      <c r="F271" s="101"/>
      <c r="G271" s="101"/>
      <c r="H271" s="101"/>
      <c r="I271" s="101"/>
      <c r="J271" s="101"/>
      <c r="K271" s="101"/>
      <c r="L271" s="101"/>
      <c r="M271" s="101"/>
      <c r="N271" s="101"/>
      <c r="O271" s="101"/>
      <c r="P271" s="101"/>
      <c r="Q271" s="101"/>
      <c r="R271" s="101"/>
      <c r="S271" s="101"/>
      <c r="T271" s="101"/>
      <c r="U271" s="101"/>
      <c r="V271" s="101"/>
      <c r="W271" s="101"/>
      <c r="X271" s="101"/>
      <c r="Y271" s="101"/>
      <c r="Z271" s="101"/>
      <c r="AA271" s="104"/>
      <c r="AB271" s="101"/>
      <c r="AC271" s="101"/>
      <c r="AD271" s="101"/>
      <c r="AE271" s="101"/>
      <c r="AF271" s="101"/>
      <c r="AG271" s="101"/>
      <c r="AH271" s="101"/>
      <c r="AI271" s="101"/>
      <c r="AJ271" s="101"/>
      <c r="AK271" s="101"/>
      <c r="AL271" s="101"/>
      <c r="AM271" s="101"/>
      <c r="AN271" s="101"/>
      <c r="AO271" s="101"/>
      <c r="AP271" s="101"/>
      <c r="AQ271" s="101"/>
      <c r="AR271" s="101"/>
      <c r="AS271" s="101"/>
      <c r="AT271" s="101"/>
      <c r="AU271" s="101"/>
      <c r="AV271" s="105"/>
      <c r="AW271" s="105"/>
      <c r="AX271" s="106"/>
      <c r="AY271" s="106"/>
      <c r="AZ271" s="106"/>
      <c r="BA271" s="106"/>
      <c r="BB271" s="106"/>
      <c r="BC271" s="106"/>
      <c r="BD271" s="101"/>
      <c r="BE271" s="101"/>
      <c r="BF271" s="101"/>
      <c r="BG271" s="101"/>
      <c r="BH271" s="101"/>
      <c r="BI271" s="101"/>
      <c r="BJ271" s="101"/>
      <c r="BK271" s="101"/>
      <c r="BL271" s="101"/>
      <c r="BM271" s="101"/>
      <c r="BN271" s="101"/>
      <c r="BO271" s="101"/>
      <c r="BP271" s="101"/>
      <c r="BQ271" s="101"/>
      <c r="BR271" s="101"/>
      <c r="BS271" s="101"/>
      <c r="BT271" s="101"/>
      <c r="BU271" s="101"/>
      <c r="BV271" s="101"/>
      <c r="BW271" s="107"/>
      <c r="BX271" s="101"/>
      <c r="BY271" s="108"/>
      <c r="BZ271" s="108"/>
      <c r="CA271" s="109"/>
      <c r="CB271" s="101"/>
      <c r="CC271" s="101"/>
      <c r="CD271" s="101"/>
      <c r="CE271" s="101"/>
      <c r="CF271" s="101"/>
      <c r="CG271" s="101"/>
      <c r="CH271" s="101"/>
      <c r="CI271" s="101"/>
      <c r="CJ271" s="101"/>
      <c r="CK271" s="101"/>
      <c r="CL271" s="101"/>
      <c r="CM271" s="101"/>
      <c r="CN271" s="101"/>
      <c r="CO271" s="101"/>
      <c r="CP271" s="101"/>
      <c r="CQ271" s="101"/>
      <c r="CR271" s="101"/>
      <c r="CS271" s="101"/>
      <c r="CT271" s="101"/>
      <c r="CU271" s="109"/>
      <c r="CV271" s="110"/>
      <c r="CW271" s="109"/>
      <c r="CX271" s="110"/>
      <c r="CY271" s="101"/>
      <c r="CZ271" s="101"/>
      <c r="DA271" s="101"/>
      <c r="DB271" s="101"/>
      <c r="DC271" s="101"/>
      <c r="DD271" s="101"/>
      <c r="DE271" s="101"/>
      <c r="DF271" s="101"/>
      <c r="DG271" s="101"/>
      <c r="DH271" s="101"/>
      <c r="DI271" s="101"/>
      <c r="DJ271" s="101"/>
      <c r="DK271" s="101"/>
      <c r="DL271" s="101"/>
      <c r="DM271" s="101"/>
    </row>
    <row r="272" ht="21.75" customHeight="1">
      <c r="A272" s="101"/>
      <c r="B272" s="101"/>
      <c r="C272" s="101"/>
      <c r="D272" s="101"/>
      <c r="E272" s="103"/>
      <c r="F272" s="101"/>
      <c r="G272" s="101"/>
      <c r="H272" s="101"/>
      <c r="I272" s="101"/>
      <c r="J272" s="101"/>
      <c r="K272" s="101"/>
      <c r="L272" s="101"/>
      <c r="M272" s="101"/>
      <c r="N272" s="101"/>
      <c r="O272" s="101"/>
      <c r="P272" s="101"/>
      <c r="Q272" s="101"/>
      <c r="R272" s="101"/>
      <c r="S272" s="101"/>
      <c r="T272" s="101"/>
      <c r="U272" s="101"/>
      <c r="V272" s="101"/>
      <c r="W272" s="101"/>
      <c r="X272" s="101"/>
      <c r="Y272" s="101"/>
      <c r="Z272" s="101"/>
      <c r="AA272" s="104"/>
      <c r="AB272" s="101"/>
      <c r="AC272" s="101"/>
      <c r="AD272" s="101"/>
      <c r="AE272" s="101"/>
      <c r="AF272" s="101"/>
      <c r="AG272" s="101"/>
      <c r="AH272" s="101"/>
      <c r="AI272" s="101"/>
      <c r="AJ272" s="101"/>
      <c r="AK272" s="101"/>
      <c r="AL272" s="101"/>
      <c r="AM272" s="101"/>
      <c r="AN272" s="101"/>
      <c r="AO272" s="101"/>
      <c r="AP272" s="101"/>
      <c r="AQ272" s="101"/>
      <c r="AR272" s="101"/>
      <c r="AS272" s="101"/>
      <c r="AT272" s="101"/>
      <c r="AU272" s="101"/>
      <c r="AV272" s="105"/>
      <c r="AW272" s="105"/>
      <c r="AX272" s="106"/>
      <c r="AY272" s="106"/>
      <c r="AZ272" s="106"/>
      <c r="BA272" s="106"/>
      <c r="BB272" s="106"/>
      <c r="BC272" s="106"/>
      <c r="BD272" s="101"/>
      <c r="BE272" s="101"/>
      <c r="BF272" s="101"/>
      <c r="BG272" s="101"/>
      <c r="BH272" s="101"/>
      <c r="BI272" s="101"/>
      <c r="BJ272" s="101"/>
      <c r="BK272" s="101"/>
      <c r="BL272" s="101"/>
      <c r="BM272" s="101"/>
      <c r="BN272" s="101"/>
      <c r="BO272" s="101"/>
      <c r="BP272" s="101"/>
      <c r="BQ272" s="101"/>
      <c r="BR272" s="101"/>
      <c r="BS272" s="101"/>
      <c r="BT272" s="101"/>
      <c r="BU272" s="101"/>
      <c r="BV272" s="101"/>
      <c r="BW272" s="107"/>
      <c r="BX272" s="101"/>
      <c r="BY272" s="108"/>
      <c r="BZ272" s="108"/>
      <c r="CA272" s="109"/>
      <c r="CB272" s="101"/>
      <c r="CC272" s="101"/>
      <c r="CD272" s="101"/>
      <c r="CE272" s="101"/>
      <c r="CF272" s="101"/>
      <c r="CG272" s="101"/>
      <c r="CH272" s="101"/>
      <c r="CI272" s="101"/>
      <c r="CJ272" s="101"/>
      <c r="CK272" s="101"/>
      <c r="CL272" s="101"/>
      <c r="CM272" s="101"/>
      <c r="CN272" s="101"/>
      <c r="CO272" s="101"/>
      <c r="CP272" s="101"/>
      <c r="CQ272" s="101"/>
      <c r="CR272" s="101"/>
      <c r="CS272" s="101"/>
      <c r="CT272" s="101"/>
      <c r="CU272" s="109"/>
      <c r="CV272" s="110"/>
      <c r="CW272" s="109"/>
      <c r="CX272" s="110"/>
      <c r="CY272" s="101"/>
      <c r="CZ272" s="101"/>
      <c r="DA272" s="101"/>
      <c r="DB272" s="101"/>
      <c r="DC272" s="101"/>
      <c r="DD272" s="101"/>
      <c r="DE272" s="101"/>
      <c r="DF272" s="101"/>
      <c r="DG272" s="101"/>
      <c r="DH272" s="101"/>
      <c r="DI272" s="101"/>
      <c r="DJ272" s="101"/>
      <c r="DK272" s="101"/>
      <c r="DL272" s="101"/>
      <c r="DM272" s="101"/>
    </row>
    <row r="273" ht="21.75" customHeight="1">
      <c r="A273" s="101"/>
      <c r="B273" s="101"/>
      <c r="C273" s="101"/>
      <c r="D273" s="101"/>
      <c r="E273" s="103"/>
      <c r="F273" s="101"/>
      <c r="G273" s="101"/>
      <c r="H273" s="101"/>
      <c r="I273" s="101"/>
      <c r="J273" s="101"/>
      <c r="K273" s="101"/>
      <c r="L273" s="101"/>
      <c r="M273" s="101"/>
      <c r="N273" s="101"/>
      <c r="O273" s="101"/>
      <c r="P273" s="101"/>
      <c r="Q273" s="101"/>
      <c r="R273" s="101"/>
      <c r="S273" s="101"/>
      <c r="T273" s="101"/>
      <c r="U273" s="101"/>
      <c r="V273" s="101"/>
      <c r="W273" s="101"/>
      <c r="X273" s="101"/>
      <c r="Y273" s="101"/>
      <c r="Z273" s="101"/>
      <c r="AA273" s="104"/>
      <c r="AB273" s="101"/>
      <c r="AC273" s="101"/>
      <c r="AD273" s="101"/>
      <c r="AE273" s="101"/>
      <c r="AF273" s="101"/>
      <c r="AG273" s="101"/>
      <c r="AH273" s="101"/>
      <c r="AI273" s="101"/>
      <c r="AJ273" s="101"/>
      <c r="AK273" s="101"/>
      <c r="AL273" s="101"/>
      <c r="AM273" s="101"/>
      <c r="AN273" s="101"/>
      <c r="AO273" s="101"/>
      <c r="AP273" s="101"/>
      <c r="AQ273" s="101"/>
      <c r="AR273" s="101"/>
      <c r="AS273" s="101"/>
      <c r="AT273" s="101"/>
      <c r="AU273" s="101"/>
      <c r="AV273" s="105"/>
      <c r="AW273" s="105"/>
      <c r="AX273" s="106"/>
      <c r="AY273" s="106"/>
      <c r="AZ273" s="106"/>
      <c r="BA273" s="106"/>
      <c r="BB273" s="106"/>
      <c r="BC273" s="106"/>
      <c r="BD273" s="101"/>
      <c r="BE273" s="101"/>
      <c r="BF273" s="101"/>
      <c r="BG273" s="101"/>
      <c r="BH273" s="101"/>
      <c r="BI273" s="101"/>
      <c r="BJ273" s="101"/>
      <c r="BK273" s="101"/>
      <c r="BL273" s="101"/>
      <c r="BM273" s="101"/>
      <c r="BN273" s="101"/>
      <c r="BO273" s="101"/>
      <c r="BP273" s="101"/>
      <c r="BQ273" s="101"/>
      <c r="BR273" s="101"/>
      <c r="BS273" s="101"/>
      <c r="BT273" s="101"/>
      <c r="BU273" s="101"/>
      <c r="BV273" s="101"/>
      <c r="BW273" s="107"/>
      <c r="BX273" s="101"/>
      <c r="BY273" s="108"/>
      <c r="BZ273" s="108"/>
      <c r="CA273" s="109"/>
      <c r="CB273" s="101"/>
      <c r="CC273" s="101"/>
      <c r="CD273" s="101"/>
      <c r="CE273" s="101"/>
      <c r="CF273" s="101"/>
      <c r="CG273" s="101"/>
      <c r="CH273" s="101"/>
      <c r="CI273" s="101"/>
      <c r="CJ273" s="101"/>
      <c r="CK273" s="101"/>
      <c r="CL273" s="101"/>
      <c r="CM273" s="101"/>
      <c r="CN273" s="101"/>
      <c r="CO273" s="101"/>
      <c r="CP273" s="101"/>
      <c r="CQ273" s="101"/>
      <c r="CR273" s="101"/>
      <c r="CS273" s="101"/>
      <c r="CT273" s="101"/>
      <c r="CU273" s="109"/>
      <c r="CV273" s="110"/>
      <c r="CW273" s="109"/>
      <c r="CX273" s="110"/>
      <c r="CY273" s="101"/>
      <c r="CZ273" s="101"/>
      <c r="DA273" s="101"/>
      <c r="DB273" s="101"/>
      <c r="DC273" s="101"/>
      <c r="DD273" s="101"/>
      <c r="DE273" s="101"/>
      <c r="DF273" s="101"/>
      <c r="DG273" s="101"/>
      <c r="DH273" s="101"/>
      <c r="DI273" s="101"/>
      <c r="DJ273" s="101"/>
      <c r="DK273" s="101"/>
      <c r="DL273" s="101"/>
      <c r="DM273" s="101"/>
    </row>
    <row r="274" ht="21.75" customHeight="1">
      <c r="A274" s="101"/>
      <c r="B274" s="101"/>
      <c r="C274" s="101"/>
      <c r="D274" s="101"/>
      <c r="E274" s="103"/>
      <c r="F274" s="101"/>
      <c r="G274" s="101"/>
      <c r="H274" s="101"/>
      <c r="I274" s="101"/>
      <c r="J274" s="101"/>
      <c r="K274" s="101"/>
      <c r="L274" s="101"/>
      <c r="M274" s="101"/>
      <c r="N274" s="101"/>
      <c r="O274" s="101"/>
      <c r="P274" s="101"/>
      <c r="Q274" s="101"/>
      <c r="R274" s="101"/>
      <c r="S274" s="101"/>
      <c r="T274" s="101"/>
      <c r="U274" s="101"/>
      <c r="V274" s="101"/>
      <c r="W274" s="101"/>
      <c r="X274" s="101"/>
      <c r="Y274" s="101"/>
      <c r="Z274" s="101"/>
      <c r="AA274" s="104"/>
      <c r="AB274" s="101"/>
      <c r="AC274" s="101"/>
      <c r="AD274" s="101"/>
      <c r="AE274" s="101"/>
      <c r="AF274" s="101"/>
      <c r="AG274" s="101"/>
      <c r="AH274" s="101"/>
      <c r="AI274" s="101"/>
      <c r="AJ274" s="101"/>
      <c r="AK274" s="101"/>
      <c r="AL274" s="101"/>
      <c r="AM274" s="101"/>
      <c r="AN274" s="101"/>
      <c r="AO274" s="101"/>
      <c r="AP274" s="101"/>
      <c r="AQ274" s="101"/>
      <c r="AR274" s="101"/>
      <c r="AS274" s="101"/>
      <c r="AT274" s="101"/>
      <c r="AU274" s="101"/>
      <c r="AV274" s="105"/>
      <c r="AW274" s="105"/>
      <c r="AX274" s="106"/>
      <c r="AY274" s="106"/>
      <c r="AZ274" s="106"/>
      <c r="BA274" s="106"/>
      <c r="BB274" s="106"/>
      <c r="BC274" s="106"/>
      <c r="BD274" s="101"/>
      <c r="BE274" s="101"/>
      <c r="BF274" s="101"/>
      <c r="BG274" s="101"/>
      <c r="BH274" s="101"/>
      <c r="BI274" s="101"/>
      <c r="BJ274" s="101"/>
      <c r="BK274" s="101"/>
      <c r="BL274" s="101"/>
      <c r="BM274" s="101"/>
      <c r="BN274" s="101"/>
      <c r="BO274" s="101"/>
      <c r="BP274" s="101"/>
      <c r="BQ274" s="101"/>
      <c r="BR274" s="101"/>
      <c r="BS274" s="101"/>
      <c r="BT274" s="101"/>
      <c r="BU274" s="101"/>
      <c r="BV274" s="101"/>
      <c r="BW274" s="107"/>
      <c r="BX274" s="101"/>
      <c r="BY274" s="108"/>
      <c r="BZ274" s="108"/>
      <c r="CA274" s="109"/>
      <c r="CB274" s="101"/>
      <c r="CC274" s="101"/>
      <c r="CD274" s="101"/>
      <c r="CE274" s="101"/>
      <c r="CF274" s="101"/>
      <c r="CG274" s="101"/>
      <c r="CH274" s="101"/>
      <c r="CI274" s="101"/>
      <c r="CJ274" s="101"/>
      <c r="CK274" s="101"/>
      <c r="CL274" s="101"/>
      <c r="CM274" s="101"/>
      <c r="CN274" s="101"/>
      <c r="CO274" s="101"/>
      <c r="CP274" s="101"/>
      <c r="CQ274" s="101"/>
      <c r="CR274" s="101"/>
      <c r="CS274" s="101"/>
      <c r="CT274" s="101"/>
      <c r="CU274" s="109"/>
      <c r="CV274" s="110"/>
      <c r="CW274" s="109"/>
      <c r="CX274" s="110"/>
      <c r="CY274" s="101"/>
      <c r="CZ274" s="101"/>
      <c r="DA274" s="101"/>
      <c r="DB274" s="101"/>
      <c r="DC274" s="101"/>
      <c r="DD274" s="101"/>
      <c r="DE274" s="101"/>
      <c r="DF274" s="101"/>
      <c r="DG274" s="101"/>
      <c r="DH274" s="101"/>
      <c r="DI274" s="101"/>
      <c r="DJ274" s="101"/>
      <c r="DK274" s="101"/>
      <c r="DL274" s="101"/>
      <c r="DM274" s="101"/>
    </row>
    <row r="275" ht="21.75" customHeight="1">
      <c r="A275" s="101"/>
      <c r="B275" s="101"/>
      <c r="C275" s="101"/>
      <c r="D275" s="101"/>
      <c r="E275" s="103"/>
      <c r="F275" s="101"/>
      <c r="G275" s="101"/>
      <c r="H275" s="101"/>
      <c r="I275" s="101"/>
      <c r="J275" s="101"/>
      <c r="K275" s="101"/>
      <c r="L275" s="101"/>
      <c r="M275" s="101"/>
      <c r="N275" s="101"/>
      <c r="O275" s="101"/>
      <c r="P275" s="101"/>
      <c r="Q275" s="101"/>
      <c r="R275" s="101"/>
      <c r="S275" s="101"/>
      <c r="T275" s="101"/>
      <c r="U275" s="101"/>
      <c r="V275" s="101"/>
      <c r="W275" s="101"/>
      <c r="X275" s="101"/>
      <c r="Y275" s="101"/>
      <c r="Z275" s="101"/>
      <c r="AA275" s="104"/>
      <c r="AB275" s="101"/>
      <c r="AC275" s="101"/>
      <c r="AD275" s="101"/>
      <c r="AE275" s="101"/>
      <c r="AF275" s="101"/>
      <c r="AG275" s="101"/>
      <c r="AH275" s="101"/>
      <c r="AI275" s="101"/>
      <c r="AJ275" s="101"/>
      <c r="AK275" s="101"/>
      <c r="AL275" s="101"/>
      <c r="AM275" s="101"/>
      <c r="AN275" s="101"/>
      <c r="AO275" s="101"/>
      <c r="AP275" s="101"/>
      <c r="AQ275" s="101"/>
      <c r="AR275" s="101"/>
      <c r="AS275" s="101"/>
      <c r="AT275" s="101"/>
      <c r="AU275" s="101"/>
      <c r="AV275" s="105"/>
      <c r="AW275" s="105"/>
      <c r="AX275" s="106"/>
      <c r="AY275" s="106"/>
      <c r="AZ275" s="106"/>
      <c r="BA275" s="106"/>
      <c r="BB275" s="106"/>
      <c r="BC275" s="106"/>
      <c r="BD275" s="101"/>
      <c r="BE275" s="101"/>
      <c r="BF275" s="101"/>
      <c r="BG275" s="101"/>
      <c r="BH275" s="101"/>
      <c r="BI275" s="101"/>
      <c r="BJ275" s="101"/>
      <c r="BK275" s="101"/>
      <c r="BL275" s="101"/>
      <c r="BM275" s="101"/>
      <c r="BN275" s="101"/>
      <c r="BO275" s="101"/>
      <c r="BP275" s="101"/>
      <c r="BQ275" s="101"/>
      <c r="BR275" s="101"/>
      <c r="BS275" s="101"/>
      <c r="BT275" s="101"/>
      <c r="BU275" s="101"/>
      <c r="BV275" s="101"/>
      <c r="BW275" s="107"/>
      <c r="BX275" s="101"/>
      <c r="BY275" s="108"/>
      <c r="BZ275" s="108"/>
      <c r="CA275" s="109"/>
      <c r="CB275" s="101"/>
      <c r="CC275" s="101"/>
      <c r="CD275" s="101"/>
      <c r="CE275" s="101"/>
      <c r="CF275" s="101"/>
      <c r="CG275" s="101"/>
      <c r="CH275" s="101"/>
      <c r="CI275" s="101"/>
      <c r="CJ275" s="101"/>
      <c r="CK275" s="101"/>
      <c r="CL275" s="101"/>
      <c r="CM275" s="101"/>
      <c r="CN275" s="101"/>
      <c r="CO275" s="101"/>
      <c r="CP275" s="101"/>
      <c r="CQ275" s="101"/>
      <c r="CR275" s="101"/>
      <c r="CS275" s="101"/>
      <c r="CT275" s="101"/>
      <c r="CU275" s="109"/>
      <c r="CV275" s="110"/>
      <c r="CW275" s="109"/>
      <c r="CX275" s="110"/>
      <c r="CY275" s="101"/>
      <c r="CZ275" s="101"/>
      <c r="DA275" s="101"/>
      <c r="DB275" s="101"/>
      <c r="DC275" s="101"/>
      <c r="DD275" s="101"/>
      <c r="DE275" s="101"/>
      <c r="DF275" s="101"/>
      <c r="DG275" s="101"/>
      <c r="DH275" s="101"/>
      <c r="DI275" s="101"/>
      <c r="DJ275" s="101"/>
      <c r="DK275" s="101"/>
      <c r="DL275" s="101"/>
      <c r="DM275" s="101"/>
    </row>
    <row r="276" ht="21.75" customHeight="1">
      <c r="A276" s="101"/>
      <c r="B276" s="101"/>
      <c r="C276" s="101"/>
      <c r="D276" s="101"/>
      <c r="E276" s="103"/>
      <c r="F276" s="101"/>
      <c r="G276" s="101"/>
      <c r="H276" s="101"/>
      <c r="I276" s="101"/>
      <c r="J276" s="101"/>
      <c r="K276" s="101"/>
      <c r="L276" s="101"/>
      <c r="M276" s="101"/>
      <c r="N276" s="101"/>
      <c r="O276" s="101"/>
      <c r="P276" s="101"/>
      <c r="Q276" s="101"/>
      <c r="R276" s="101"/>
      <c r="S276" s="101"/>
      <c r="T276" s="101"/>
      <c r="U276" s="101"/>
      <c r="V276" s="101"/>
      <c r="W276" s="101"/>
      <c r="X276" s="101"/>
      <c r="Y276" s="101"/>
      <c r="Z276" s="101"/>
      <c r="AA276" s="104"/>
      <c r="AB276" s="101"/>
      <c r="AC276" s="101"/>
      <c r="AD276" s="101"/>
      <c r="AE276" s="101"/>
      <c r="AF276" s="101"/>
      <c r="AG276" s="101"/>
      <c r="AH276" s="101"/>
      <c r="AI276" s="101"/>
      <c r="AJ276" s="101"/>
      <c r="AK276" s="101"/>
      <c r="AL276" s="101"/>
      <c r="AM276" s="101"/>
      <c r="AN276" s="101"/>
      <c r="AO276" s="101"/>
      <c r="AP276" s="101"/>
      <c r="AQ276" s="101"/>
      <c r="AR276" s="101"/>
      <c r="AS276" s="101"/>
      <c r="AT276" s="101"/>
      <c r="AU276" s="101"/>
      <c r="AV276" s="105"/>
      <c r="AW276" s="105"/>
      <c r="AX276" s="106"/>
      <c r="AY276" s="106"/>
      <c r="AZ276" s="106"/>
      <c r="BA276" s="106"/>
      <c r="BB276" s="106"/>
      <c r="BC276" s="106"/>
      <c r="BD276" s="101"/>
      <c r="BE276" s="101"/>
      <c r="BF276" s="101"/>
      <c r="BG276" s="101"/>
      <c r="BH276" s="101"/>
      <c r="BI276" s="101"/>
      <c r="BJ276" s="101"/>
      <c r="BK276" s="101"/>
      <c r="BL276" s="101"/>
      <c r="BM276" s="101"/>
      <c r="BN276" s="101"/>
      <c r="BO276" s="101"/>
      <c r="BP276" s="101"/>
      <c r="BQ276" s="101"/>
      <c r="BR276" s="101"/>
      <c r="BS276" s="101"/>
      <c r="BT276" s="101"/>
      <c r="BU276" s="101"/>
      <c r="BV276" s="101"/>
      <c r="BW276" s="107"/>
      <c r="BX276" s="101"/>
      <c r="BY276" s="108"/>
      <c r="BZ276" s="108"/>
      <c r="CA276" s="109"/>
      <c r="CB276" s="101"/>
      <c r="CC276" s="101"/>
      <c r="CD276" s="101"/>
      <c r="CE276" s="101"/>
      <c r="CF276" s="101"/>
      <c r="CG276" s="101"/>
      <c r="CH276" s="101"/>
      <c r="CI276" s="101"/>
      <c r="CJ276" s="101"/>
      <c r="CK276" s="101"/>
      <c r="CL276" s="101"/>
      <c r="CM276" s="101"/>
      <c r="CN276" s="101"/>
      <c r="CO276" s="101"/>
      <c r="CP276" s="101"/>
      <c r="CQ276" s="101"/>
      <c r="CR276" s="101"/>
      <c r="CS276" s="101"/>
      <c r="CT276" s="101"/>
      <c r="CU276" s="109"/>
      <c r="CV276" s="110"/>
      <c r="CW276" s="109"/>
      <c r="CX276" s="110"/>
      <c r="CY276" s="101"/>
      <c r="CZ276" s="101"/>
      <c r="DA276" s="101"/>
      <c r="DB276" s="101"/>
      <c r="DC276" s="101"/>
      <c r="DD276" s="101"/>
      <c r="DE276" s="101"/>
      <c r="DF276" s="101"/>
      <c r="DG276" s="101"/>
      <c r="DH276" s="101"/>
      <c r="DI276" s="101"/>
      <c r="DJ276" s="101"/>
      <c r="DK276" s="101"/>
      <c r="DL276" s="101"/>
      <c r="DM276" s="101"/>
    </row>
    <row r="277" ht="21.75" customHeight="1">
      <c r="A277" s="101"/>
      <c r="B277" s="101"/>
      <c r="C277" s="101"/>
      <c r="D277" s="101"/>
      <c r="E277" s="103"/>
      <c r="F277" s="101"/>
      <c r="G277" s="101"/>
      <c r="H277" s="101"/>
      <c r="I277" s="101"/>
      <c r="J277" s="101"/>
      <c r="K277" s="101"/>
      <c r="L277" s="101"/>
      <c r="M277" s="101"/>
      <c r="N277" s="101"/>
      <c r="O277" s="101"/>
      <c r="P277" s="101"/>
      <c r="Q277" s="101"/>
      <c r="R277" s="101"/>
      <c r="S277" s="101"/>
      <c r="T277" s="101"/>
      <c r="U277" s="101"/>
      <c r="V277" s="101"/>
      <c r="W277" s="101"/>
      <c r="X277" s="101"/>
      <c r="Y277" s="101"/>
      <c r="Z277" s="101"/>
      <c r="AA277" s="104"/>
      <c r="AB277" s="101"/>
      <c r="AC277" s="101"/>
      <c r="AD277" s="101"/>
      <c r="AE277" s="101"/>
      <c r="AF277" s="101"/>
      <c r="AG277" s="101"/>
      <c r="AH277" s="101"/>
      <c r="AI277" s="101"/>
      <c r="AJ277" s="101"/>
      <c r="AK277" s="101"/>
      <c r="AL277" s="101"/>
      <c r="AM277" s="101"/>
      <c r="AN277" s="101"/>
      <c r="AO277" s="101"/>
      <c r="AP277" s="101"/>
      <c r="AQ277" s="101"/>
      <c r="AR277" s="101"/>
      <c r="AS277" s="101"/>
      <c r="AT277" s="101"/>
      <c r="AU277" s="101"/>
      <c r="AV277" s="105"/>
      <c r="AW277" s="105"/>
      <c r="AX277" s="106"/>
      <c r="AY277" s="106"/>
      <c r="AZ277" s="106"/>
      <c r="BA277" s="106"/>
      <c r="BB277" s="106"/>
      <c r="BC277" s="106"/>
      <c r="BD277" s="101"/>
      <c r="BE277" s="101"/>
      <c r="BF277" s="101"/>
      <c r="BG277" s="101"/>
      <c r="BH277" s="101"/>
      <c r="BI277" s="101"/>
      <c r="BJ277" s="101"/>
      <c r="BK277" s="101"/>
      <c r="BL277" s="101"/>
      <c r="BM277" s="101"/>
      <c r="BN277" s="101"/>
      <c r="BO277" s="101"/>
      <c r="BP277" s="101"/>
      <c r="BQ277" s="101"/>
      <c r="BR277" s="101"/>
      <c r="BS277" s="101"/>
      <c r="BT277" s="101"/>
      <c r="BU277" s="101"/>
      <c r="BV277" s="101"/>
      <c r="BW277" s="107"/>
      <c r="BX277" s="101"/>
      <c r="BY277" s="108"/>
      <c r="BZ277" s="108"/>
      <c r="CA277" s="109"/>
      <c r="CB277" s="101"/>
      <c r="CC277" s="101"/>
      <c r="CD277" s="101"/>
      <c r="CE277" s="101"/>
      <c r="CF277" s="101"/>
      <c r="CG277" s="101"/>
      <c r="CH277" s="101"/>
      <c r="CI277" s="101"/>
      <c r="CJ277" s="101"/>
      <c r="CK277" s="101"/>
      <c r="CL277" s="101"/>
      <c r="CM277" s="101"/>
      <c r="CN277" s="101"/>
      <c r="CO277" s="101"/>
      <c r="CP277" s="101"/>
      <c r="CQ277" s="101"/>
      <c r="CR277" s="101"/>
      <c r="CS277" s="101"/>
      <c r="CT277" s="101"/>
      <c r="CU277" s="109"/>
      <c r="CV277" s="110"/>
      <c r="CW277" s="109"/>
      <c r="CX277" s="110"/>
      <c r="CY277" s="101"/>
      <c r="CZ277" s="101"/>
      <c r="DA277" s="101"/>
      <c r="DB277" s="101"/>
      <c r="DC277" s="101"/>
      <c r="DD277" s="101"/>
      <c r="DE277" s="101"/>
      <c r="DF277" s="101"/>
      <c r="DG277" s="101"/>
      <c r="DH277" s="101"/>
      <c r="DI277" s="101"/>
      <c r="DJ277" s="101"/>
      <c r="DK277" s="101"/>
      <c r="DL277" s="101"/>
      <c r="DM277" s="101"/>
    </row>
    <row r="278" ht="21.75" customHeight="1">
      <c r="A278" s="101"/>
      <c r="B278" s="101"/>
      <c r="C278" s="101"/>
      <c r="D278" s="101"/>
      <c r="E278" s="103"/>
      <c r="F278" s="101"/>
      <c r="G278" s="101"/>
      <c r="H278" s="101"/>
      <c r="I278" s="101"/>
      <c r="J278" s="101"/>
      <c r="K278" s="101"/>
      <c r="L278" s="101"/>
      <c r="M278" s="101"/>
      <c r="N278" s="101"/>
      <c r="O278" s="101"/>
      <c r="P278" s="101"/>
      <c r="Q278" s="101"/>
      <c r="R278" s="101"/>
      <c r="S278" s="101"/>
      <c r="T278" s="101"/>
      <c r="U278" s="101"/>
      <c r="V278" s="101"/>
      <c r="W278" s="101"/>
      <c r="X278" s="101"/>
      <c r="Y278" s="101"/>
      <c r="Z278" s="101"/>
      <c r="AA278" s="104"/>
      <c r="AB278" s="101"/>
      <c r="AC278" s="101"/>
      <c r="AD278" s="101"/>
      <c r="AE278" s="101"/>
      <c r="AF278" s="101"/>
      <c r="AG278" s="101"/>
      <c r="AH278" s="101"/>
      <c r="AI278" s="101"/>
      <c r="AJ278" s="101"/>
      <c r="AK278" s="101"/>
      <c r="AL278" s="101"/>
      <c r="AM278" s="101"/>
      <c r="AN278" s="101"/>
      <c r="AO278" s="101"/>
      <c r="AP278" s="101"/>
      <c r="AQ278" s="101"/>
      <c r="AR278" s="101"/>
      <c r="AS278" s="101"/>
      <c r="AT278" s="101"/>
      <c r="AU278" s="101"/>
      <c r="AV278" s="105"/>
      <c r="AW278" s="105"/>
      <c r="AX278" s="106"/>
      <c r="AY278" s="106"/>
      <c r="AZ278" s="106"/>
      <c r="BA278" s="106"/>
      <c r="BB278" s="106"/>
      <c r="BC278" s="106"/>
      <c r="BD278" s="101"/>
      <c r="BE278" s="101"/>
      <c r="BF278" s="101"/>
      <c r="BG278" s="101"/>
      <c r="BH278" s="101"/>
      <c r="BI278" s="101"/>
      <c r="BJ278" s="101"/>
      <c r="BK278" s="101"/>
      <c r="BL278" s="101"/>
      <c r="BM278" s="101"/>
      <c r="BN278" s="101"/>
      <c r="BO278" s="101"/>
      <c r="BP278" s="101"/>
      <c r="BQ278" s="101"/>
      <c r="BR278" s="101"/>
      <c r="BS278" s="101"/>
      <c r="BT278" s="101"/>
      <c r="BU278" s="101"/>
      <c r="BV278" s="101"/>
      <c r="BW278" s="107"/>
      <c r="BX278" s="101"/>
      <c r="BY278" s="108"/>
      <c r="BZ278" s="108"/>
      <c r="CA278" s="109"/>
      <c r="CB278" s="101"/>
      <c r="CC278" s="101"/>
      <c r="CD278" s="101"/>
      <c r="CE278" s="101"/>
      <c r="CF278" s="101"/>
      <c r="CG278" s="101"/>
      <c r="CH278" s="101"/>
      <c r="CI278" s="101"/>
      <c r="CJ278" s="101"/>
      <c r="CK278" s="101"/>
      <c r="CL278" s="101"/>
      <c r="CM278" s="101"/>
      <c r="CN278" s="101"/>
      <c r="CO278" s="101"/>
      <c r="CP278" s="101"/>
      <c r="CQ278" s="101"/>
      <c r="CR278" s="101"/>
      <c r="CS278" s="101"/>
      <c r="CT278" s="101"/>
      <c r="CU278" s="109"/>
      <c r="CV278" s="110"/>
      <c r="CW278" s="109"/>
      <c r="CX278" s="110"/>
      <c r="CY278" s="101"/>
      <c r="CZ278" s="101"/>
      <c r="DA278" s="101"/>
      <c r="DB278" s="101"/>
      <c r="DC278" s="101"/>
      <c r="DD278" s="101"/>
      <c r="DE278" s="101"/>
      <c r="DF278" s="101"/>
      <c r="DG278" s="101"/>
      <c r="DH278" s="101"/>
      <c r="DI278" s="101"/>
      <c r="DJ278" s="101"/>
      <c r="DK278" s="101"/>
      <c r="DL278" s="101"/>
      <c r="DM278" s="101"/>
    </row>
    <row r="279" ht="21.75" customHeight="1">
      <c r="A279" s="101"/>
      <c r="B279" s="101"/>
      <c r="C279" s="101"/>
      <c r="D279" s="101"/>
      <c r="E279" s="103"/>
      <c r="F279" s="101"/>
      <c r="G279" s="101"/>
      <c r="H279" s="101"/>
      <c r="I279" s="101"/>
      <c r="J279" s="101"/>
      <c r="K279" s="101"/>
      <c r="L279" s="101"/>
      <c r="M279" s="101"/>
      <c r="N279" s="101"/>
      <c r="O279" s="101"/>
      <c r="P279" s="101"/>
      <c r="Q279" s="101"/>
      <c r="R279" s="101"/>
      <c r="S279" s="101"/>
      <c r="T279" s="101"/>
      <c r="U279" s="101"/>
      <c r="V279" s="101"/>
      <c r="W279" s="101"/>
      <c r="X279" s="101"/>
      <c r="Y279" s="101"/>
      <c r="Z279" s="101"/>
      <c r="AA279" s="104"/>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5"/>
      <c r="AW279" s="105"/>
      <c r="AX279" s="106"/>
      <c r="AY279" s="106"/>
      <c r="AZ279" s="106"/>
      <c r="BA279" s="106"/>
      <c r="BB279" s="106"/>
      <c r="BC279" s="106"/>
      <c r="BD279" s="101"/>
      <c r="BE279" s="101"/>
      <c r="BF279" s="101"/>
      <c r="BG279" s="101"/>
      <c r="BH279" s="101"/>
      <c r="BI279" s="101"/>
      <c r="BJ279" s="101"/>
      <c r="BK279" s="101"/>
      <c r="BL279" s="101"/>
      <c r="BM279" s="101"/>
      <c r="BN279" s="101"/>
      <c r="BO279" s="101"/>
      <c r="BP279" s="101"/>
      <c r="BQ279" s="101"/>
      <c r="BR279" s="101"/>
      <c r="BS279" s="101"/>
      <c r="BT279" s="101"/>
      <c r="BU279" s="101"/>
      <c r="BV279" s="101"/>
      <c r="BW279" s="107"/>
      <c r="BX279" s="101"/>
      <c r="BY279" s="108"/>
      <c r="BZ279" s="108"/>
      <c r="CA279" s="109"/>
      <c r="CB279" s="101"/>
      <c r="CC279" s="101"/>
      <c r="CD279" s="101"/>
      <c r="CE279" s="101"/>
      <c r="CF279" s="101"/>
      <c r="CG279" s="101"/>
      <c r="CH279" s="101"/>
      <c r="CI279" s="101"/>
      <c r="CJ279" s="101"/>
      <c r="CK279" s="101"/>
      <c r="CL279" s="101"/>
      <c r="CM279" s="101"/>
      <c r="CN279" s="101"/>
      <c r="CO279" s="101"/>
      <c r="CP279" s="101"/>
      <c r="CQ279" s="101"/>
      <c r="CR279" s="101"/>
      <c r="CS279" s="101"/>
      <c r="CT279" s="101"/>
      <c r="CU279" s="109"/>
      <c r="CV279" s="110"/>
      <c r="CW279" s="109"/>
      <c r="CX279" s="110"/>
      <c r="CY279" s="101"/>
      <c r="CZ279" s="101"/>
      <c r="DA279" s="101"/>
      <c r="DB279" s="101"/>
      <c r="DC279" s="101"/>
      <c r="DD279" s="101"/>
      <c r="DE279" s="101"/>
      <c r="DF279" s="101"/>
      <c r="DG279" s="101"/>
      <c r="DH279" s="101"/>
      <c r="DI279" s="101"/>
      <c r="DJ279" s="101"/>
      <c r="DK279" s="101"/>
      <c r="DL279" s="101"/>
      <c r="DM279" s="101"/>
    </row>
    <row r="280" ht="21.75" customHeight="1">
      <c r="A280" s="101"/>
      <c r="B280" s="101"/>
      <c r="C280" s="101"/>
      <c r="D280" s="101"/>
      <c r="E280" s="103"/>
      <c r="F280" s="101"/>
      <c r="G280" s="101"/>
      <c r="H280" s="101"/>
      <c r="I280" s="101"/>
      <c r="J280" s="101"/>
      <c r="K280" s="101"/>
      <c r="L280" s="101"/>
      <c r="M280" s="101"/>
      <c r="N280" s="101"/>
      <c r="O280" s="101"/>
      <c r="P280" s="101"/>
      <c r="Q280" s="101"/>
      <c r="R280" s="101"/>
      <c r="S280" s="101"/>
      <c r="T280" s="101"/>
      <c r="U280" s="101"/>
      <c r="V280" s="101"/>
      <c r="W280" s="101"/>
      <c r="X280" s="101"/>
      <c r="Y280" s="101"/>
      <c r="Z280" s="101"/>
      <c r="AA280" s="104"/>
      <c r="AB280" s="101"/>
      <c r="AC280" s="101"/>
      <c r="AD280" s="101"/>
      <c r="AE280" s="101"/>
      <c r="AF280" s="101"/>
      <c r="AG280" s="101"/>
      <c r="AH280" s="101"/>
      <c r="AI280" s="101"/>
      <c r="AJ280" s="101"/>
      <c r="AK280" s="101"/>
      <c r="AL280" s="101"/>
      <c r="AM280" s="101"/>
      <c r="AN280" s="101"/>
      <c r="AO280" s="101"/>
      <c r="AP280" s="101"/>
      <c r="AQ280" s="101"/>
      <c r="AR280" s="101"/>
      <c r="AS280" s="101"/>
      <c r="AT280" s="101"/>
      <c r="AU280" s="101"/>
      <c r="AV280" s="105"/>
      <c r="AW280" s="105"/>
      <c r="AX280" s="106"/>
      <c r="AY280" s="106"/>
      <c r="AZ280" s="106"/>
      <c r="BA280" s="106"/>
      <c r="BB280" s="106"/>
      <c r="BC280" s="106"/>
      <c r="BD280" s="101"/>
      <c r="BE280" s="101"/>
      <c r="BF280" s="101"/>
      <c r="BG280" s="101"/>
      <c r="BH280" s="101"/>
      <c r="BI280" s="101"/>
      <c r="BJ280" s="101"/>
      <c r="BK280" s="101"/>
      <c r="BL280" s="101"/>
      <c r="BM280" s="101"/>
      <c r="BN280" s="101"/>
      <c r="BO280" s="101"/>
      <c r="BP280" s="101"/>
      <c r="BQ280" s="101"/>
      <c r="BR280" s="101"/>
      <c r="BS280" s="101"/>
      <c r="BT280" s="101"/>
      <c r="BU280" s="101"/>
      <c r="BV280" s="101"/>
      <c r="BW280" s="107"/>
      <c r="BX280" s="101"/>
      <c r="BY280" s="108"/>
      <c r="BZ280" s="108"/>
      <c r="CA280" s="109"/>
      <c r="CB280" s="101"/>
      <c r="CC280" s="101"/>
      <c r="CD280" s="101"/>
      <c r="CE280" s="101"/>
      <c r="CF280" s="101"/>
      <c r="CG280" s="101"/>
      <c r="CH280" s="101"/>
      <c r="CI280" s="101"/>
      <c r="CJ280" s="101"/>
      <c r="CK280" s="101"/>
      <c r="CL280" s="101"/>
      <c r="CM280" s="101"/>
      <c r="CN280" s="101"/>
      <c r="CO280" s="101"/>
      <c r="CP280" s="101"/>
      <c r="CQ280" s="101"/>
      <c r="CR280" s="101"/>
      <c r="CS280" s="101"/>
      <c r="CT280" s="101"/>
      <c r="CU280" s="109"/>
      <c r="CV280" s="110"/>
      <c r="CW280" s="109"/>
      <c r="CX280" s="110"/>
      <c r="CY280" s="101"/>
      <c r="CZ280" s="101"/>
      <c r="DA280" s="101"/>
      <c r="DB280" s="101"/>
      <c r="DC280" s="101"/>
      <c r="DD280" s="101"/>
      <c r="DE280" s="101"/>
      <c r="DF280" s="101"/>
      <c r="DG280" s="101"/>
      <c r="DH280" s="101"/>
      <c r="DI280" s="101"/>
      <c r="DJ280" s="101"/>
      <c r="DK280" s="101"/>
      <c r="DL280" s="101"/>
      <c r="DM280" s="101"/>
    </row>
    <row r="281" ht="21.75" customHeight="1">
      <c r="A281" s="101"/>
      <c r="B281" s="101"/>
      <c r="C281" s="101"/>
      <c r="D281" s="101"/>
      <c r="E281" s="103"/>
      <c r="F281" s="101"/>
      <c r="G281" s="101"/>
      <c r="H281" s="101"/>
      <c r="I281" s="101"/>
      <c r="J281" s="101"/>
      <c r="K281" s="101"/>
      <c r="L281" s="101"/>
      <c r="M281" s="101"/>
      <c r="N281" s="101"/>
      <c r="O281" s="101"/>
      <c r="P281" s="101"/>
      <c r="Q281" s="101"/>
      <c r="R281" s="101"/>
      <c r="S281" s="101"/>
      <c r="T281" s="101"/>
      <c r="U281" s="101"/>
      <c r="V281" s="101"/>
      <c r="W281" s="101"/>
      <c r="X281" s="101"/>
      <c r="Y281" s="101"/>
      <c r="Z281" s="101"/>
      <c r="AA281" s="104"/>
      <c r="AB281" s="101"/>
      <c r="AC281" s="101"/>
      <c r="AD281" s="101"/>
      <c r="AE281" s="101"/>
      <c r="AF281" s="101"/>
      <c r="AG281" s="101"/>
      <c r="AH281" s="101"/>
      <c r="AI281" s="101"/>
      <c r="AJ281" s="101"/>
      <c r="AK281" s="101"/>
      <c r="AL281" s="101"/>
      <c r="AM281" s="101"/>
      <c r="AN281" s="101"/>
      <c r="AO281" s="101"/>
      <c r="AP281" s="101"/>
      <c r="AQ281" s="101"/>
      <c r="AR281" s="101"/>
      <c r="AS281" s="101"/>
      <c r="AT281" s="101"/>
      <c r="AU281" s="101"/>
      <c r="AV281" s="105"/>
      <c r="AW281" s="105"/>
      <c r="AX281" s="106"/>
      <c r="AY281" s="106"/>
      <c r="AZ281" s="106"/>
      <c r="BA281" s="106"/>
      <c r="BB281" s="106"/>
      <c r="BC281" s="106"/>
      <c r="BD281" s="101"/>
      <c r="BE281" s="101"/>
      <c r="BF281" s="101"/>
      <c r="BG281" s="101"/>
      <c r="BH281" s="101"/>
      <c r="BI281" s="101"/>
      <c r="BJ281" s="101"/>
      <c r="BK281" s="101"/>
      <c r="BL281" s="101"/>
      <c r="BM281" s="101"/>
      <c r="BN281" s="101"/>
      <c r="BO281" s="101"/>
      <c r="BP281" s="101"/>
      <c r="BQ281" s="101"/>
      <c r="BR281" s="101"/>
      <c r="BS281" s="101"/>
      <c r="BT281" s="101"/>
      <c r="BU281" s="101"/>
      <c r="BV281" s="101"/>
      <c r="BW281" s="107"/>
      <c r="BX281" s="101"/>
      <c r="BY281" s="108"/>
      <c r="BZ281" s="108"/>
      <c r="CA281" s="109"/>
      <c r="CB281" s="101"/>
      <c r="CC281" s="101"/>
      <c r="CD281" s="101"/>
      <c r="CE281" s="101"/>
      <c r="CF281" s="101"/>
      <c r="CG281" s="101"/>
      <c r="CH281" s="101"/>
      <c r="CI281" s="101"/>
      <c r="CJ281" s="101"/>
      <c r="CK281" s="101"/>
      <c r="CL281" s="101"/>
      <c r="CM281" s="101"/>
      <c r="CN281" s="101"/>
      <c r="CO281" s="101"/>
      <c r="CP281" s="101"/>
      <c r="CQ281" s="101"/>
      <c r="CR281" s="101"/>
      <c r="CS281" s="101"/>
      <c r="CT281" s="101"/>
      <c r="CU281" s="109"/>
      <c r="CV281" s="110"/>
      <c r="CW281" s="109"/>
      <c r="CX281" s="110"/>
      <c r="CY281" s="101"/>
      <c r="CZ281" s="101"/>
      <c r="DA281" s="101"/>
      <c r="DB281" s="101"/>
      <c r="DC281" s="101"/>
      <c r="DD281" s="101"/>
      <c r="DE281" s="101"/>
      <c r="DF281" s="101"/>
      <c r="DG281" s="101"/>
      <c r="DH281" s="101"/>
      <c r="DI281" s="101"/>
      <c r="DJ281" s="101"/>
      <c r="DK281" s="101"/>
      <c r="DL281" s="101"/>
      <c r="DM281" s="101"/>
    </row>
    <row r="282" ht="21.75" customHeight="1">
      <c r="A282" s="101"/>
      <c r="B282" s="101"/>
      <c r="C282" s="101"/>
      <c r="D282" s="101"/>
      <c r="E282" s="103"/>
      <c r="F282" s="101"/>
      <c r="G282" s="101"/>
      <c r="H282" s="101"/>
      <c r="I282" s="101"/>
      <c r="J282" s="101"/>
      <c r="K282" s="101"/>
      <c r="L282" s="101"/>
      <c r="M282" s="101"/>
      <c r="N282" s="101"/>
      <c r="O282" s="101"/>
      <c r="P282" s="101"/>
      <c r="Q282" s="101"/>
      <c r="R282" s="101"/>
      <c r="S282" s="101"/>
      <c r="T282" s="101"/>
      <c r="U282" s="101"/>
      <c r="V282" s="101"/>
      <c r="W282" s="101"/>
      <c r="X282" s="101"/>
      <c r="Y282" s="101"/>
      <c r="Z282" s="101"/>
      <c r="AA282" s="104"/>
      <c r="AB282" s="101"/>
      <c r="AC282" s="101"/>
      <c r="AD282" s="101"/>
      <c r="AE282" s="101"/>
      <c r="AF282" s="101"/>
      <c r="AG282" s="101"/>
      <c r="AH282" s="101"/>
      <c r="AI282" s="101"/>
      <c r="AJ282" s="101"/>
      <c r="AK282" s="101"/>
      <c r="AL282" s="101"/>
      <c r="AM282" s="101"/>
      <c r="AN282" s="101"/>
      <c r="AO282" s="101"/>
      <c r="AP282" s="101"/>
      <c r="AQ282" s="101"/>
      <c r="AR282" s="101"/>
      <c r="AS282" s="101"/>
      <c r="AT282" s="101"/>
      <c r="AU282" s="101"/>
      <c r="AV282" s="105"/>
      <c r="AW282" s="105"/>
      <c r="AX282" s="106"/>
      <c r="AY282" s="106"/>
      <c r="AZ282" s="106"/>
      <c r="BA282" s="106"/>
      <c r="BB282" s="106"/>
      <c r="BC282" s="106"/>
      <c r="BD282" s="101"/>
      <c r="BE282" s="101"/>
      <c r="BF282" s="101"/>
      <c r="BG282" s="101"/>
      <c r="BH282" s="101"/>
      <c r="BI282" s="101"/>
      <c r="BJ282" s="101"/>
      <c r="BK282" s="101"/>
      <c r="BL282" s="101"/>
      <c r="BM282" s="101"/>
      <c r="BN282" s="101"/>
      <c r="BO282" s="101"/>
      <c r="BP282" s="101"/>
      <c r="BQ282" s="101"/>
      <c r="BR282" s="101"/>
      <c r="BS282" s="101"/>
      <c r="BT282" s="101"/>
      <c r="BU282" s="101"/>
      <c r="BV282" s="101"/>
      <c r="BW282" s="107"/>
      <c r="BX282" s="101"/>
      <c r="BY282" s="108"/>
      <c r="BZ282" s="108"/>
      <c r="CA282" s="109"/>
      <c r="CB282" s="101"/>
      <c r="CC282" s="101"/>
      <c r="CD282" s="101"/>
      <c r="CE282" s="101"/>
      <c r="CF282" s="101"/>
      <c r="CG282" s="101"/>
      <c r="CH282" s="101"/>
      <c r="CI282" s="101"/>
      <c r="CJ282" s="101"/>
      <c r="CK282" s="101"/>
      <c r="CL282" s="101"/>
      <c r="CM282" s="101"/>
      <c r="CN282" s="101"/>
      <c r="CO282" s="101"/>
      <c r="CP282" s="101"/>
      <c r="CQ282" s="101"/>
      <c r="CR282" s="101"/>
      <c r="CS282" s="101"/>
      <c r="CT282" s="101"/>
      <c r="CU282" s="109"/>
      <c r="CV282" s="110"/>
      <c r="CW282" s="109"/>
      <c r="CX282" s="110"/>
      <c r="CY282" s="101"/>
      <c r="CZ282" s="101"/>
      <c r="DA282" s="101"/>
      <c r="DB282" s="101"/>
      <c r="DC282" s="101"/>
      <c r="DD282" s="101"/>
      <c r="DE282" s="101"/>
      <c r="DF282" s="101"/>
      <c r="DG282" s="101"/>
      <c r="DH282" s="101"/>
      <c r="DI282" s="101"/>
      <c r="DJ282" s="101"/>
      <c r="DK282" s="101"/>
      <c r="DL282" s="101"/>
      <c r="DM282" s="101"/>
    </row>
    <row r="283" ht="21.75" customHeight="1">
      <c r="A283" s="101"/>
      <c r="B283" s="101"/>
      <c r="C283" s="101"/>
      <c r="D283" s="101"/>
      <c r="E283" s="103"/>
      <c r="F283" s="101"/>
      <c r="G283" s="101"/>
      <c r="H283" s="101"/>
      <c r="I283" s="101"/>
      <c r="J283" s="101"/>
      <c r="K283" s="101"/>
      <c r="L283" s="101"/>
      <c r="M283" s="101"/>
      <c r="N283" s="101"/>
      <c r="O283" s="101"/>
      <c r="P283" s="101"/>
      <c r="Q283" s="101"/>
      <c r="R283" s="101"/>
      <c r="S283" s="101"/>
      <c r="T283" s="101"/>
      <c r="U283" s="101"/>
      <c r="V283" s="101"/>
      <c r="W283" s="101"/>
      <c r="X283" s="101"/>
      <c r="Y283" s="101"/>
      <c r="Z283" s="101"/>
      <c r="AA283" s="104"/>
      <c r="AB283" s="101"/>
      <c r="AC283" s="101"/>
      <c r="AD283" s="101"/>
      <c r="AE283" s="101"/>
      <c r="AF283" s="101"/>
      <c r="AG283" s="101"/>
      <c r="AH283" s="101"/>
      <c r="AI283" s="101"/>
      <c r="AJ283" s="101"/>
      <c r="AK283" s="101"/>
      <c r="AL283" s="101"/>
      <c r="AM283" s="101"/>
      <c r="AN283" s="101"/>
      <c r="AO283" s="101"/>
      <c r="AP283" s="101"/>
      <c r="AQ283" s="101"/>
      <c r="AR283" s="101"/>
      <c r="AS283" s="101"/>
      <c r="AT283" s="101"/>
      <c r="AU283" s="101"/>
      <c r="AV283" s="105"/>
      <c r="AW283" s="105"/>
      <c r="AX283" s="106"/>
      <c r="AY283" s="106"/>
      <c r="AZ283" s="106"/>
      <c r="BA283" s="106"/>
      <c r="BB283" s="106"/>
      <c r="BC283" s="106"/>
      <c r="BD283" s="101"/>
      <c r="BE283" s="101"/>
      <c r="BF283" s="101"/>
      <c r="BG283" s="101"/>
      <c r="BH283" s="101"/>
      <c r="BI283" s="101"/>
      <c r="BJ283" s="101"/>
      <c r="BK283" s="101"/>
      <c r="BL283" s="101"/>
      <c r="BM283" s="101"/>
      <c r="BN283" s="101"/>
      <c r="BO283" s="101"/>
      <c r="BP283" s="101"/>
      <c r="BQ283" s="101"/>
      <c r="BR283" s="101"/>
      <c r="BS283" s="101"/>
      <c r="BT283" s="101"/>
      <c r="BU283" s="101"/>
      <c r="BV283" s="101"/>
      <c r="BW283" s="107"/>
      <c r="BX283" s="101"/>
      <c r="BY283" s="108"/>
      <c r="BZ283" s="108"/>
      <c r="CA283" s="109"/>
      <c r="CB283" s="101"/>
      <c r="CC283" s="101"/>
      <c r="CD283" s="101"/>
      <c r="CE283" s="101"/>
      <c r="CF283" s="101"/>
      <c r="CG283" s="101"/>
      <c r="CH283" s="101"/>
      <c r="CI283" s="101"/>
      <c r="CJ283" s="101"/>
      <c r="CK283" s="101"/>
      <c r="CL283" s="101"/>
      <c r="CM283" s="101"/>
      <c r="CN283" s="101"/>
      <c r="CO283" s="101"/>
      <c r="CP283" s="101"/>
      <c r="CQ283" s="101"/>
      <c r="CR283" s="101"/>
      <c r="CS283" s="101"/>
      <c r="CT283" s="101"/>
      <c r="CU283" s="109"/>
      <c r="CV283" s="110"/>
      <c r="CW283" s="109"/>
      <c r="CX283" s="110"/>
      <c r="CY283" s="101"/>
      <c r="CZ283" s="101"/>
      <c r="DA283" s="101"/>
      <c r="DB283" s="101"/>
      <c r="DC283" s="101"/>
      <c r="DD283" s="101"/>
      <c r="DE283" s="101"/>
      <c r="DF283" s="101"/>
      <c r="DG283" s="101"/>
      <c r="DH283" s="101"/>
      <c r="DI283" s="101"/>
      <c r="DJ283" s="101"/>
      <c r="DK283" s="101"/>
      <c r="DL283" s="101"/>
      <c r="DM283" s="101"/>
    </row>
    <row r="284" ht="21.75" customHeight="1">
      <c r="A284" s="101"/>
      <c r="B284" s="101"/>
      <c r="C284" s="101"/>
      <c r="D284" s="101"/>
      <c r="E284" s="103"/>
      <c r="F284" s="101"/>
      <c r="G284" s="101"/>
      <c r="H284" s="101"/>
      <c r="I284" s="101"/>
      <c r="J284" s="101"/>
      <c r="K284" s="101"/>
      <c r="L284" s="101"/>
      <c r="M284" s="101"/>
      <c r="N284" s="101"/>
      <c r="O284" s="101"/>
      <c r="P284" s="101"/>
      <c r="Q284" s="101"/>
      <c r="R284" s="101"/>
      <c r="S284" s="101"/>
      <c r="T284" s="101"/>
      <c r="U284" s="101"/>
      <c r="V284" s="101"/>
      <c r="W284" s="101"/>
      <c r="X284" s="101"/>
      <c r="Y284" s="101"/>
      <c r="Z284" s="101"/>
      <c r="AA284" s="104"/>
      <c r="AB284" s="101"/>
      <c r="AC284" s="101"/>
      <c r="AD284" s="101"/>
      <c r="AE284" s="101"/>
      <c r="AF284" s="101"/>
      <c r="AG284" s="101"/>
      <c r="AH284" s="101"/>
      <c r="AI284" s="101"/>
      <c r="AJ284" s="101"/>
      <c r="AK284" s="101"/>
      <c r="AL284" s="101"/>
      <c r="AM284" s="101"/>
      <c r="AN284" s="101"/>
      <c r="AO284" s="101"/>
      <c r="AP284" s="101"/>
      <c r="AQ284" s="101"/>
      <c r="AR284" s="101"/>
      <c r="AS284" s="101"/>
      <c r="AT284" s="101"/>
      <c r="AU284" s="101"/>
      <c r="AV284" s="105"/>
      <c r="AW284" s="105"/>
      <c r="AX284" s="106"/>
      <c r="AY284" s="106"/>
      <c r="AZ284" s="106"/>
      <c r="BA284" s="106"/>
      <c r="BB284" s="106"/>
      <c r="BC284" s="106"/>
      <c r="BD284" s="101"/>
      <c r="BE284" s="101"/>
      <c r="BF284" s="101"/>
      <c r="BG284" s="101"/>
      <c r="BH284" s="101"/>
      <c r="BI284" s="101"/>
      <c r="BJ284" s="101"/>
      <c r="BK284" s="101"/>
      <c r="BL284" s="101"/>
      <c r="BM284" s="101"/>
      <c r="BN284" s="101"/>
      <c r="BO284" s="101"/>
      <c r="BP284" s="101"/>
      <c r="BQ284" s="101"/>
      <c r="BR284" s="101"/>
      <c r="BS284" s="101"/>
      <c r="BT284" s="101"/>
      <c r="BU284" s="101"/>
      <c r="BV284" s="101"/>
      <c r="BW284" s="107"/>
      <c r="BX284" s="101"/>
      <c r="BY284" s="108"/>
      <c r="BZ284" s="108"/>
      <c r="CA284" s="109"/>
      <c r="CB284" s="101"/>
      <c r="CC284" s="101"/>
      <c r="CD284" s="101"/>
      <c r="CE284" s="101"/>
      <c r="CF284" s="101"/>
      <c r="CG284" s="101"/>
      <c r="CH284" s="101"/>
      <c r="CI284" s="101"/>
      <c r="CJ284" s="101"/>
      <c r="CK284" s="101"/>
      <c r="CL284" s="101"/>
      <c r="CM284" s="101"/>
      <c r="CN284" s="101"/>
      <c r="CO284" s="101"/>
      <c r="CP284" s="101"/>
      <c r="CQ284" s="101"/>
      <c r="CR284" s="101"/>
      <c r="CS284" s="101"/>
      <c r="CT284" s="101"/>
      <c r="CU284" s="109"/>
      <c r="CV284" s="110"/>
      <c r="CW284" s="109"/>
      <c r="CX284" s="110"/>
      <c r="CY284" s="101"/>
      <c r="CZ284" s="101"/>
      <c r="DA284" s="101"/>
      <c r="DB284" s="101"/>
      <c r="DC284" s="101"/>
      <c r="DD284" s="101"/>
      <c r="DE284" s="101"/>
      <c r="DF284" s="101"/>
      <c r="DG284" s="101"/>
      <c r="DH284" s="101"/>
      <c r="DI284" s="101"/>
      <c r="DJ284" s="101"/>
      <c r="DK284" s="101"/>
      <c r="DL284" s="101"/>
      <c r="DM284" s="101"/>
    </row>
    <row r="285" ht="21.75" customHeight="1">
      <c r="A285" s="101"/>
      <c r="B285" s="101"/>
      <c r="C285" s="101"/>
      <c r="D285" s="101"/>
      <c r="E285" s="103"/>
      <c r="F285" s="101"/>
      <c r="G285" s="101"/>
      <c r="H285" s="101"/>
      <c r="I285" s="101"/>
      <c r="J285" s="101"/>
      <c r="K285" s="101"/>
      <c r="L285" s="101"/>
      <c r="M285" s="101"/>
      <c r="N285" s="101"/>
      <c r="O285" s="101"/>
      <c r="P285" s="101"/>
      <c r="Q285" s="101"/>
      <c r="R285" s="101"/>
      <c r="S285" s="101"/>
      <c r="T285" s="101"/>
      <c r="U285" s="101"/>
      <c r="V285" s="101"/>
      <c r="W285" s="101"/>
      <c r="X285" s="101"/>
      <c r="Y285" s="101"/>
      <c r="Z285" s="101"/>
      <c r="AA285" s="104"/>
      <c r="AB285" s="101"/>
      <c r="AC285" s="101"/>
      <c r="AD285" s="101"/>
      <c r="AE285" s="101"/>
      <c r="AF285" s="101"/>
      <c r="AG285" s="101"/>
      <c r="AH285" s="101"/>
      <c r="AI285" s="101"/>
      <c r="AJ285" s="101"/>
      <c r="AK285" s="101"/>
      <c r="AL285" s="101"/>
      <c r="AM285" s="101"/>
      <c r="AN285" s="101"/>
      <c r="AO285" s="101"/>
      <c r="AP285" s="101"/>
      <c r="AQ285" s="101"/>
      <c r="AR285" s="101"/>
      <c r="AS285" s="101"/>
      <c r="AT285" s="101"/>
      <c r="AU285" s="101"/>
      <c r="AV285" s="105"/>
      <c r="AW285" s="105"/>
      <c r="AX285" s="106"/>
      <c r="AY285" s="106"/>
      <c r="AZ285" s="106"/>
      <c r="BA285" s="106"/>
      <c r="BB285" s="106"/>
      <c r="BC285" s="106"/>
      <c r="BD285" s="101"/>
      <c r="BE285" s="101"/>
      <c r="BF285" s="101"/>
      <c r="BG285" s="101"/>
      <c r="BH285" s="101"/>
      <c r="BI285" s="101"/>
      <c r="BJ285" s="101"/>
      <c r="BK285" s="101"/>
      <c r="BL285" s="101"/>
      <c r="BM285" s="101"/>
      <c r="BN285" s="101"/>
      <c r="BO285" s="101"/>
      <c r="BP285" s="101"/>
      <c r="BQ285" s="101"/>
      <c r="BR285" s="101"/>
      <c r="BS285" s="101"/>
      <c r="BT285" s="101"/>
      <c r="BU285" s="101"/>
      <c r="BV285" s="101"/>
      <c r="BW285" s="107"/>
      <c r="BX285" s="101"/>
      <c r="BY285" s="108"/>
      <c r="BZ285" s="108"/>
      <c r="CA285" s="109"/>
      <c r="CB285" s="101"/>
      <c r="CC285" s="101"/>
      <c r="CD285" s="101"/>
      <c r="CE285" s="101"/>
      <c r="CF285" s="101"/>
      <c r="CG285" s="101"/>
      <c r="CH285" s="101"/>
      <c r="CI285" s="101"/>
      <c r="CJ285" s="101"/>
      <c r="CK285" s="101"/>
      <c r="CL285" s="101"/>
      <c r="CM285" s="101"/>
      <c r="CN285" s="101"/>
      <c r="CO285" s="101"/>
      <c r="CP285" s="101"/>
      <c r="CQ285" s="101"/>
      <c r="CR285" s="101"/>
      <c r="CS285" s="101"/>
      <c r="CT285" s="101"/>
      <c r="CU285" s="109"/>
      <c r="CV285" s="110"/>
      <c r="CW285" s="109"/>
      <c r="CX285" s="110"/>
      <c r="CY285" s="101"/>
      <c r="CZ285" s="101"/>
      <c r="DA285" s="101"/>
      <c r="DB285" s="101"/>
      <c r="DC285" s="101"/>
      <c r="DD285" s="101"/>
      <c r="DE285" s="101"/>
      <c r="DF285" s="101"/>
      <c r="DG285" s="101"/>
      <c r="DH285" s="101"/>
      <c r="DI285" s="101"/>
      <c r="DJ285" s="101"/>
      <c r="DK285" s="101"/>
      <c r="DL285" s="101"/>
      <c r="DM285" s="101"/>
    </row>
    <row r="286" ht="21.75" customHeight="1">
      <c r="A286" s="101"/>
      <c r="B286" s="101"/>
      <c r="C286" s="101"/>
      <c r="D286" s="101"/>
      <c r="E286" s="103"/>
      <c r="F286" s="101"/>
      <c r="G286" s="101"/>
      <c r="H286" s="101"/>
      <c r="I286" s="101"/>
      <c r="J286" s="101"/>
      <c r="K286" s="101"/>
      <c r="L286" s="101"/>
      <c r="M286" s="101"/>
      <c r="N286" s="101"/>
      <c r="O286" s="101"/>
      <c r="P286" s="101"/>
      <c r="Q286" s="101"/>
      <c r="R286" s="101"/>
      <c r="S286" s="101"/>
      <c r="T286" s="101"/>
      <c r="U286" s="101"/>
      <c r="V286" s="101"/>
      <c r="W286" s="101"/>
      <c r="X286" s="101"/>
      <c r="Y286" s="101"/>
      <c r="Z286" s="101"/>
      <c r="AA286" s="104"/>
      <c r="AB286" s="101"/>
      <c r="AC286" s="101"/>
      <c r="AD286" s="101"/>
      <c r="AE286" s="101"/>
      <c r="AF286" s="101"/>
      <c r="AG286" s="101"/>
      <c r="AH286" s="101"/>
      <c r="AI286" s="101"/>
      <c r="AJ286" s="101"/>
      <c r="AK286" s="101"/>
      <c r="AL286" s="101"/>
      <c r="AM286" s="101"/>
      <c r="AN286" s="101"/>
      <c r="AO286" s="101"/>
      <c r="AP286" s="101"/>
      <c r="AQ286" s="101"/>
      <c r="AR286" s="101"/>
      <c r="AS286" s="101"/>
      <c r="AT286" s="101"/>
      <c r="AU286" s="101"/>
      <c r="AV286" s="105"/>
      <c r="AW286" s="105"/>
      <c r="AX286" s="106"/>
      <c r="AY286" s="106"/>
      <c r="AZ286" s="106"/>
      <c r="BA286" s="106"/>
      <c r="BB286" s="106"/>
      <c r="BC286" s="106"/>
      <c r="BD286" s="101"/>
      <c r="BE286" s="101"/>
      <c r="BF286" s="101"/>
      <c r="BG286" s="101"/>
      <c r="BH286" s="101"/>
      <c r="BI286" s="101"/>
      <c r="BJ286" s="101"/>
      <c r="BK286" s="101"/>
      <c r="BL286" s="101"/>
      <c r="BM286" s="101"/>
      <c r="BN286" s="101"/>
      <c r="BO286" s="101"/>
      <c r="BP286" s="101"/>
      <c r="BQ286" s="101"/>
      <c r="BR286" s="101"/>
      <c r="BS286" s="101"/>
      <c r="BT286" s="101"/>
      <c r="BU286" s="101"/>
      <c r="BV286" s="101"/>
      <c r="BW286" s="107"/>
      <c r="BX286" s="101"/>
      <c r="BY286" s="108"/>
      <c r="BZ286" s="108"/>
      <c r="CA286" s="109"/>
      <c r="CB286" s="101"/>
      <c r="CC286" s="101"/>
      <c r="CD286" s="101"/>
      <c r="CE286" s="101"/>
      <c r="CF286" s="101"/>
      <c r="CG286" s="101"/>
      <c r="CH286" s="101"/>
      <c r="CI286" s="101"/>
      <c r="CJ286" s="101"/>
      <c r="CK286" s="101"/>
      <c r="CL286" s="101"/>
      <c r="CM286" s="101"/>
      <c r="CN286" s="101"/>
      <c r="CO286" s="101"/>
      <c r="CP286" s="101"/>
      <c r="CQ286" s="101"/>
      <c r="CR286" s="101"/>
      <c r="CS286" s="101"/>
      <c r="CT286" s="101"/>
      <c r="CU286" s="109"/>
      <c r="CV286" s="110"/>
      <c r="CW286" s="109"/>
      <c r="CX286" s="110"/>
      <c r="CY286" s="101"/>
      <c r="CZ286" s="101"/>
      <c r="DA286" s="101"/>
      <c r="DB286" s="101"/>
      <c r="DC286" s="101"/>
      <c r="DD286" s="101"/>
      <c r="DE286" s="101"/>
      <c r="DF286" s="101"/>
      <c r="DG286" s="101"/>
      <c r="DH286" s="101"/>
      <c r="DI286" s="101"/>
      <c r="DJ286" s="101"/>
      <c r="DK286" s="101"/>
      <c r="DL286" s="101"/>
      <c r="DM286" s="101"/>
    </row>
    <row r="287" ht="21.75" customHeight="1">
      <c r="A287" s="101"/>
      <c r="B287" s="101"/>
      <c r="C287" s="101"/>
      <c r="D287" s="101"/>
      <c r="E287" s="103"/>
      <c r="F287" s="101"/>
      <c r="G287" s="101"/>
      <c r="H287" s="101"/>
      <c r="I287" s="101"/>
      <c r="J287" s="101"/>
      <c r="K287" s="101"/>
      <c r="L287" s="101"/>
      <c r="M287" s="101"/>
      <c r="N287" s="101"/>
      <c r="O287" s="101"/>
      <c r="P287" s="101"/>
      <c r="Q287" s="101"/>
      <c r="R287" s="101"/>
      <c r="S287" s="101"/>
      <c r="T287" s="101"/>
      <c r="U287" s="101"/>
      <c r="V287" s="101"/>
      <c r="W287" s="101"/>
      <c r="X287" s="101"/>
      <c r="Y287" s="101"/>
      <c r="Z287" s="101"/>
      <c r="AA287" s="104"/>
      <c r="AB287" s="101"/>
      <c r="AC287" s="101"/>
      <c r="AD287" s="101"/>
      <c r="AE287" s="101"/>
      <c r="AF287" s="101"/>
      <c r="AG287" s="101"/>
      <c r="AH287" s="101"/>
      <c r="AI287" s="101"/>
      <c r="AJ287" s="101"/>
      <c r="AK287" s="101"/>
      <c r="AL287" s="101"/>
      <c r="AM287" s="101"/>
      <c r="AN287" s="101"/>
      <c r="AO287" s="101"/>
      <c r="AP287" s="101"/>
      <c r="AQ287" s="101"/>
      <c r="AR287" s="101"/>
      <c r="AS287" s="101"/>
      <c r="AT287" s="101"/>
      <c r="AU287" s="101"/>
      <c r="AV287" s="105"/>
      <c r="AW287" s="105"/>
      <c r="AX287" s="106"/>
      <c r="AY287" s="106"/>
      <c r="AZ287" s="106"/>
      <c r="BA287" s="106"/>
      <c r="BB287" s="106"/>
      <c r="BC287" s="106"/>
      <c r="BD287" s="101"/>
      <c r="BE287" s="101"/>
      <c r="BF287" s="101"/>
      <c r="BG287" s="101"/>
      <c r="BH287" s="101"/>
      <c r="BI287" s="101"/>
      <c r="BJ287" s="101"/>
      <c r="BK287" s="101"/>
      <c r="BL287" s="101"/>
      <c r="BM287" s="101"/>
      <c r="BN287" s="101"/>
      <c r="BO287" s="101"/>
      <c r="BP287" s="101"/>
      <c r="BQ287" s="101"/>
      <c r="BR287" s="101"/>
      <c r="BS287" s="101"/>
      <c r="BT287" s="101"/>
      <c r="BU287" s="101"/>
      <c r="BV287" s="101"/>
      <c r="BW287" s="107"/>
      <c r="BX287" s="101"/>
      <c r="BY287" s="108"/>
      <c r="BZ287" s="108"/>
      <c r="CA287" s="109"/>
      <c r="CB287" s="101"/>
      <c r="CC287" s="101"/>
      <c r="CD287" s="101"/>
      <c r="CE287" s="101"/>
      <c r="CF287" s="101"/>
      <c r="CG287" s="101"/>
      <c r="CH287" s="101"/>
      <c r="CI287" s="101"/>
      <c r="CJ287" s="101"/>
      <c r="CK287" s="101"/>
      <c r="CL287" s="101"/>
      <c r="CM287" s="101"/>
      <c r="CN287" s="101"/>
      <c r="CO287" s="101"/>
      <c r="CP287" s="101"/>
      <c r="CQ287" s="101"/>
      <c r="CR287" s="101"/>
      <c r="CS287" s="101"/>
      <c r="CT287" s="101"/>
      <c r="CU287" s="109"/>
      <c r="CV287" s="110"/>
      <c r="CW287" s="109"/>
      <c r="CX287" s="110"/>
      <c r="CY287" s="101"/>
      <c r="CZ287" s="101"/>
      <c r="DA287" s="101"/>
      <c r="DB287" s="101"/>
      <c r="DC287" s="101"/>
      <c r="DD287" s="101"/>
      <c r="DE287" s="101"/>
      <c r="DF287" s="101"/>
      <c r="DG287" s="101"/>
      <c r="DH287" s="101"/>
      <c r="DI287" s="101"/>
      <c r="DJ287" s="101"/>
      <c r="DK287" s="101"/>
      <c r="DL287" s="101"/>
      <c r="DM287" s="101"/>
    </row>
    <row r="288" ht="21.75" customHeight="1">
      <c r="A288" s="101"/>
      <c r="B288" s="101"/>
      <c r="C288" s="101"/>
      <c r="D288" s="101"/>
      <c r="E288" s="103"/>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4"/>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5"/>
      <c r="AW288" s="105"/>
      <c r="AX288" s="106"/>
      <c r="AY288" s="106"/>
      <c r="AZ288" s="106"/>
      <c r="BA288" s="106"/>
      <c r="BB288" s="106"/>
      <c r="BC288" s="106"/>
      <c r="BD288" s="101"/>
      <c r="BE288" s="101"/>
      <c r="BF288" s="101"/>
      <c r="BG288" s="101"/>
      <c r="BH288" s="101"/>
      <c r="BI288" s="101"/>
      <c r="BJ288" s="101"/>
      <c r="BK288" s="101"/>
      <c r="BL288" s="101"/>
      <c r="BM288" s="101"/>
      <c r="BN288" s="101"/>
      <c r="BO288" s="101"/>
      <c r="BP288" s="101"/>
      <c r="BQ288" s="101"/>
      <c r="BR288" s="101"/>
      <c r="BS288" s="101"/>
      <c r="BT288" s="101"/>
      <c r="BU288" s="101"/>
      <c r="BV288" s="101"/>
      <c r="BW288" s="107"/>
      <c r="BX288" s="101"/>
      <c r="BY288" s="108"/>
      <c r="BZ288" s="108"/>
      <c r="CA288" s="109"/>
      <c r="CB288" s="101"/>
      <c r="CC288" s="101"/>
      <c r="CD288" s="101"/>
      <c r="CE288" s="101"/>
      <c r="CF288" s="101"/>
      <c r="CG288" s="101"/>
      <c r="CH288" s="101"/>
      <c r="CI288" s="101"/>
      <c r="CJ288" s="101"/>
      <c r="CK288" s="101"/>
      <c r="CL288" s="101"/>
      <c r="CM288" s="101"/>
      <c r="CN288" s="101"/>
      <c r="CO288" s="101"/>
      <c r="CP288" s="101"/>
      <c r="CQ288" s="101"/>
      <c r="CR288" s="101"/>
      <c r="CS288" s="101"/>
      <c r="CT288" s="101"/>
      <c r="CU288" s="109"/>
      <c r="CV288" s="110"/>
      <c r="CW288" s="109"/>
      <c r="CX288" s="110"/>
      <c r="CY288" s="101"/>
      <c r="CZ288" s="101"/>
      <c r="DA288" s="101"/>
      <c r="DB288" s="101"/>
      <c r="DC288" s="101"/>
      <c r="DD288" s="101"/>
      <c r="DE288" s="101"/>
      <c r="DF288" s="101"/>
      <c r="DG288" s="101"/>
      <c r="DH288" s="101"/>
      <c r="DI288" s="101"/>
      <c r="DJ288" s="101"/>
      <c r="DK288" s="101"/>
      <c r="DL288" s="101"/>
      <c r="DM288" s="101"/>
    </row>
    <row r="289" ht="21.75" customHeight="1">
      <c r="A289" s="101"/>
      <c r="B289" s="101"/>
      <c r="C289" s="101"/>
      <c r="D289" s="101"/>
      <c r="E289" s="103"/>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4"/>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5"/>
      <c r="AW289" s="105"/>
      <c r="AX289" s="106"/>
      <c r="AY289" s="106"/>
      <c r="AZ289" s="106"/>
      <c r="BA289" s="106"/>
      <c r="BB289" s="106"/>
      <c r="BC289" s="106"/>
      <c r="BD289" s="101"/>
      <c r="BE289" s="101"/>
      <c r="BF289" s="101"/>
      <c r="BG289" s="101"/>
      <c r="BH289" s="101"/>
      <c r="BI289" s="101"/>
      <c r="BJ289" s="101"/>
      <c r="BK289" s="101"/>
      <c r="BL289" s="101"/>
      <c r="BM289" s="101"/>
      <c r="BN289" s="101"/>
      <c r="BO289" s="101"/>
      <c r="BP289" s="101"/>
      <c r="BQ289" s="101"/>
      <c r="BR289" s="101"/>
      <c r="BS289" s="101"/>
      <c r="BT289" s="101"/>
      <c r="BU289" s="101"/>
      <c r="BV289" s="101"/>
      <c r="BW289" s="107"/>
      <c r="BX289" s="101"/>
      <c r="BY289" s="108"/>
      <c r="BZ289" s="108"/>
      <c r="CA289" s="109"/>
      <c r="CB289" s="101"/>
      <c r="CC289" s="101"/>
      <c r="CD289" s="101"/>
      <c r="CE289" s="101"/>
      <c r="CF289" s="101"/>
      <c r="CG289" s="101"/>
      <c r="CH289" s="101"/>
      <c r="CI289" s="101"/>
      <c r="CJ289" s="101"/>
      <c r="CK289" s="101"/>
      <c r="CL289" s="101"/>
      <c r="CM289" s="101"/>
      <c r="CN289" s="101"/>
      <c r="CO289" s="101"/>
      <c r="CP289" s="101"/>
      <c r="CQ289" s="101"/>
      <c r="CR289" s="101"/>
      <c r="CS289" s="101"/>
      <c r="CT289" s="101"/>
      <c r="CU289" s="109"/>
      <c r="CV289" s="110"/>
      <c r="CW289" s="109"/>
      <c r="CX289" s="110"/>
      <c r="CY289" s="101"/>
      <c r="CZ289" s="101"/>
      <c r="DA289" s="101"/>
      <c r="DB289" s="101"/>
      <c r="DC289" s="101"/>
      <c r="DD289" s="101"/>
      <c r="DE289" s="101"/>
      <c r="DF289" s="101"/>
      <c r="DG289" s="101"/>
      <c r="DH289" s="101"/>
      <c r="DI289" s="101"/>
      <c r="DJ289" s="101"/>
      <c r="DK289" s="101"/>
      <c r="DL289" s="101"/>
      <c r="DM289" s="101"/>
    </row>
    <row r="290" ht="21.75" customHeight="1">
      <c r="A290" s="101"/>
      <c r="B290" s="101"/>
      <c r="C290" s="101"/>
      <c r="D290" s="101"/>
      <c r="E290" s="103"/>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4"/>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5"/>
      <c r="AW290" s="105"/>
      <c r="AX290" s="106"/>
      <c r="AY290" s="106"/>
      <c r="AZ290" s="106"/>
      <c r="BA290" s="106"/>
      <c r="BB290" s="106"/>
      <c r="BC290" s="106"/>
      <c r="BD290" s="101"/>
      <c r="BE290" s="101"/>
      <c r="BF290" s="101"/>
      <c r="BG290" s="101"/>
      <c r="BH290" s="101"/>
      <c r="BI290" s="101"/>
      <c r="BJ290" s="101"/>
      <c r="BK290" s="101"/>
      <c r="BL290" s="101"/>
      <c r="BM290" s="101"/>
      <c r="BN290" s="101"/>
      <c r="BO290" s="101"/>
      <c r="BP290" s="101"/>
      <c r="BQ290" s="101"/>
      <c r="BR290" s="101"/>
      <c r="BS290" s="101"/>
      <c r="BT290" s="101"/>
      <c r="BU290" s="101"/>
      <c r="BV290" s="101"/>
      <c r="BW290" s="107"/>
      <c r="BX290" s="101"/>
      <c r="BY290" s="108"/>
      <c r="BZ290" s="108"/>
      <c r="CA290" s="109"/>
      <c r="CB290" s="101"/>
      <c r="CC290" s="101"/>
      <c r="CD290" s="101"/>
      <c r="CE290" s="101"/>
      <c r="CF290" s="101"/>
      <c r="CG290" s="101"/>
      <c r="CH290" s="101"/>
      <c r="CI290" s="101"/>
      <c r="CJ290" s="101"/>
      <c r="CK290" s="101"/>
      <c r="CL290" s="101"/>
      <c r="CM290" s="101"/>
      <c r="CN290" s="101"/>
      <c r="CO290" s="101"/>
      <c r="CP290" s="101"/>
      <c r="CQ290" s="101"/>
      <c r="CR290" s="101"/>
      <c r="CS290" s="101"/>
      <c r="CT290" s="101"/>
      <c r="CU290" s="109"/>
      <c r="CV290" s="110"/>
      <c r="CW290" s="109"/>
      <c r="CX290" s="110"/>
      <c r="CY290" s="101"/>
      <c r="CZ290" s="101"/>
      <c r="DA290" s="101"/>
      <c r="DB290" s="101"/>
      <c r="DC290" s="101"/>
      <c r="DD290" s="101"/>
      <c r="DE290" s="101"/>
      <c r="DF290" s="101"/>
      <c r="DG290" s="101"/>
      <c r="DH290" s="101"/>
      <c r="DI290" s="101"/>
      <c r="DJ290" s="101"/>
      <c r="DK290" s="101"/>
      <c r="DL290" s="101"/>
      <c r="DM290" s="101"/>
    </row>
    <row r="291" ht="21.75" customHeight="1">
      <c r="A291" s="101"/>
      <c r="B291" s="101"/>
      <c r="C291" s="101"/>
      <c r="D291" s="101"/>
      <c r="E291" s="103"/>
      <c r="F291" s="101"/>
      <c r="G291" s="101"/>
      <c r="H291" s="101"/>
      <c r="I291" s="101"/>
      <c r="J291" s="101"/>
      <c r="K291" s="101"/>
      <c r="L291" s="101"/>
      <c r="M291" s="101"/>
      <c r="N291" s="101"/>
      <c r="O291" s="101"/>
      <c r="P291" s="101"/>
      <c r="Q291" s="101"/>
      <c r="R291" s="101"/>
      <c r="S291" s="101"/>
      <c r="T291" s="101"/>
      <c r="U291" s="101"/>
      <c r="V291" s="101"/>
      <c r="W291" s="101"/>
      <c r="X291" s="101"/>
      <c r="Y291" s="101"/>
      <c r="Z291" s="101"/>
      <c r="AA291" s="104"/>
      <c r="AB291" s="101"/>
      <c r="AC291" s="101"/>
      <c r="AD291" s="101"/>
      <c r="AE291" s="101"/>
      <c r="AF291" s="101"/>
      <c r="AG291" s="101"/>
      <c r="AH291" s="101"/>
      <c r="AI291" s="101"/>
      <c r="AJ291" s="101"/>
      <c r="AK291" s="101"/>
      <c r="AL291" s="101"/>
      <c r="AM291" s="101"/>
      <c r="AN291" s="101"/>
      <c r="AO291" s="101"/>
      <c r="AP291" s="101"/>
      <c r="AQ291" s="101"/>
      <c r="AR291" s="101"/>
      <c r="AS291" s="101"/>
      <c r="AT291" s="101"/>
      <c r="AU291" s="101"/>
      <c r="AV291" s="105"/>
      <c r="AW291" s="105"/>
      <c r="AX291" s="106"/>
      <c r="AY291" s="106"/>
      <c r="AZ291" s="106"/>
      <c r="BA291" s="106"/>
      <c r="BB291" s="106"/>
      <c r="BC291" s="106"/>
      <c r="BD291" s="101"/>
      <c r="BE291" s="101"/>
      <c r="BF291" s="101"/>
      <c r="BG291" s="101"/>
      <c r="BH291" s="101"/>
      <c r="BI291" s="101"/>
      <c r="BJ291" s="101"/>
      <c r="BK291" s="101"/>
      <c r="BL291" s="101"/>
      <c r="BM291" s="101"/>
      <c r="BN291" s="101"/>
      <c r="BO291" s="101"/>
      <c r="BP291" s="101"/>
      <c r="BQ291" s="101"/>
      <c r="BR291" s="101"/>
      <c r="BS291" s="101"/>
      <c r="BT291" s="101"/>
      <c r="BU291" s="101"/>
      <c r="BV291" s="101"/>
      <c r="BW291" s="107"/>
      <c r="BX291" s="101"/>
      <c r="BY291" s="108"/>
      <c r="BZ291" s="108"/>
      <c r="CA291" s="109"/>
      <c r="CB291" s="101"/>
      <c r="CC291" s="101"/>
      <c r="CD291" s="101"/>
      <c r="CE291" s="101"/>
      <c r="CF291" s="101"/>
      <c r="CG291" s="101"/>
      <c r="CH291" s="101"/>
      <c r="CI291" s="101"/>
      <c r="CJ291" s="101"/>
      <c r="CK291" s="101"/>
      <c r="CL291" s="101"/>
      <c r="CM291" s="101"/>
      <c r="CN291" s="101"/>
      <c r="CO291" s="101"/>
      <c r="CP291" s="101"/>
      <c r="CQ291" s="101"/>
      <c r="CR291" s="101"/>
      <c r="CS291" s="101"/>
      <c r="CT291" s="101"/>
      <c r="CU291" s="109"/>
      <c r="CV291" s="110"/>
      <c r="CW291" s="109"/>
      <c r="CX291" s="110"/>
      <c r="CY291" s="101"/>
      <c r="CZ291" s="101"/>
      <c r="DA291" s="101"/>
      <c r="DB291" s="101"/>
      <c r="DC291" s="101"/>
      <c r="DD291" s="101"/>
      <c r="DE291" s="101"/>
      <c r="DF291" s="101"/>
      <c r="DG291" s="101"/>
      <c r="DH291" s="101"/>
      <c r="DI291" s="101"/>
      <c r="DJ291" s="101"/>
      <c r="DK291" s="101"/>
      <c r="DL291" s="101"/>
      <c r="DM291" s="101"/>
    </row>
    <row r="292" ht="21.75" customHeight="1">
      <c r="A292" s="101"/>
      <c r="B292" s="101"/>
      <c r="C292" s="101"/>
      <c r="D292" s="101"/>
      <c r="E292" s="103"/>
      <c r="F292" s="101"/>
      <c r="G292" s="101"/>
      <c r="H292" s="101"/>
      <c r="I292" s="101"/>
      <c r="J292" s="101"/>
      <c r="K292" s="101"/>
      <c r="L292" s="101"/>
      <c r="M292" s="101"/>
      <c r="N292" s="101"/>
      <c r="O292" s="101"/>
      <c r="P292" s="101"/>
      <c r="Q292" s="101"/>
      <c r="R292" s="101"/>
      <c r="S292" s="101"/>
      <c r="T292" s="101"/>
      <c r="U292" s="101"/>
      <c r="V292" s="101"/>
      <c r="W292" s="101"/>
      <c r="X292" s="101"/>
      <c r="Y292" s="101"/>
      <c r="Z292" s="101"/>
      <c r="AA292" s="104"/>
      <c r="AB292" s="101"/>
      <c r="AC292" s="101"/>
      <c r="AD292" s="101"/>
      <c r="AE292" s="101"/>
      <c r="AF292" s="101"/>
      <c r="AG292" s="101"/>
      <c r="AH292" s="101"/>
      <c r="AI292" s="101"/>
      <c r="AJ292" s="101"/>
      <c r="AK292" s="101"/>
      <c r="AL292" s="101"/>
      <c r="AM292" s="101"/>
      <c r="AN292" s="101"/>
      <c r="AO292" s="101"/>
      <c r="AP292" s="101"/>
      <c r="AQ292" s="101"/>
      <c r="AR292" s="101"/>
      <c r="AS292" s="101"/>
      <c r="AT292" s="101"/>
      <c r="AU292" s="101"/>
      <c r="AV292" s="105"/>
      <c r="AW292" s="105"/>
      <c r="AX292" s="106"/>
      <c r="AY292" s="106"/>
      <c r="AZ292" s="106"/>
      <c r="BA292" s="106"/>
      <c r="BB292" s="106"/>
      <c r="BC292" s="106"/>
      <c r="BD292" s="101"/>
      <c r="BE292" s="101"/>
      <c r="BF292" s="101"/>
      <c r="BG292" s="101"/>
      <c r="BH292" s="101"/>
      <c r="BI292" s="101"/>
      <c r="BJ292" s="101"/>
      <c r="BK292" s="101"/>
      <c r="BL292" s="101"/>
      <c r="BM292" s="101"/>
      <c r="BN292" s="101"/>
      <c r="BO292" s="101"/>
      <c r="BP292" s="101"/>
      <c r="BQ292" s="101"/>
      <c r="BR292" s="101"/>
      <c r="BS292" s="101"/>
      <c r="BT292" s="101"/>
      <c r="BU292" s="101"/>
      <c r="BV292" s="101"/>
      <c r="BW292" s="107"/>
      <c r="BX292" s="101"/>
      <c r="BY292" s="108"/>
      <c r="BZ292" s="108"/>
      <c r="CA292" s="109"/>
      <c r="CB292" s="101"/>
      <c r="CC292" s="101"/>
      <c r="CD292" s="101"/>
      <c r="CE292" s="101"/>
      <c r="CF292" s="101"/>
      <c r="CG292" s="101"/>
      <c r="CH292" s="101"/>
      <c r="CI292" s="101"/>
      <c r="CJ292" s="101"/>
      <c r="CK292" s="101"/>
      <c r="CL292" s="101"/>
      <c r="CM292" s="101"/>
      <c r="CN292" s="101"/>
      <c r="CO292" s="101"/>
      <c r="CP292" s="101"/>
      <c r="CQ292" s="101"/>
      <c r="CR292" s="101"/>
      <c r="CS292" s="101"/>
      <c r="CT292" s="101"/>
      <c r="CU292" s="109"/>
      <c r="CV292" s="110"/>
      <c r="CW292" s="109"/>
      <c r="CX292" s="110"/>
      <c r="CY292" s="101"/>
      <c r="CZ292" s="101"/>
      <c r="DA292" s="101"/>
      <c r="DB292" s="101"/>
      <c r="DC292" s="101"/>
      <c r="DD292" s="101"/>
      <c r="DE292" s="101"/>
      <c r="DF292" s="101"/>
      <c r="DG292" s="101"/>
      <c r="DH292" s="101"/>
      <c r="DI292" s="101"/>
      <c r="DJ292" s="101"/>
      <c r="DK292" s="101"/>
      <c r="DL292" s="101"/>
      <c r="DM292" s="101"/>
    </row>
    <row r="293" ht="21.75" customHeight="1">
      <c r="A293" s="101"/>
      <c r="B293" s="101"/>
      <c r="C293" s="101"/>
      <c r="D293" s="101"/>
      <c r="E293" s="103"/>
      <c r="F293" s="101"/>
      <c r="G293" s="101"/>
      <c r="H293" s="101"/>
      <c r="I293" s="101"/>
      <c r="J293" s="101"/>
      <c r="K293" s="101"/>
      <c r="L293" s="101"/>
      <c r="M293" s="101"/>
      <c r="N293" s="101"/>
      <c r="O293" s="101"/>
      <c r="P293" s="101"/>
      <c r="Q293" s="101"/>
      <c r="R293" s="101"/>
      <c r="S293" s="101"/>
      <c r="T293" s="101"/>
      <c r="U293" s="101"/>
      <c r="V293" s="101"/>
      <c r="W293" s="101"/>
      <c r="X293" s="101"/>
      <c r="Y293" s="101"/>
      <c r="Z293" s="101"/>
      <c r="AA293" s="104"/>
      <c r="AB293" s="101"/>
      <c r="AC293" s="101"/>
      <c r="AD293" s="101"/>
      <c r="AE293" s="101"/>
      <c r="AF293" s="101"/>
      <c r="AG293" s="101"/>
      <c r="AH293" s="101"/>
      <c r="AI293" s="101"/>
      <c r="AJ293" s="101"/>
      <c r="AK293" s="101"/>
      <c r="AL293" s="101"/>
      <c r="AM293" s="101"/>
      <c r="AN293" s="101"/>
      <c r="AO293" s="101"/>
      <c r="AP293" s="101"/>
      <c r="AQ293" s="101"/>
      <c r="AR293" s="101"/>
      <c r="AS293" s="101"/>
      <c r="AT293" s="101"/>
      <c r="AU293" s="101"/>
      <c r="AV293" s="105"/>
      <c r="AW293" s="105"/>
      <c r="AX293" s="106"/>
      <c r="AY293" s="106"/>
      <c r="AZ293" s="106"/>
      <c r="BA293" s="106"/>
      <c r="BB293" s="106"/>
      <c r="BC293" s="106"/>
      <c r="BD293" s="101"/>
      <c r="BE293" s="101"/>
      <c r="BF293" s="101"/>
      <c r="BG293" s="101"/>
      <c r="BH293" s="101"/>
      <c r="BI293" s="101"/>
      <c r="BJ293" s="101"/>
      <c r="BK293" s="101"/>
      <c r="BL293" s="101"/>
      <c r="BM293" s="101"/>
      <c r="BN293" s="101"/>
      <c r="BO293" s="101"/>
      <c r="BP293" s="101"/>
      <c r="BQ293" s="101"/>
      <c r="BR293" s="101"/>
      <c r="BS293" s="101"/>
      <c r="BT293" s="101"/>
      <c r="BU293" s="101"/>
      <c r="BV293" s="101"/>
      <c r="BW293" s="107"/>
      <c r="BX293" s="101"/>
      <c r="BY293" s="108"/>
      <c r="BZ293" s="108"/>
      <c r="CA293" s="109"/>
      <c r="CB293" s="101"/>
      <c r="CC293" s="101"/>
      <c r="CD293" s="101"/>
      <c r="CE293" s="101"/>
      <c r="CF293" s="101"/>
      <c r="CG293" s="101"/>
      <c r="CH293" s="101"/>
      <c r="CI293" s="101"/>
      <c r="CJ293" s="101"/>
      <c r="CK293" s="101"/>
      <c r="CL293" s="101"/>
      <c r="CM293" s="101"/>
      <c r="CN293" s="101"/>
      <c r="CO293" s="101"/>
      <c r="CP293" s="101"/>
      <c r="CQ293" s="101"/>
      <c r="CR293" s="101"/>
      <c r="CS293" s="101"/>
      <c r="CT293" s="101"/>
      <c r="CU293" s="109"/>
      <c r="CV293" s="110"/>
      <c r="CW293" s="109"/>
      <c r="CX293" s="110"/>
      <c r="CY293" s="101"/>
      <c r="CZ293" s="101"/>
      <c r="DA293" s="101"/>
      <c r="DB293" s="101"/>
      <c r="DC293" s="101"/>
      <c r="DD293" s="101"/>
      <c r="DE293" s="101"/>
      <c r="DF293" s="101"/>
      <c r="DG293" s="101"/>
      <c r="DH293" s="101"/>
      <c r="DI293" s="101"/>
      <c r="DJ293" s="101"/>
      <c r="DK293" s="101"/>
      <c r="DL293" s="101"/>
      <c r="DM293" s="101"/>
    </row>
    <row r="294" ht="21.75" customHeight="1">
      <c r="A294" s="101"/>
      <c r="B294" s="101"/>
      <c r="C294" s="101"/>
      <c r="D294" s="101"/>
      <c r="E294" s="103"/>
      <c r="F294" s="101"/>
      <c r="G294" s="101"/>
      <c r="H294" s="101"/>
      <c r="I294" s="101"/>
      <c r="J294" s="101"/>
      <c r="K294" s="101"/>
      <c r="L294" s="101"/>
      <c r="M294" s="101"/>
      <c r="N294" s="101"/>
      <c r="O294" s="101"/>
      <c r="P294" s="101"/>
      <c r="Q294" s="101"/>
      <c r="R294" s="101"/>
      <c r="S294" s="101"/>
      <c r="T294" s="101"/>
      <c r="U294" s="101"/>
      <c r="V294" s="101"/>
      <c r="W294" s="101"/>
      <c r="X294" s="101"/>
      <c r="Y294" s="101"/>
      <c r="Z294" s="101"/>
      <c r="AA294" s="104"/>
      <c r="AB294" s="101"/>
      <c r="AC294" s="101"/>
      <c r="AD294" s="101"/>
      <c r="AE294" s="101"/>
      <c r="AF294" s="101"/>
      <c r="AG294" s="101"/>
      <c r="AH294" s="101"/>
      <c r="AI294" s="101"/>
      <c r="AJ294" s="101"/>
      <c r="AK294" s="101"/>
      <c r="AL294" s="101"/>
      <c r="AM294" s="101"/>
      <c r="AN294" s="101"/>
      <c r="AO294" s="101"/>
      <c r="AP294" s="101"/>
      <c r="AQ294" s="101"/>
      <c r="AR294" s="101"/>
      <c r="AS294" s="101"/>
      <c r="AT294" s="101"/>
      <c r="AU294" s="101"/>
      <c r="AV294" s="105"/>
      <c r="AW294" s="105"/>
      <c r="AX294" s="106"/>
      <c r="AY294" s="106"/>
      <c r="AZ294" s="106"/>
      <c r="BA294" s="106"/>
      <c r="BB294" s="106"/>
      <c r="BC294" s="106"/>
      <c r="BD294" s="101"/>
      <c r="BE294" s="101"/>
      <c r="BF294" s="101"/>
      <c r="BG294" s="101"/>
      <c r="BH294" s="101"/>
      <c r="BI294" s="101"/>
      <c r="BJ294" s="101"/>
      <c r="BK294" s="101"/>
      <c r="BL294" s="101"/>
      <c r="BM294" s="101"/>
      <c r="BN294" s="101"/>
      <c r="BO294" s="101"/>
      <c r="BP294" s="101"/>
      <c r="BQ294" s="101"/>
      <c r="BR294" s="101"/>
      <c r="BS294" s="101"/>
      <c r="BT294" s="101"/>
      <c r="BU294" s="101"/>
      <c r="BV294" s="101"/>
      <c r="BW294" s="107"/>
      <c r="BX294" s="101"/>
      <c r="BY294" s="108"/>
      <c r="BZ294" s="108"/>
      <c r="CA294" s="109"/>
      <c r="CB294" s="101"/>
      <c r="CC294" s="101"/>
      <c r="CD294" s="101"/>
      <c r="CE294" s="101"/>
      <c r="CF294" s="101"/>
      <c r="CG294" s="101"/>
      <c r="CH294" s="101"/>
      <c r="CI294" s="101"/>
      <c r="CJ294" s="101"/>
      <c r="CK294" s="101"/>
      <c r="CL294" s="101"/>
      <c r="CM294" s="101"/>
      <c r="CN294" s="101"/>
      <c r="CO294" s="101"/>
      <c r="CP294" s="101"/>
      <c r="CQ294" s="101"/>
      <c r="CR294" s="101"/>
      <c r="CS294" s="101"/>
      <c r="CT294" s="101"/>
      <c r="CU294" s="109"/>
      <c r="CV294" s="110"/>
      <c r="CW294" s="109"/>
      <c r="CX294" s="110"/>
      <c r="CY294" s="101"/>
      <c r="CZ294" s="101"/>
      <c r="DA294" s="101"/>
      <c r="DB294" s="101"/>
      <c r="DC294" s="101"/>
      <c r="DD294" s="101"/>
      <c r="DE294" s="101"/>
      <c r="DF294" s="101"/>
      <c r="DG294" s="101"/>
      <c r="DH294" s="101"/>
      <c r="DI294" s="101"/>
      <c r="DJ294" s="101"/>
      <c r="DK294" s="101"/>
      <c r="DL294" s="101"/>
      <c r="DM294" s="101"/>
    </row>
    <row r="295" ht="21.75" customHeight="1">
      <c r="A295" s="101"/>
      <c r="B295" s="101"/>
      <c r="C295" s="101"/>
      <c r="D295" s="101"/>
      <c r="E295" s="103"/>
      <c r="F295" s="101"/>
      <c r="G295" s="101"/>
      <c r="H295" s="101"/>
      <c r="I295" s="101"/>
      <c r="J295" s="101"/>
      <c r="K295" s="101"/>
      <c r="L295" s="101"/>
      <c r="M295" s="101"/>
      <c r="N295" s="101"/>
      <c r="O295" s="101"/>
      <c r="P295" s="101"/>
      <c r="Q295" s="101"/>
      <c r="R295" s="101"/>
      <c r="S295" s="101"/>
      <c r="T295" s="101"/>
      <c r="U295" s="101"/>
      <c r="V295" s="101"/>
      <c r="W295" s="101"/>
      <c r="X295" s="101"/>
      <c r="Y295" s="101"/>
      <c r="Z295" s="101"/>
      <c r="AA295" s="104"/>
      <c r="AB295" s="101"/>
      <c r="AC295" s="101"/>
      <c r="AD295" s="101"/>
      <c r="AE295" s="101"/>
      <c r="AF295" s="101"/>
      <c r="AG295" s="101"/>
      <c r="AH295" s="101"/>
      <c r="AI295" s="101"/>
      <c r="AJ295" s="101"/>
      <c r="AK295" s="101"/>
      <c r="AL295" s="101"/>
      <c r="AM295" s="101"/>
      <c r="AN295" s="101"/>
      <c r="AO295" s="101"/>
      <c r="AP295" s="101"/>
      <c r="AQ295" s="101"/>
      <c r="AR295" s="101"/>
      <c r="AS295" s="101"/>
      <c r="AT295" s="101"/>
      <c r="AU295" s="101"/>
      <c r="AV295" s="105"/>
      <c r="AW295" s="105"/>
      <c r="AX295" s="106"/>
      <c r="AY295" s="106"/>
      <c r="AZ295" s="106"/>
      <c r="BA295" s="106"/>
      <c r="BB295" s="106"/>
      <c r="BC295" s="106"/>
      <c r="BD295" s="101"/>
      <c r="BE295" s="101"/>
      <c r="BF295" s="101"/>
      <c r="BG295" s="101"/>
      <c r="BH295" s="101"/>
      <c r="BI295" s="101"/>
      <c r="BJ295" s="101"/>
      <c r="BK295" s="101"/>
      <c r="BL295" s="101"/>
      <c r="BM295" s="101"/>
      <c r="BN295" s="101"/>
      <c r="BO295" s="101"/>
      <c r="BP295" s="101"/>
      <c r="BQ295" s="101"/>
      <c r="BR295" s="101"/>
      <c r="BS295" s="101"/>
      <c r="BT295" s="101"/>
      <c r="BU295" s="101"/>
      <c r="BV295" s="101"/>
      <c r="BW295" s="107"/>
      <c r="BX295" s="101"/>
      <c r="BY295" s="108"/>
      <c r="BZ295" s="108"/>
      <c r="CA295" s="109"/>
      <c r="CB295" s="101"/>
      <c r="CC295" s="101"/>
      <c r="CD295" s="101"/>
      <c r="CE295" s="101"/>
      <c r="CF295" s="101"/>
      <c r="CG295" s="101"/>
      <c r="CH295" s="101"/>
      <c r="CI295" s="101"/>
      <c r="CJ295" s="101"/>
      <c r="CK295" s="101"/>
      <c r="CL295" s="101"/>
      <c r="CM295" s="101"/>
      <c r="CN295" s="101"/>
      <c r="CO295" s="101"/>
      <c r="CP295" s="101"/>
      <c r="CQ295" s="101"/>
      <c r="CR295" s="101"/>
      <c r="CS295" s="101"/>
      <c r="CT295" s="101"/>
      <c r="CU295" s="109"/>
      <c r="CV295" s="110"/>
      <c r="CW295" s="109"/>
      <c r="CX295" s="110"/>
      <c r="CY295" s="101"/>
      <c r="CZ295" s="101"/>
      <c r="DA295" s="101"/>
      <c r="DB295" s="101"/>
      <c r="DC295" s="101"/>
      <c r="DD295" s="101"/>
      <c r="DE295" s="101"/>
      <c r="DF295" s="101"/>
      <c r="DG295" s="101"/>
      <c r="DH295" s="101"/>
      <c r="DI295" s="101"/>
      <c r="DJ295" s="101"/>
      <c r="DK295" s="101"/>
      <c r="DL295" s="101"/>
      <c r="DM295" s="101"/>
    </row>
    <row r="296" ht="21.75" customHeight="1">
      <c r="A296" s="101"/>
      <c r="B296" s="101"/>
      <c r="C296" s="101"/>
      <c r="D296" s="101"/>
      <c r="E296" s="103"/>
      <c r="F296" s="101"/>
      <c r="G296" s="101"/>
      <c r="H296" s="101"/>
      <c r="I296" s="101"/>
      <c r="J296" s="101"/>
      <c r="K296" s="101"/>
      <c r="L296" s="101"/>
      <c r="M296" s="101"/>
      <c r="N296" s="101"/>
      <c r="O296" s="101"/>
      <c r="P296" s="101"/>
      <c r="Q296" s="101"/>
      <c r="R296" s="101"/>
      <c r="S296" s="101"/>
      <c r="T296" s="101"/>
      <c r="U296" s="101"/>
      <c r="V296" s="101"/>
      <c r="W296" s="101"/>
      <c r="X296" s="101"/>
      <c r="Y296" s="101"/>
      <c r="Z296" s="101"/>
      <c r="AA296" s="104"/>
      <c r="AB296" s="101"/>
      <c r="AC296" s="101"/>
      <c r="AD296" s="101"/>
      <c r="AE296" s="101"/>
      <c r="AF296" s="101"/>
      <c r="AG296" s="101"/>
      <c r="AH296" s="101"/>
      <c r="AI296" s="101"/>
      <c r="AJ296" s="101"/>
      <c r="AK296" s="101"/>
      <c r="AL296" s="101"/>
      <c r="AM296" s="101"/>
      <c r="AN296" s="101"/>
      <c r="AO296" s="101"/>
      <c r="AP296" s="101"/>
      <c r="AQ296" s="101"/>
      <c r="AR296" s="101"/>
      <c r="AS296" s="101"/>
      <c r="AT296" s="101"/>
      <c r="AU296" s="101"/>
      <c r="AV296" s="105"/>
      <c r="AW296" s="105"/>
      <c r="AX296" s="106"/>
      <c r="AY296" s="106"/>
      <c r="AZ296" s="106"/>
      <c r="BA296" s="106"/>
      <c r="BB296" s="106"/>
      <c r="BC296" s="106"/>
      <c r="BD296" s="101"/>
      <c r="BE296" s="101"/>
      <c r="BF296" s="101"/>
      <c r="BG296" s="101"/>
      <c r="BH296" s="101"/>
      <c r="BI296" s="101"/>
      <c r="BJ296" s="101"/>
      <c r="BK296" s="101"/>
      <c r="BL296" s="101"/>
      <c r="BM296" s="101"/>
      <c r="BN296" s="101"/>
      <c r="BO296" s="101"/>
      <c r="BP296" s="101"/>
      <c r="BQ296" s="101"/>
      <c r="BR296" s="101"/>
      <c r="BS296" s="101"/>
      <c r="BT296" s="101"/>
      <c r="BU296" s="101"/>
      <c r="BV296" s="101"/>
      <c r="BW296" s="107"/>
      <c r="BX296" s="101"/>
      <c r="BY296" s="108"/>
      <c r="BZ296" s="108"/>
      <c r="CA296" s="109"/>
      <c r="CB296" s="101"/>
      <c r="CC296" s="101"/>
      <c r="CD296" s="101"/>
      <c r="CE296" s="101"/>
      <c r="CF296" s="101"/>
      <c r="CG296" s="101"/>
      <c r="CH296" s="101"/>
      <c r="CI296" s="101"/>
      <c r="CJ296" s="101"/>
      <c r="CK296" s="101"/>
      <c r="CL296" s="101"/>
      <c r="CM296" s="101"/>
      <c r="CN296" s="101"/>
      <c r="CO296" s="101"/>
      <c r="CP296" s="101"/>
      <c r="CQ296" s="101"/>
      <c r="CR296" s="101"/>
      <c r="CS296" s="101"/>
      <c r="CT296" s="101"/>
      <c r="CU296" s="109"/>
      <c r="CV296" s="110"/>
      <c r="CW296" s="109"/>
      <c r="CX296" s="110"/>
      <c r="CY296" s="101"/>
      <c r="CZ296" s="101"/>
      <c r="DA296" s="101"/>
      <c r="DB296" s="101"/>
      <c r="DC296" s="101"/>
      <c r="DD296" s="101"/>
      <c r="DE296" s="101"/>
      <c r="DF296" s="101"/>
      <c r="DG296" s="101"/>
      <c r="DH296" s="101"/>
      <c r="DI296" s="101"/>
      <c r="DJ296" s="101"/>
      <c r="DK296" s="101"/>
      <c r="DL296" s="101"/>
      <c r="DM296" s="101"/>
    </row>
    <row r="297" ht="21.75" customHeight="1">
      <c r="A297" s="101"/>
      <c r="B297" s="101"/>
      <c r="C297" s="101"/>
      <c r="D297" s="101"/>
      <c r="E297" s="103"/>
      <c r="F297" s="101"/>
      <c r="G297" s="101"/>
      <c r="H297" s="101"/>
      <c r="I297" s="101"/>
      <c r="J297" s="101"/>
      <c r="K297" s="101"/>
      <c r="L297" s="101"/>
      <c r="M297" s="101"/>
      <c r="N297" s="101"/>
      <c r="O297" s="101"/>
      <c r="P297" s="101"/>
      <c r="Q297" s="101"/>
      <c r="R297" s="101"/>
      <c r="S297" s="101"/>
      <c r="T297" s="101"/>
      <c r="U297" s="101"/>
      <c r="V297" s="101"/>
      <c r="W297" s="101"/>
      <c r="X297" s="101"/>
      <c r="Y297" s="101"/>
      <c r="Z297" s="101"/>
      <c r="AA297" s="104"/>
      <c r="AB297" s="101"/>
      <c r="AC297" s="101"/>
      <c r="AD297" s="101"/>
      <c r="AE297" s="101"/>
      <c r="AF297" s="101"/>
      <c r="AG297" s="101"/>
      <c r="AH297" s="101"/>
      <c r="AI297" s="101"/>
      <c r="AJ297" s="101"/>
      <c r="AK297" s="101"/>
      <c r="AL297" s="101"/>
      <c r="AM297" s="101"/>
      <c r="AN297" s="101"/>
      <c r="AO297" s="101"/>
      <c r="AP297" s="101"/>
      <c r="AQ297" s="101"/>
      <c r="AR297" s="101"/>
      <c r="AS297" s="101"/>
      <c r="AT297" s="101"/>
      <c r="AU297" s="101"/>
      <c r="AV297" s="105"/>
      <c r="AW297" s="105"/>
      <c r="AX297" s="106"/>
      <c r="AY297" s="106"/>
      <c r="AZ297" s="106"/>
      <c r="BA297" s="106"/>
      <c r="BB297" s="106"/>
      <c r="BC297" s="106"/>
      <c r="BD297" s="101"/>
      <c r="BE297" s="101"/>
      <c r="BF297" s="101"/>
      <c r="BG297" s="101"/>
      <c r="BH297" s="101"/>
      <c r="BI297" s="101"/>
      <c r="BJ297" s="101"/>
      <c r="BK297" s="101"/>
      <c r="BL297" s="101"/>
      <c r="BM297" s="101"/>
      <c r="BN297" s="101"/>
      <c r="BO297" s="101"/>
      <c r="BP297" s="101"/>
      <c r="BQ297" s="101"/>
      <c r="BR297" s="101"/>
      <c r="BS297" s="101"/>
      <c r="BT297" s="101"/>
      <c r="BU297" s="101"/>
      <c r="BV297" s="101"/>
      <c r="BW297" s="107"/>
      <c r="BX297" s="101"/>
      <c r="BY297" s="108"/>
      <c r="BZ297" s="108"/>
      <c r="CA297" s="109"/>
      <c r="CB297" s="101"/>
      <c r="CC297" s="101"/>
      <c r="CD297" s="101"/>
      <c r="CE297" s="101"/>
      <c r="CF297" s="101"/>
      <c r="CG297" s="101"/>
      <c r="CH297" s="101"/>
      <c r="CI297" s="101"/>
      <c r="CJ297" s="101"/>
      <c r="CK297" s="101"/>
      <c r="CL297" s="101"/>
      <c r="CM297" s="101"/>
      <c r="CN297" s="101"/>
      <c r="CO297" s="101"/>
      <c r="CP297" s="101"/>
      <c r="CQ297" s="101"/>
      <c r="CR297" s="101"/>
      <c r="CS297" s="101"/>
      <c r="CT297" s="101"/>
      <c r="CU297" s="109"/>
      <c r="CV297" s="110"/>
      <c r="CW297" s="109"/>
      <c r="CX297" s="110"/>
      <c r="CY297" s="101"/>
      <c r="CZ297" s="101"/>
      <c r="DA297" s="101"/>
      <c r="DB297" s="101"/>
      <c r="DC297" s="101"/>
      <c r="DD297" s="101"/>
      <c r="DE297" s="101"/>
      <c r="DF297" s="101"/>
      <c r="DG297" s="101"/>
      <c r="DH297" s="101"/>
      <c r="DI297" s="101"/>
      <c r="DJ297" s="101"/>
      <c r="DK297" s="101"/>
      <c r="DL297" s="101"/>
      <c r="DM297" s="101"/>
    </row>
    <row r="298" ht="21.75" customHeight="1">
      <c r="A298" s="101"/>
      <c r="B298" s="101"/>
      <c r="C298" s="101"/>
      <c r="D298" s="101"/>
      <c r="E298" s="103"/>
      <c r="F298" s="101"/>
      <c r="G298" s="101"/>
      <c r="H298" s="101"/>
      <c r="I298" s="101"/>
      <c r="J298" s="101"/>
      <c r="K298" s="101"/>
      <c r="L298" s="101"/>
      <c r="M298" s="101"/>
      <c r="N298" s="101"/>
      <c r="O298" s="101"/>
      <c r="P298" s="101"/>
      <c r="Q298" s="101"/>
      <c r="R298" s="101"/>
      <c r="S298" s="101"/>
      <c r="T298" s="101"/>
      <c r="U298" s="101"/>
      <c r="V298" s="101"/>
      <c r="W298" s="101"/>
      <c r="X298" s="101"/>
      <c r="Y298" s="101"/>
      <c r="Z298" s="101"/>
      <c r="AA298" s="104"/>
      <c r="AB298" s="101"/>
      <c r="AC298" s="101"/>
      <c r="AD298" s="101"/>
      <c r="AE298" s="101"/>
      <c r="AF298" s="101"/>
      <c r="AG298" s="101"/>
      <c r="AH298" s="101"/>
      <c r="AI298" s="101"/>
      <c r="AJ298" s="101"/>
      <c r="AK298" s="101"/>
      <c r="AL298" s="101"/>
      <c r="AM298" s="101"/>
      <c r="AN298" s="101"/>
      <c r="AO298" s="101"/>
      <c r="AP298" s="101"/>
      <c r="AQ298" s="101"/>
      <c r="AR298" s="101"/>
      <c r="AS298" s="101"/>
      <c r="AT298" s="101"/>
      <c r="AU298" s="101"/>
      <c r="AV298" s="105"/>
      <c r="AW298" s="105"/>
      <c r="AX298" s="106"/>
      <c r="AY298" s="106"/>
      <c r="AZ298" s="106"/>
      <c r="BA298" s="106"/>
      <c r="BB298" s="106"/>
      <c r="BC298" s="106"/>
      <c r="BD298" s="101"/>
      <c r="BE298" s="101"/>
      <c r="BF298" s="101"/>
      <c r="BG298" s="101"/>
      <c r="BH298" s="101"/>
      <c r="BI298" s="101"/>
      <c r="BJ298" s="101"/>
      <c r="BK298" s="101"/>
      <c r="BL298" s="101"/>
      <c r="BM298" s="101"/>
      <c r="BN298" s="101"/>
      <c r="BO298" s="101"/>
      <c r="BP298" s="101"/>
      <c r="BQ298" s="101"/>
      <c r="BR298" s="101"/>
      <c r="BS298" s="101"/>
      <c r="BT298" s="101"/>
      <c r="BU298" s="101"/>
      <c r="BV298" s="101"/>
      <c r="BW298" s="107"/>
      <c r="BX298" s="101"/>
      <c r="BY298" s="108"/>
      <c r="BZ298" s="108"/>
      <c r="CA298" s="109"/>
      <c r="CB298" s="101"/>
      <c r="CC298" s="101"/>
      <c r="CD298" s="101"/>
      <c r="CE298" s="101"/>
      <c r="CF298" s="101"/>
      <c r="CG298" s="101"/>
      <c r="CH298" s="101"/>
      <c r="CI298" s="101"/>
      <c r="CJ298" s="101"/>
      <c r="CK298" s="101"/>
      <c r="CL298" s="101"/>
      <c r="CM298" s="101"/>
      <c r="CN298" s="101"/>
      <c r="CO298" s="101"/>
      <c r="CP298" s="101"/>
      <c r="CQ298" s="101"/>
      <c r="CR298" s="101"/>
      <c r="CS298" s="101"/>
      <c r="CT298" s="101"/>
      <c r="CU298" s="109"/>
      <c r="CV298" s="110"/>
      <c r="CW298" s="109"/>
      <c r="CX298" s="110"/>
      <c r="CY298" s="101"/>
      <c r="CZ298" s="101"/>
      <c r="DA298" s="101"/>
      <c r="DB298" s="101"/>
      <c r="DC298" s="101"/>
      <c r="DD298" s="101"/>
      <c r="DE298" s="101"/>
      <c r="DF298" s="101"/>
      <c r="DG298" s="101"/>
      <c r="DH298" s="101"/>
      <c r="DI298" s="101"/>
      <c r="DJ298" s="101"/>
      <c r="DK298" s="101"/>
      <c r="DL298" s="101"/>
      <c r="DM298" s="101"/>
    </row>
    <row r="299" ht="15.75" customHeight="1">
      <c r="B299" s="111"/>
      <c r="E299" s="112"/>
      <c r="AA299" s="113"/>
      <c r="AV299" s="114"/>
      <c r="AW299" s="114"/>
      <c r="AX299" s="115"/>
      <c r="AY299" s="116"/>
      <c r="AZ299" s="115"/>
      <c r="BA299" s="116"/>
      <c r="BB299" s="116"/>
      <c r="BC299" s="116"/>
      <c r="BP299" s="117"/>
      <c r="BQ299" s="117"/>
      <c r="BU299" s="117"/>
      <c r="BW299" s="118"/>
      <c r="BY299" s="119"/>
      <c r="BZ299" s="119"/>
      <c r="CA299" s="120"/>
      <c r="CU299" s="120"/>
      <c r="CV299" s="121"/>
      <c r="CW299" s="120"/>
      <c r="CX299" s="122"/>
    </row>
    <row r="300" ht="15.75" customHeight="1">
      <c r="B300" s="111"/>
      <c r="E300" s="112"/>
      <c r="AA300" s="113"/>
      <c r="AV300" s="114"/>
      <c r="AW300" s="114"/>
      <c r="AX300" s="115"/>
      <c r="AY300" s="116"/>
      <c r="AZ300" s="115"/>
      <c r="BA300" s="116"/>
      <c r="BB300" s="116"/>
      <c r="BC300" s="116"/>
      <c r="BP300" s="117"/>
      <c r="BQ300" s="117"/>
      <c r="BU300" s="117"/>
      <c r="BW300" s="118"/>
      <c r="BY300" s="119"/>
      <c r="BZ300" s="119"/>
      <c r="CA300" s="120"/>
      <c r="CU300" s="120"/>
      <c r="CV300" s="121"/>
      <c r="CW300" s="120"/>
      <c r="CX300" s="122"/>
    </row>
    <row r="301" ht="15.75" customHeight="1">
      <c r="B301" s="111"/>
      <c r="E301" s="112"/>
      <c r="AA301" s="113"/>
      <c r="AV301" s="114"/>
      <c r="AW301" s="114"/>
      <c r="AX301" s="115"/>
      <c r="AY301" s="116"/>
      <c r="AZ301" s="115"/>
      <c r="BA301" s="116"/>
      <c r="BB301" s="116"/>
      <c r="BC301" s="116"/>
      <c r="BP301" s="117"/>
      <c r="BQ301" s="117"/>
      <c r="BU301" s="117"/>
      <c r="BW301" s="118"/>
      <c r="BY301" s="119"/>
      <c r="BZ301" s="119"/>
      <c r="CA301" s="120"/>
      <c r="CU301" s="120"/>
      <c r="CV301" s="121"/>
      <c r="CW301" s="120"/>
      <c r="CX301" s="122"/>
    </row>
    <row r="302" ht="15.75" customHeight="1">
      <c r="B302" s="111"/>
      <c r="E302" s="112"/>
      <c r="AA302" s="113"/>
      <c r="AV302" s="114"/>
      <c r="AW302" s="114"/>
      <c r="AX302" s="115"/>
      <c r="AY302" s="116"/>
      <c r="AZ302" s="115"/>
      <c r="BA302" s="116"/>
      <c r="BB302" s="116"/>
      <c r="BC302" s="116"/>
      <c r="BP302" s="117"/>
      <c r="BQ302" s="117"/>
      <c r="BU302" s="117"/>
      <c r="BW302" s="118"/>
      <c r="BY302" s="119"/>
      <c r="BZ302" s="119"/>
      <c r="CA302" s="120"/>
      <c r="CU302" s="120"/>
      <c r="CV302" s="121"/>
      <c r="CW302" s="120"/>
      <c r="CX302" s="122"/>
    </row>
    <row r="303" ht="15.75" customHeight="1">
      <c r="B303" s="111"/>
      <c r="E303" s="112"/>
      <c r="AA303" s="113"/>
      <c r="AV303" s="114"/>
      <c r="AW303" s="114"/>
      <c r="AX303" s="115"/>
      <c r="AY303" s="116"/>
      <c r="AZ303" s="115"/>
      <c r="BA303" s="116"/>
      <c r="BB303" s="116"/>
      <c r="BC303" s="116"/>
      <c r="BP303" s="117"/>
      <c r="BQ303" s="117"/>
      <c r="BU303" s="117"/>
      <c r="BW303" s="118"/>
      <c r="BY303" s="119"/>
      <c r="BZ303" s="119"/>
      <c r="CA303" s="120"/>
      <c r="CU303" s="120"/>
      <c r="CV303" s="121"/>
      <c r="CW303" s="120"/>
      <c r="CX303" s="122"/>
    </row>
    <row r="304" ht="15.75" customHeight="1">
      <c r="B304" s="111"/>
      <c r="E304" s="112"/>
      <c r="AA304" s="113"/>
      <c r="AV304" s="114"/>
      <c r="AW304" s="114"/>
      <c r="AX304" s="115"/>
      <c r="AY304" s="116"/>
      <c r="AZ304" s="115"/>
      <c r="BA304" s="116"/>
      <c r="BB304" s="116"/>
      <c r="BC304" s="116"/>
      <c r="BP304" s="117"/>
      <c r="BQ304" s="117"/>
      <c r="BU304" s="117"/>
      <c r="BW304" s="118"/>
      <c r="BY304" s="119"/>
      <c r="BZ304" s="119"/>
      <c r="CA304" s="120"/>
      <c r="CU304" s="120"/>
      <c r="CV304" s="121"/>
      <c r="CW304" s="120"/>
      <c r="CX304" s="122"/>
    </row>
    <row r="305" ht="15.75" customHeight="1">
      <c r="B305" s="111"/>
      <c r="E305" s="112"/>
      <c r="AA305" s="113"/>
      <c r="AV305" s="114"/>
      <c r="AW305" s="114"/>
      <c r="AX305" s="115"/>
      <c r="AY305" s="116"/>
      <c r="AZ305" s="115"/>
      <c r="BA305" s="116"/>
      <c r="BB305" s="116"/>
      <c r="BC305" s="116"/>
      <c r="BP305" s="117"/>
      <c r="BQ305" s="117"/>
      <c r="BU305" s="117"/>
      <c r="BW305" s="118"/>
      <c r="BY305" s="119"/>
      <c r="BZ305" s="119"/>
      <c r="CA305" s="120"/>
      <c r="CU305" s="120"/>
      <c r="CV305" s="121"/>
      <c r="CW305" s="120"/>
      <c r="CX305" s="122"/>
    </row>
    <row r="306" ht="15.75" customHeight="1">
      <c r="B306" s="111"/>
      <c r="E306" s="112"/>
      <c r="AA306" s="113"/>
      <c r="AV306" s="114"/>
      <c r="AW306" s="114"/>
      <c r="AX306" s="115"/>
      <c r="AY306" s="116"/>
      <c r="AZ306" s="115"/>
      <c r="BA306" s="116"/>
      <c r="BB306" s="116"/>
      <c r="BC306" s="116"/>
      <c r="BP306" s="117"/>
      <c r="BQ306" s="117"/>
      <c r="BU306" s="117"/>
      <c r="BW306" s="118"/>
      <c r="BY306" s="119"/>
      <c r="BZ306" s="119"/>
      <c r="CA306" s="120"/>
      <c r="CU306" s="120"/>
      <c r="CV306" s="121"/>
      <c r="CW306" s="120"/>
      <c r="CX306" s="122"/>
    </row>
    <row r="307" ht="15.75" customHeight="1">
      <c r="B307" s="111"/>
      <c r="E307" s="112"/>
      <c r="AA307" s="113"/>
      <c r="AV307" s="114"/>
      <c r="AW307" s="114"/>
      <c r="AX307" s="115"/>
      <c r="AY307" s="116"/>
      <c r="AZ307" s="115"/>
      <c r="BA307" s="116"/>
      <c r="BB307" s="116"/>
      <c r="BC307" s="116"/>
      <c r="BP307" s="117"/>
      <c r="BQ307" s="117"/>
      <c r="BU307" s="117"/>
      <c r="BW307" s="118"/>
      <c r="BY307" s="119"/>
      <c r="BZ307" s="119"/>
      <c r="CA307" s="120"/>
      <c r="CU307" s="120"/>
      <c r="CV307" s="121"/>
      <c r="CW307" s="120"/>
      <c r="CX307" s="122"/>
    </row>
    <row r="308" ht="15.75" customHeight="1">
      <c r="B308" s="111"/>
      <c r="E308" s="112"/>
      <c r="AA308" s="113"/>
      <c r="AV308" s="114"/>
      <c r="AW308" s="114"/>
      <c r="AX308" s="115"/>
      <c r="AY308" s="116"/>
      <c r="AZ308" s="115"/>
      <c r="BA308" s="116"/>
      <c r="BB308" s="116"/>
      <c r="BC308" s="116"/>
      <c r="BP308" s="117"/>
      <c r="BQ308" s="117"/>
      <c r="BU308" s="117"/>
      <c r="BW308" s="118"/>
      <c r="BY308" s="119"/>
      <c r="BZ308" s="119"/>
      <c r="CA308" s="120"/>
      <c r="CU308" s="120"/>
      <c r="CV308" s="121"/>
      <c r="CW308" s="120"/>
      <c r="CX308" s="122"/>
    </row>
    <row r="309" ht="15.75" customHeight="1">
      <c r="B309" s="111"/>
      <c r="E309" s="112"/>
      <c r="AA309" s="113"/>
      <c r="AV309" s="114"/>
      <c r="AW309" s="114"/>
      <c r="AX309" s="115"/>
      <c r="AY309" s="116"/>
      <c r="AZ309" s="115"/>
      <c r="BA309" s="116"/>
      <c r="BB309" s="116"/>
      <c r="BC309" s="116"/>
      <c r="BP309" s="117"/>
      <c r="BQ309" s="117"/>
      <c r="BU309" s="117"/>
      <c r="BW309" s="118"/>
      <c r="BY309" s="119"/>
      <c r="BZ309" s="119"/>
      <c r="CA309" s="120"/>
      <c r="CU309" s="120"/>
      <c r="CV309" s="121"/>
      <c r="CW309" s="120"/>
      <c r="CX309" s="122"/>
    </row>
    <row r="310" ht="15.75" customHeight="1">
      <c r="B310" s="111"/>
      <c r="E310" s="112"/>
      <c r="AA310" s="113"/>
      <c r="AV310" s="114"/>
      <c r="AW310" s="114"/>
      <c r="AX310" s="115"/>
      <c r="AY310" s="116"/>
      <c r="AZ310" s="115"/>
      <c r="BA310" s="116"/>
      <c r="BB310" s="116"/>
      <c r="BC310" s="116"/>
      <c r="BP310" s="117"/>
      <c r="BQ310" s="117"/>
      <c r="BU310" s="117"/>
      <c r="BW310" s="118"/>
      <c r="BY310" s="119"/>
      <c r="BZ310" s="119"/>
      <c r="CA310" s="120"/>
      <c r="CU310" s="120"/>
      <c r="CV310" s="121"/>
      <c r="CW310" s="120"/>
      <c r="CX310" s="122"/>
    </row>
    <row r="311" ht="15.75" customHeight="1">
      <c r="B311" s="111"/>
      <c r="E311" s="112"/>
      <c r="AA311" s="113"/>
      <c r="AV311" s="114"/>
      <c r="AW311" s="114"/>
      <c r="AX311" s="115"/>
      <c r="AY311" s="116"/>
      <c r="AZ311" s="115"/>
      <c r="BA311" s="116"/>
      <c r="BB311" s="116"/>
      <c r="BC311" s="116"/>
      <c r="BP311" s="117"/>
      <c r="BQ311" s="117"/>
      <c r="BU311" s="117"/>
      <c r="BW311" s="118"/>
      <c r="BY311" s="119"/>
      <c r="BZ311" s="119"/>
      <c r="CA311" s="120"/>
      <c r="CU311" s="120"/>
      <c r="CV311" s="121"/>
      <c r="CW311" s="120"/>
      <c r="CX311" s="122"/>
    </row>
    <row r="312" ht="15.75" customHeight="1">
      <c r="B312" s="111"/>
      <c r="E312" s="112"/>
      <c r="AA312" s="113"/>
      <c r="AV312" s="114"/>
      <c r="AW312" s="114"/>
      <c r="AX312" s="115"/>
      <c r="AY312" s="116"/>
      <c r="AZ312" s="115"/>
      <c r="BA312" s="116"/>
      <c r="BB312" s="116"/>
      <c r="BC312" s="116"/>
      <c r="BP312" s="117"/>
      <c r="BQ312" s="117"/>
      <c r="BU312" s="117"/>
      <c r="BW312" s="118"/>
      <c r="BY312" s="119"/>
      <c r="BZ312" s="119"/>
      <c r="CA312" s="120"/>
      <c r="CU312" s="120"/>
      <c r="CV312" s="121"/>
      <c r="CW312" s="120"/>
      <c r="CX312" s="122"/>
    </row>
    <row r="313" ht="15.75" customHeight="1">
      <c r="B313" s="111"/>
      <c r="E313" s="112"/>
      <c r="AA313" s="113"/>
      <c r="AV313" s="114"/>
      <c r="AW313" s="114"/>
      <c r="AX313" s="115"/>
      <c r="AY313" s="116"/>
      <c r="AZ313" s="115"/>
      <c r="BA313" s="116"/>
      <c r="BB313" s="116"/>
      <c r="BC313" s="116"/>
      <c r="BP313" s="117"/>
      <c r="BQ313" s="117"/>
      <c r="BU313" s="117"/>
      <c r="BW313" s="118"/>
      <c r="BY313" s="119"/>
      <c r="BZ313" s="119"/>
      <c r="CA313" s="120"/>
      <c r="CU313" s="120"/>
      <c r="CV313" s="121"/>
      <c r="CW313" s="120"/>
      <c r="CX313" s="122"/>
    </row>
    <row r="314" ht="15.75" customHeight="1">
      <c r="B314" s="111"/>
      <c r="E314" s="112"/>
      <c r="AA314" s="113"/>
      <c r="AV314" s="114"/>
      <c r="AW314" s="114"/>
      <c r="AX314" s="115"/>
      <c r="AY314" s="116"/>
      <c r="AZ314" s="115"/>
      <c r="BA314" s="116"/>
      <c r="BB314" s="116"/>
      <c r="BC314" s="116"/>
      <c r="BP314" s="117"/>
      <c r="BQ314" s="117"/>
      <c r="BU314" s="117"/>
      <c r="BW314" s="118"/>
      <c r="BY314" s="119"/>
      <c r="BZ314" s="119"/>
      <c r="CA314" s="120"/>
      <c r="CU314" s="120"/>
      <c r="CV314" s="121"/>
      <c r="CW314" s="120"/>
      <c r="CX314" s="122"/>
    </row>
    <row r="315" ht="15.75" customHeight="1">
      <c r="B315" s="111"/>
      <c r="E315" s="112"/>
      <c r="AA315" s="113"/>
      <c r="AV315" s="114"/>
      <c r="AW315" s="114"/>
      <c r="AX315" s="115"/>
      <c r="AY315" s="116"/>
      <c r="AZ315" s="115"/>
      <c r="BA315" s="116"/>
      <c r="BB315" s="116"/>
      <c r="BC315" s="116"/>
      <c r="BP315" s="117"/>
      <c r="BQ315" s="117"/>
      <c r="BU315" s="117"/>
      <c r="BW315" s="118"/>
      <c r="BY315" s="119"/>
      <c r="BZ315" s="119"/>
      <c r="CA315" s="120"/>
      <c r="CU315" s="120"/>
      <c r="CV315" s="121"/>
      <c r="CW315" s="120"/>
      <c r="CX315" s="122"/>
    </row>
    <row r="316" ht="15.75" customHeight="1">
      <c r="B316" s="111"/>
      <c r="E316" s="112"/>
      <c r="AA316" s="113"/>
      <c r="AV316" s="114"/>
      <c r="AW316" s="114"/>
      <c r="AX316" s="115"/>
      <c r="AY316" s="116"/>
      <c r="AZ316" s="115"/>
      <c r="BA316" s="116"/>
      <c r="BB316" s="116"/>
      <c r="BC316" s="116"/>
      <c r="BP316" s="117"/>
      <c r="BQ316" s="117"/>
      <c r="BU316" s="117"/>
      <c r="BW316" s="118"/>
      <c r="BY316" s="119"/>
      <c r="BZ316" s="119"/>
      <c r="CA316" s="120"/>
      <c r="CU316" s="120"/>
      <c r="CV316" s="121"/>
      <c r="CW316" s="120"/>
      <c r="CX316" s="122"/>
    </row>
    <row r="317" ht="15.75" customHeight="1">
      <c r="B317" s="111"/>
      <c r="E317" s="112"/>
      <c r="AA317" s="113"/>
      <c r="AV317" s="114"/>
      <c r="AW317" s="114"/>
      <c r="AX317" s="115"/>
      <c r="AY317" s="116"/>
      <c r="AZ317" s="115"/>
      <c r="BA317" s="116"/>
      <c r="BB317" s="116"/>
      <c r="BC317" s="116"/>
      <c r="BP317" s="117"/>
      <c r="BQ317" s="117"/>
      <c r="BU317" s="117"/>
      <c r="BW317" s="118"/>
      <c r="BY317" s="119"/>
      <c r="BZ317" s="119"/>
      <c r="CA317" s="120"/>
      <c r="CU317" s="120"/>
      <c r="CV317" s="121"/>
      <c r="CW317" s="120"/>
      <c r="CX317" s="122"/>
    </row>
    <row r="318" ht="15.75" customHeight="1">
      <c r="B318" s="111"/>
      <c r="E318" s="112"/>
      <c r="AA318" s="113"/>
      <c r="AV318" s="114"/>
      <c r="AW318" s="114"/>
      <c r="AX318" s="115"/>
      <c r="AY318" s="116"/>
      <c r="AZ318" s="115"/>
      <c r="BA318" s="116"/>
      <c r="BB318" s="116"/>
      <c r="BC318" s="116"/>
      <c r="BP318" s="117"/>
      <c r="BQ318" s="117"/>
      <c r="BU318" s="117"/>
      <c r="BW318" s="118"/>
      <c r="BY318" s="119"/>
      <c r="BZ318" s="119"/>
      <c r="CA318" s="120"/>
      <c r="CU318" s="120"/>
      <c r="CV318" s="121"/>
      <c r="CW318" s="120"/>
      <c r="CX318" s="122"/>
    </row>
    <row r="319" ht="15.75" customHeight="1">
      <c r="B319" s="111"/>
      <c r="E319" s="112"/>
      <c r="AA319" s="113"/>
      <c r="AV319" s="114"/>
      <c r="AW319" s="114"/>
      <c r="AX319" s="115"/>
      <c r="AY319" s="116"/>
      <c r="AZ319" s="115"/>
      <c r="BA319" s="116"/>
      <c r="BB319" s="116"/>
      <c r="BC319" s="116"/>
      <c r="BP319" s="117"/>
      <c r="BQ319" s="117"/>
      <c r="BU319" s="117"/>
      <c r="BW319" s="118"/>
      <c r="BY319" s="119"/>
      <c r="BZ319" s="119"/>
      <c r="CA319" s="120"/>
      <c r="CU319" s="120"/>
      <c r="CV319" s="121"/>
      <c r="CW319" s="120"/>
      <c r="CX319" s="122"/>
    </row>
    <row r="320" ht="15.75" customHeight="1">
      <c r="B320" s="111"/>
      <c r="E320" s="112"/>
      <c r="AA320" s="113"/>
      <c r="AV320" s="114"/>
      <c r="AW320" s="114"/>
      <c r="AX320" s="115"/>
      <c r="AY320" s="116"/>
      <c r="AZ320" s="115"/>
      <c r="BA320" s="116"/>
      <c r="BB320" s="116"/>
      <c r="BC320" s="116"/>
      <c r="BP320" s="117"/>
      <c r="BQ320" s="117"/>
      <c r="BU320" s="117"/>
      <c r="BW320" s="118"/>
      <c r="BY320" s="119"/>
      <c r="BZ320" s="119"/>
      <c r="CA320" s="120"/>
      <c r="CU320" s="120"/>
      <c r="CV320" s="121"/>
      <c r="CW320" s="120"/>
      <c r="CX320" s="122"/>
    </row>
    <row r="321" ht="15.75" customHeight="1">
      <c r="B321" s="111"/>
      <c r="E321" s="112"/>
      <c r="AA321" s="113"/>
      <c r="AV321" s="114"/>
      <c r="AW321" s="114"/>
      <c r="AX321" s="115"/>
      <c r="AY321" s="116"/>
      <c r="AZ321" s="115"/>
      <c r="BA321" s="116"/>
      <c r="BB321" s="116"/>
      <c r="BC321" s="116"/>
      <c r="BP321" s="117"/>
      <c r="BQ321" s="117"/>
      <c r="BU321" s="117"/>
      <c r="BW321" s="118"/>
      <c r="BY321" s="119"/>
      <c r="BZ321" s="119"/>
      <c r="CA321" s="120"/>
      <c r="CU321" s="120"/>
      <c r="CV321" s="121"/>
      <c r="CW321" s="120"/>
      <c r="CX321" s="122"/>
    </row>
    <row r="322" ht="15.75" customHeight="1">
      <c r="B322" s="111"/>
      <c r="E322" s="112"/>
      <c r="AA322" s="113"/>
      <c r="AV322" s="114"/>
      <c r="AW322" s="114"/>
      <c r="AX322" s="115"/>
      <c r="AY322" s="116"/>
      <c r="AZ322" s="115"/>
      <c r="BA322" s="116"/>
      <c r="BB322" s="116"/>
      <c r="BC322" s="116"/>
      <c r="BP322" s="117"/>
      <c r="BQ322" s="117"/>
      <c r="BU322" s="117"/>
      <c r="BW322" s="118"/>
      <c r="BY322" s="119"/>
      <c r="BZ322" s="119"/>
      <c r="CA322" s="120"/>
      <c r="CU322" s="120"/>
      <c r="CV322" s="121"/>
      <c r="CW322" s="120"/>
      <c r="CX322" s="122"/>
    </row>
    <row r="323" ht="15.75" customHeight="1">
      <c r="B323" s="111"/>
      <c r="E323" s="112"/>
      <c r="AA323" s="113"/>
      <c r="AV323" s="114"/>
      <c r="AW323" s="114"/>
      <c r="AX323" s="115"/>
      <c r="AY323" s="116"/>
      <c r="AZ323" s="115"/>
      <c r="BA323" s="116"/>
      <c r="BB323" s="116"/>
      <c r="BC323" s="116"/>
      <c r="BP323" s="117"/>
      <c r="BQ323" s="117"/>
      <c r="BU323" s="117"/>
      <c r="BW323" s="118"/>
      <c r="BY323" s="119"/>
      <c r="BZ323" s="119"/>
      <c r="CA323" s="120"/>
      <c r="CU323" s="120"/>
      <c r="CV323" s="121"/>
      <c r="CW323" s="120"/>
      <c r="CX323" s="122"/>
    </row>
    <row r="324" ht="15.75" customHeight="1">
      <c r="B324" s="111"/>
      <c r="E324" s="112"/>
      <c r="AA324" s="113"/>
      <c r="AV324" s="114"/>
      <c r="AW324" s="114"/>
      <c r="AX324" s="115"/>
      <c r="AY324" s="116"/>
      <c r="AZ324" s="115"/>
      <c r="BA324" s="116"/>
      <c r="BB324" s="116"/>
      <c r="BC324" s="116"/>
      <c r="BP324" s="117"/>
      <c r="BQ324" s="117"/>
      <c r="BU324" s="117"/>
      <c r="BW324" s="118"/>
      <c r="BY324" s="119"/>
      <c r="BZ324" s="119"/>
      <c r="CA324" s="120"/>
      <c r="CU324" s="120"/>
      <c r="CV324" s="121"/>
      <c r="CW324" s="120"/>
      <c r="CX324" s="122"/>
    </row>
    <row r="325" ht="15.75" customHeight="1">
      <c r="B325" s="111"/>
      <c r="E325" s="112"/>
      <c r="AA325" s="113"/>
      <c r="AV325" s="114"/>
      <c r="AW325" s="114"/>
      <c r="AX325" s="115"/>
      <c r="AY325" s="116"/>
      <c r="AZ325" s="115"/>
      <c r="BA325" s="116"/>
      <c r="BB325" s="116"/>
      <c r="BC325" s="116"/>
      <c r="BP325" s="117"/>
      <c r="BQ325" s="117"/>
      <c r="BU325" s="117"/>
      <c r="BW325" s="118"/>
      <c r="BY325" s="119"/>
      <c r="BZ325" s="119"/>
      <c r="CA325" s="120"/>
      <c r="CU325" s="120"/>
      <c r="CV325" s="121"/>
      <c r="CW325" s="120"/>
      <c r="CX325" s="122"/>
    </row>
    <row r="326" ht="15.75" customHeight="1">
      <c r="B326" s="111"/>
      <c r="E326" s="112"/>
      <c r="AA326" s="113"/>
      <c r="AV326" s="114"/>
      <c r="AW326" s="114"/>
      <c r="AX326" s="115"/>
      <c r="AY326" s="116"/>
      <c r="AZ326" s="115"/>
      <c r="BA326" s="116"/>
      <c r="BB326" s="116"/>
      <c r="BC326" s="116"/>
      <c r="BP326" s="117"/>
      <c r="BQ326" s="117"/>
      <c r="BU326" s="117"/>
      <c r="BW326" s="118"/>
      <c r="BY326" s="119"/>
      <c r="BZ326" s="119"/>
      <c r="CA326" s="120"/>
      <c r="CU326" s="120"/>
      <c r="CV326" s="121"/>
      <c r="CW326" s="120"/>
      <c r="CX326" s="122"/>
    </row>
    <row r="327" ht="15.75" customHeight="1">
      <c r="B327" s="111"/>
      <c r="E327" s="112"/>
      <c r="AA327" s="113"/>
      <c r="AV327" s="114"/>
      <c r="AW327" s="114"/>
      <c r="AX327" s="115"/>
      <c r="AY327" s="116"/>
      <c r="AZ327" s="115"/>
      <c r="BA327" s="116"/>
      <c r="BB327" s="116"/>
      <c r="BC327" s="116"/>
      <c r="BP327" s="117"/>
      <c r="BQ327" s="117"/>
      <c r="BU327" s="117"/>
      <c r="BW327" s="118"/>
      <c r="BY327" s="119"/>
      <c r="BZ327" s="119"/>
      <c r="CA327" s="120"/>
      <c r="CU327" s="120"/>
      <c r="CV327" s="121"/>
      <c r="CW327" s="120"/>
      <c r="CX327" s="122"/>
    </row>
    <row r="328" ht="15.75" customHeight="1">
      <c r="B328" s="111"/>
      <c r="E328" s="112"/>
      <c r="AA328" s="113"/>
      <c r="AV328" s="114"/>
      <c r="AW328" s="114"/>
      <c r="AX328" s="115"/>
      <c r="AY328" s="116"/>
      <c r="AZ328" s="115"/>
      <c r="BA328" s="116"/>
      <c r="BB328" s="116"/>
      <c r="BC328" s="116"/>
      <c r="BP328" s="117"/>
      <c r="BQ328" s="117"/>
      <c r="BU328" s="117"/>
      <c r="BW328" s="118"/>
      <c r="BY328" s="119"/>
      <c r="BZ328" s="119"/>
      <c r="CA328" s="120"/>
      <c r="CU328" s="120"/>
      <c r="CV328" s="121"/>
      <c r="CW328" s="120"/>
      <c r="CX328" s="122"/>
    </row>
    <row r="329" ht="15.75" customHeight="1">
      <c r="B329" s="111"/>
      <c r="E329" s="112"/>
      <c r="AA329" s="113"/>
      <c r="AV329" s="114"/>
      <c r="AW329" s="114"/>
      <c r="AX329" s="115"/>
      <c r="AY329" s="116"/>
      <c r="AZ329" s="115"/>
      <c r="BA329" s="116"/>
      <c r="BB329" s="116"/>
      <c r="BC329" s="116"/>
      <c r="BP329" s="117"/>
      <c r="BQ329" s="117"/>
      <c r="BU329" s="117"/>
      <c r="BW329" s="118"/>
      <c r="BY329" s="119"/>
      <c r="BZ329" s="119"/>
      <c r="CA329" s="120"/>
      <c r="CU329" s="120"/>
      <c r="CV329" s="121"/>
      <c r="CW329" s="120"/>
      <c r="CX329" s="122"/>
    </row>
    <row r="330" ht="15.75" customHeight="1">
      <c r="B330" s="111"/>
      <c r="E330" s="112"/>
      <c r="AA330" s="113"/>
      <c r="AV330" s="114"/>
      <c r="AW330" s="114"/>
      <c r="AX330" s="115"/>
      <c r="AY330" s="116"/>
      <c r="AZ330" s="115"/>
      <c r="BA330" s="116"/>
      <c r="BB330" s="116"/>
      <c r="BC330" s="116"/>
      <c r="BP330" s="117"/>
      <c r="BQ330" s="117"/>
      <c r="BU330" s="117"/>
      <c r="BW330" s="118"/>
      <c r="BY330" s="119"/>
      <c r="BZ330" s="119"/>
      <c r="CA330" s="120"/>
      <c r="CU330" s="120"/>
      <c r="CV330" s="121"/>
      <c r="CW330" s="120"/>
      <c r="CX330" s="122"/>
    </row>
    <row r="331" ht="15.75" customHeight="1">
      <c r="B331" s="111"/>
      <c r="E331" s="112"/>
      <c r="AA331" s="113"/>
      <c r="AV331" s="114"/>
      <c r="AW331" s="114"/>
      <c r="AX331" s="115"/>
      <c r="AY331" s="116"/>
      <c r="AZ331" s="115"/>
      <c r="BA331" s="116"/>
      <c r="BB331" s="116"/>
      <c r="BC331" s="116"/>
      <c r="BP331" s="117"/>
      <c r="BQ331" s="117"/>
      <c r="BU331" s="117"/>
      <c r="BW331" s="118"/>
      <c r="BY331" s="119"/>
      <c r="BZ331" s="119"/>
      <c r="CA331" s="120"/>
      <c r="CU331" s="120"/>
      <c r="CV331" s="121"/>
      <c r="CW331" s="120"/>
      <c r="CX331" s="122"/>
    </row>
    <row r="332" ht="15.75" customHeight="1">
      <c r="B332" s="111"/>
      <c r="E332" s="112"/>
      <c r="AA332" s="113"/>
      <c r="AV332" s="114"/>
      <c r="AW332" s="114"/>
      <c r="AX332" s="115"/>
      <c r="AY332" s="116"/>
      <c r="AZ332" s="115"/>
      <c r="BA332" s="116"/>
      <c r="BB332" s="116"/>
      <c r="BC332" s="116"/>
      <c r="BP332" s="117"/>
      <c r="BQ332" s="117"/>
      <c r="BU332" s="117"/>
      <c r="BW332" s="118"/>
      <c r="BY332" s="119"/>
      <c r="BZ332" s="119"/>
      <c r="CA332" s="120"/>
      <c r="CU332" s="120"/>
      <c r="CV332" s="121"/>
      <c r="CW332" s="120"/>
      <c r="CX332" s="122"/>
    </row>
    <row r="333" ht="15.75" customHeight="1">
      <c r="B333" s="111"/>
      <c r="E333" s="112"/>
      <c r="AA333" s="113"/>
      <c r="AV333" s="114"/>
      <c r="AW333" s="114"/>
      <c r="AX333" s="115"/>
      <c r="AY333" s="116"/>
      <c r="AZ333" s="115"/>
      <c r="BA333" s="116"/>
      <c r="BB333" s="116"/>
      <c r="BC333" s="116"/>
      <c r="BP333" s="117"/>
      <c r="BQ333" s="117"/>
      <c r="BU333" s="117"/>
      <c r="BW333" s="118"/>
      <c r="BY333" s="119"/>
      <c r="BZ333" s="119"/>
      <c r="CA333" s="120"/>
      <c r="CU333" s="120"/>
      <c r="CV333" s="121"/>
      <c r="CW333" s="120"/>
      <c r="CX333" s="122"/>
    </row>
    <row r="334" ht="15.75" customHeight="1">
      <c r="B334" s="111"/>
      <c r="E334" s="112"/>
      <c r="AA334" s="113"/>
      <c r="AV334" s="114"/>
      <c r="AW334" s="114"/>
      <c r="AX334" s="115"/>
      <c r="AY334" s="116"/>
      <c r="AZ334" s="115"/>
      <c r="BA334" s="116"/>
      <c r="BB334" s="116"/>
      <c r="BC334" s="116"/>
      <c r="BP334" s="117"/>
      <c r="BQ334" s="117"/>
      <c r="BU334" s="117"/>
      <c r="BW334" s="118"/>
      <c r="BY334" s="119"/>
      <c r="BZ334" s="119"/>
      <c r="CA334" s="120"/>
      <c r="CU334" s="120"/>
      <c r="CV334" s="121"/>
      <c r="CW334" s="120"/>
      <c r="CX334" s="122"/>
    </row>
    <row r="335" ht="15.75" customHeight="1">
      <c r="B335" s="111"/>
      <c r="E335" s="112"/>
      <c r="AA335" s="113"/>
      <c r="AV335" s="114"/>
      <c r="AW335" s="114"/>
      <c r="AX335" s="115"/>
      <c r="AY335" s="116"/>
      <c r="AZ335" s="115"/>
      <c r="BA335" s="116"/>
      <c r="BB335" s="116"/>
      <c r="BC335" s="116"/>
      <c r="BP335" s="117"/>
      <c r="BQ335" s="117"/>
      <c r="BU335" s="117"/>
      <c r="BW335" s="118"/>
      <c r="BY335" s="119"/>
      <c r="BZ335" s="119"/>
      <c r="CA335" s="120"/>
      <c r="CU335" s="120"/>
      <c r="CV335" s="121"/>
      <c r="CW335" s="120"/>
      <c r="CX335" s="122"/>
    </row>
    <row r="336" ht="15.75" customHeight="1">
      <c r="B336" s="111"/>
      <c r="E336" s="112"/>
      <c r="AA336" s="113"/>
      <c r="AV336" s="114"/>
      <c r="AW336" s="114"/>
      <c r="AX336" s="115"/>
      <c r="AY336" s="116"/>
      <c r="AZ336" s="115"/>
      <c r="BA336" s="116"/>
      <c r="BB336" s="116"/>
      <c r="BC336" s="116"/>
      <c r="BP336" s="117"/>
      <c r="BQ336" s="117"/>
      <c r="BU336" s="117"/>
      <c r="BW336" s="118"/>
      <c r="BY336" s="119"/>
      <c r="BZ336" s="119"/>
      <c r="CA336" s="120"/>
      <c r="CU336" s="120"/>
      <c r="CV336" s="121"/>
      <c r="CW336" s="120"/>
      <c r="CX336" s="122"/>
    </row>
    <row r="337" ht="15.75" customHeight="1">
      <c r="B337" s="111"/>
      <c r="E337" s="112"/>
      <c r="AA337" s="113"/>
      <c r="AV337" s="114"/>
      <c r="AW337" s="114"/>
      <c r="AX337" s="115"/>
      <c r="AY337" s="116"/>
      <c r="AZ337" s="115"/>
      <c r="BA337" s="116"/>
      <c r="BB337" s="116"/>
      <c r="BC337" s="116"/>
      <c r="BP337" s="117"/>
      <c r="BQ337" s="117"/>
      <c r="BU337" s="117"/>
      <c r="BW337" s="118"/>
      <c r="BY337" s="119"/>
      <c r="BZ337" s="119"/>
      <c r="CA337" s="120"/>
      <c r="CU337" s="120"/>
      <c r="CV337" s="121"/>
      <c r="CW337" s="120"/>
      <c r="CX337" s="122"/>
    </row>
    <row r="338" ht="15.75" customHeight="1">
      <c r="B338" s="111"/>
      <c r="E338" s="112"/>
      <c r="AA338" s="113"/>
      <c r="AV338" s="114"/>
      <c r="AW338" s="114"/>
      <c r="AX338" s="115"/>
      <c r="AY338" s="116"/>
      <c r="AZ338" s="115"/>
      <c r="BA338" s="116"/>
      <c r="BB338" s="116"/>
      <c r="BC338" s="116"/>
      <c r="BP338" s="117"/>
      <c r="BQ338" s="117"/>
      <c r="BU338" s="117"/>
      <c r="BW338" s="118"/>
      <c r="BY338" s="119"/>
      <c r="BZ338" s="119"/>
      <c r="CA338" s="120"/>
      <c r="CU338" s="120"/>
      <c r="CV338" s="121"/>
      <c r="CW338" s="120"/>
      <c r="CX338" s="122"/>
    </row>
    <row r="339" ht="15.75" customHeight="1">
      <c r="B339" s="111"/>
      <c r="E339" s="112"/>
      <c r="AA339" s="113"/>
      <c r="AV339" s="114"/>
      <c r="AW339" s="114"/>
      <c r="AX339" s="115"/>
      <c r="AY339" s="116"/>
      <c r="AZ339" s="115"/>
      <c r="BA339" s="116"/>
      <c r="BB339" s="116"/>
      <c r="BC339" s="116"/>
      <c r="BP339" s="117"/>
      <c r="BQ339" s="117"/>
      <c r="BU339" s="117"/>
      <c r="BW339" s="118"/>
      <c r="BY339" s="119"/>
      <c r="BZ339" s="119"/>
      <c r="CA339" s="120"/>
      <c r="CU339" s="120"/>
      <c r="CV339" s="121"/>
      <c r="CW339" s="120"/>
      <c r="CX339" s="122"/>
    </row>
    <row r="340" ht="15.75" customHeight="1">
      <c r="B340" s="111"/>
      <c r="E340" s="112"/>
      <c r="AA340" s="113"/>
      <c r="AV340" s="114"/>
      <c r="AW340" s="114"/>
      <c r="AX340" s="115"/>
      <c r="AY340" s="116"/>
      <c r="AZ340" s="115"/>
      <c r="BA340" s="116"/>
      <c r="BB340" s="116"/>
      <c r="BC340" s="116"/>
      <c r="BP340" s="117"/>
      <c r="BQ340" s="117"/>
      <c r="BU340" s="117"/>
      <c r="BW340" s="118"/>
      <c r="BY340" s="119"/>
      <c r="BZ340" s="119"/>
      <c r="CA340" s="120"/>
      <c r="CU340" s="120"/>
      <c r="CV340" s="121"/>
      <c r="CW340" s="120"/>
      <c r="CX340" s="122"/>
    </row>
    <row r="341" ht="15.75" customHeight="1">
      <c r="B341" s="111"/>
      <c r="E341" s="112"/>
      <c r="AA341" s="113"/>
      <c r="AV341" s="114"/>
      <c r="AW341" s="114"/>
      <c r="AX341" s="115"/>
      <c r="AY341" s="116"/>
      <c r="AZ341" s="115"/>
      <c r="BA341" s="116"/>
      <c r="BB341" s="116"/>
      <c r="BC341" s="116"/>
      <c r="BP341" s="117"/>
      <c r="BQ341" s="117"/>
      <c r="BU341" s="117"/>
      <c r="BW341" s="118"/>
      <c r="BY341" s="119"/>
      <c r="BZ341" s="119"/>
      <c r="CA341" s="120"/>
      <c r="CU341" s="120"/>
      <c r="CV341" s="121"/>
      <c r="CW341" s="120"/>
      <c r="CX341" s="122"/>
    </row>
    <row r="342" ht="15.75" customHeight="1">
      <c r="B342" s="111"/>
      <c r="E342" s="112"/>
      <c r="AA342" s="113"/>
      <c r="AV342" s="114"/>
      <c r="AW342" s="114"/>
      <c r="AX342" s="115"/>
      <c r="AY342" s="116"/>
      <c r="AZ342" s="115"/>
      <c r="BA342" s="116"/>
      <c r="BB342" s="116"/>
      <c r="BC342" s="116"/>
      <c r="BP342" s="117"/>
      <c r="BQ342" s="117"/>
      <c r="BU342" s="117"/>
      <c r="BW342" s="118"/>
      <c r="BY342" s="119"/>
      <c r="BZ342" s="119"/>
      <c r="CA342" s="120"/>
      <c r="CU342" s="120"/>
      <c r="CV342" s="121"/>
      <c r="CW342" s="120"/>
      <c r="CX342" s="122"/>
    </row>
    <row r="343" ht="15.75" customHeight="1">
      <c r="B343" s="111"/>
      <c r="E343" s="112"/>
      <c r="AA343" s="113"/>
      <c r="AV343" s="114"/>
      <c r="AW343" s="114"/>
      <c r="AX343" s="115"/>
      <c r="AY343" s="116"/>
      <c r="AZ343" s="115"/>
      <c r="BA343" s="116"/>
      <c r="BB343" s="116"/>
      <c r="BC343" s="116"/>
      <c r="BP343" s="117"/>
      <c r="BQ343" s="117"/>
      <c r="BU343" s="117"/>
      <c r="BW343" s="118"/>
      <c r="BY343" s="119"/>
      <c r="BZ343" s="119"/>
      <c r="CA343" s="120"/>
      <c r="CU343" s="120"/>
      <c r="CV343" s="121"/>
      <c r="CW343" s="120"/>
      <c r="CX343" s="122"/>
    </row>
    <row r="344" ht="15.75" customHeight="1">
      <c r="B344" s="111"/>
      <c r="E344" s="112"/>
      <c r="AA344" s="113"/>
      <c r="AV344" s="114"/>
      <c r="AW344" s="114"/>
      <c r="AX344" s="115"/>
      <c r="AY344" s="116"/>
      <c r="AZ344" s="115"/>
      <c r="BA344" s="116"/>
      <c r="BB344" s="116"/>
      <c r="BC344" s="116"/>
      <c r="BP344" s="117"/>
      <c r="BQ344" s="117"/>
      <c r="BU344" s="117"/>
      <c r="BW344" s="118"/>
      <c r="BY344" s="119"/>
      <c r="BZ344" s="119"/>
      <c r="CA344" s="120"/>
      <c r="CU344" s="120"/>
      <c r="CV344" s="121"/>
      <c r="CW344" s="120"/>
      <c r="CX344" s="122"/>
    </row>
    <row r="345" ht="15.75" customHeight="1">
      <c r="B345" s="111"/>
      <c r="E345" s="112"/>
      <c r="AA345" s="113"/>
      <c r="AV345" s="114"/>
      <c r="AW345" s="114"/>
      <c r="AX345" s="115"/>
      <c r="AY345" s="116"/>
      <c r="AZ345" s="115"/>
      <c r="BA345" s="116"/>
      <c r="BB345" s="116"/>
      <c r="BC345" s="116"/>
      <c r="BP345" s="117"/>
      <c r="BQ345" s="117"/>
      <c r="BU345" s="117"/>
      <c r="BW345" s="118"/>
      <c r="BY345" s="119"/>
      <c r="BZ345" s="119"/>
      <c r="CA345" s="120"/>
      <c r="CU345" s="120"/>
      <c r="CV345" s="121"/>
      <c r="CW345" s="120"/>
      <c r="CX345" s="122"/>
    </row>
    <row r="346" ht="15.75" customHeight="1">
      <c r="B346" s="111"/>
      <c r="E346" s="112"/>
      <c r="AA346" s="113"/>
      <c r="AV346" s="114"/>
      <c r="AW346" s="114"/>
      <c r="AX346" s="115"/>
      <c r="AY346" s="116"/>
      <c r="AZ346" s="115"/>
      <c r="BA346" s="116"/>
      <c r="BB346" s="116"/>
      <c r="BC346" s="116"/>
      <c r="BP346" s="117"/>
      <c r="BQ346" s="117"/>
      <c r="BU346" s="117"/>
      <c r="BW346" s="118"/>
      <c r="BY346" s="119"/>
      <c r="BZ346" s="119"/>
      <c r="CA346" s="120"/>
      <c r="CU346" s="120"/>
      <c r="CV346" s="121"/>
      <c r="CW346" s="120"/>
      <c r="CX346" s="122"/>
    </row>
    <row r="347" ht="15.75" customHeight="1">
      <c r="B347" s="111"/>
      <c r="E347" s="112"/>
      <c r="AA347" s="113"/>
      <c r="AV347" s="114"/>
      <c r="AW347" s="114"/>
      <c r="AX347" s="115"/>
      <c r="AY347" s="116"/>
      <c r="AZ347" s="115"/>
      <c r="BA347" s="116"/>
      <c r="BB347" s="116"/>
      <c r="BC347" s="116"/>
      <c r="BP347" s="117"/>
      <c r="BQ347" s="117"/>
      <c r="BU347" s="117"/>
      <c r="BW347" s="118"/>
      <c r="BY347" s="119"/>
      <c r="BZ347" s="119"/>
      <c r="CA347" s="120"/>
      <c r="CU347" s="120"/>
      <c r="CV347" s="121"/>
      <c r="CW347" s="120"/>
      <c r="CX347" s="122"/>
    </row>
    <row r="348" ht="15.75" customHeight="1">
      <c r="B348" s="111"/>
      <c r="E348" s="112"/>
      <c r="AA348" s="113"/>
      <c r="AV348" s="114"/>
      <c r="AW348" s="114"/>
      <c r="AX348" s="115"/>
      <c r="AY348" s="116"/>
      <c r="AZ348" s="115"/>
      <c r="BA348" s="116"/>
      <c r="BB348" s="116"/>
      <c r="BC348" s="116"/>
      <c r="BP348" s="117"/>
      <c r="BQ348" s="117"/>
      <c r="BU348" s="117"/>
      <c r="BW348" s="118"/>
      <c r="BY348" s="119"/>
      <c r="BZ348" s="119"/>
      <c r="CA348" s="120"/>
      <c r="CU348" s="120"/>
      <c r="CV348" s="121"/>
      <c r="CW348" s="120"/>
      <c r="CX348" s="122"/>
    </row>
    <row r="349" ht="15.75" customHeight="1">
      <c r="B349" s="111"/>
      <c r="E349" s="112"/>
      <c r="AA349" s="113"/>
      <c r="AV349" s="114"/>
      <c r="AW349" s="114"/>
      <c r="AX349" s="115"/>
      <c r="AY349" s="116"/>
      <c r="AZ349" s="115"/>
      <c r="BA349" s="116"/>
      <c r="BB349" s="116"/>
      <c r="BC349" s="116"/>
      <c r="BP349" s="117"/>
      <c r="BQ349" s="117"/>
      <c r="BU349" s="117"/>
      <c r="BW349" s="118"/>
      <c r="BY349" s="119"/>
      <c r="BZ349" s="119"/>
      <c r="CA349" s="120"/>
      <c r="CU349" s="120"/>
      <c r="CV349" s="121"/>
      <c r="CW349" s="120"/>
      <c r="CX349" s="122"/>
    </row>
    <row r="350" ht="15.75" customHeight="1">
      <c r="B350" s="111"/>
      <c r="E350" s="112"/>
      <c r="AA350" s="113"/>
      <c r="AV350" s="114"/>
      <c r="AW350" s="114"/>
      <c r="AX350" s="115"/>
      <c r="AY350" s="116"/>
      <c r="AZ350" s="115"/>
      <c r="BA350" s="116"/>
      <c r="BB350" s="116"/>
      <c r="BC350" s="116"/>
      <c r="BP350" s="117"/>
      <c r="BQ350" s="117"/>
      <c r="BU350" s="117"/>
      <c r="BW350" s="118"/>
      <c r="BY350" s="119"/>
      <c r="BZ350" s="119"/>
      <c r="CA350" s="120"/>
      <c r="CU350" s="120"/>
      <c r="CV350" s="121"/>
      <c r="CW350" s="120"/>
      <c r="CX350" s="122"/>
    </row>
    <row r="351" ht="15.75" customHeight="1">
      <c r="B351" s="111"/>
      <c r="E351" s="112"/>
      <c r="AA351" s="113"/>
      <c r="AV351" s="114"/>
      <c r="AW351" s="114"/>
      <c r="AX351" s="115"/>
      <c r="AY351" s="116"/>
      <c r="AZ351" s="115"/>
      <c r="BA351" s="116"/>
      <c r="BB351" s="116"/>
      <c r="BC351" s="116"/>
      <c r="BP351" s="117"/>
      <c r="BQ351" s="117"/>
      <c r="BU351" s="117"/>
      <c r="BW351" s="118"/>
      <c r="BY351" s="119"/>
      <c r="BZ351" s="119"/>
      <c r="CA351" s="120"/>
      <c r="CU351" s="120"/>
      <c r="CV351" s="121"/>
      <c r="CW351" s="120"/>
      <c r="CX351" s="122"/>
    </row>
    <row r="352" ht="15.75" customHeight="1">
      <c r="B352" s="111"/>
      <c r="E352" s="112"/>
      <c r="AA352" s="113"/>
      <c r="AV352" s="114"/>
      <c r="AW352" s="114"/>
      <c r="AX352" s="115"/>
      <c r="AY352" s="116"/>
      <c r="AZ352" s="115"/>
      <c r="BA352" s="116"/>
      <c r="BB352" s="116"/>
      <c r="BC352" s="116"/>
      <c r="BP352" s="117"/>
      <c r="BQ352" s="117"/>
      <c r="BU352" s="117"/>
      <c r="BW352" s="118"/>
      <c r="BY352" s="119"/>
      <c r="BZ352" s="119"/>
      <c r="CA352" s="120"/>
      <c r="CU352" s="120"/>
      <c r="CV352" s="121"/>
      <c r="CW352" s="120"/>
      <c r="CX352" s="122"/>
    </row>
    <row r="353" ht="15.75" customHeight="1">
      <c r="B353" s="111"/>
      <c r="E353" s="112"/>
      <c r="AA353" s="113"/>
      <c r="AV353" s="114"/>
      <c r="AW353" s="114"/>
      <c r="AX353" s="115"/>
      <c r="AY353" s="116"/>
      <c r="AZ353" s="115"/>
      <c r="BA353" s="116"/>
      <c r="BB353" s="116"/>
      <c r="BC353" s="116"/>
      <c r="BP353" s="117"/>
      <c r="BQ353" s="117"/>
      <c r="BU353" s="117"/>
      <c r="BW353" s="118"/>
      <c r="BY353" s="119"/>
      <c r="BZ353" s="119"/>
      <c r="CA353" s="120"/>
      <c r="CU353" s="120"/>
      <c r="CV353" s="121"/>
      <c r="CW353" s="120"/>
      <c r="CX353" s="122"/>
    </row>
    <row r="354" ht="15.75" customHeight="1">
      <c r="B354" s="111"/>
      <c r="E354" s="112"/>
      <c r="AA354" s="113"/>
      <c r="AV354" s="114"/>
      <c r="AW354" s="114"/>
      <c r="AX354" s="115"/>
      <c r="AY354" s="116"/>
      <c r="AZ354" s="115"/>
      <c r="BA354" s="116"/>
      <c r="BB354" s="116"/>
      <c r="BC354" s="116"/>
      <c r="BP354" s="117"/>
      <c r="BQ354" s="117"/>
      <c r="BU354" s="117"/>
      <c r="BW354" s="118"/>
      <c r="BY354" s="119"/>
      <c r="BZ354" s="119"/>
      <c r="CA354" s="120"/>
      <c r="CU354" s="120"/>
      <c r="CV354" s="121"/>
      <c r="CW354" s="120"/>
      <c r="CX354" s="122"/>
    </row>
    <row r="355" ht="15.75" customHeight="1">
      <c r="B355" s="111"/>
      <c r="E355" s="112"/>
      <c r="AA355" s="113"/>
      <c r="AV355" s="114"/>
      <c r="AW355" s="114"/>
      <c r="AX355" s="115"/>
      <c r="AY355" s="116"/>
      <c r="AZ355" s="115"/>
      <c r="BA355" s="116"/>
      <c r="BB355" s="116"/>
      <c r="BC355" s="116"/>
      <c r="BP355" s="117"/>
      <c r="BQ355" s="117"/>
      <c r="BU355" s="117"/>
      <c r="BW355" s="118"/>
      <c r="BY355" s="119"/>
      <c r="BZ355" s="119"/>
      <c r="CA355" s="120"/>
      <c r="CU355" s="120"/>
      <c r="CV355" s="121"/>
      <c r="CW355" s="120"/>
      <c r="CX355" s="122"/>
    </row>
    <row r="356" ht="15.75" customHeight="1">
      <c r="B356" s="111"/>
      <c r="E356" s="112"/>
      <c r="AA356" s="113"/>
      <c r="AV356" s="114"/>
      <c r="AW356" s="114"/>
      <c r="AX356" s="115"/>
      <c r="AY356" s="116"/>
      <c r="AZ356" s="115"/>
      <c r="BA356" s="116"/>
      <c r="BB356" s="116"/>
      <c r="BC356" s="116"/>
      <c r="BP356" s="117"/>
      <c r="BQ356" s="117"/>
      <c r="BU356" s="117"/>
      <c r="BW356" s="118"/>
      <c r="BY356" s="119"/>
      <c r="BZ356" s="119"/>
      <c r="CA356" s="120"/>
      <c r="CU356" s="120"/>
      <c r="CV356" s="121"/>
      <c r="CW356" s="120"/>
      <c r="CX356" s="122"/>
    </row>
    <row r="357" ht="15.75" customHeight="1">
      <c r="B357" s="111"/>
      <c r="E357" s="112"/>
      <c r="AA357" s="113"/>
      <c r="AV357" s="114"/>
      <c r="AW357" s="114"/>
      <c r="AX357" s="115"/>
      <c r="AY357" s="116"/>
      <c r="AZ357" s="115"/>
      <c r="BA357" s="116"/>
      <c r="BB357" s="116"/>
      <c r="BC357" s="116"/>
      <c r="BP357" s="117"/>
      <c r="BQ357" s="117"/>
      <c r="BU357" s="117"/>
      <c r="BW357" s="118"/>
      <c r="BY357" s="119"/>
      <c r="BZ357" s="119"/>
      <c r="CA357" s="120"/>
      <c r="CU357" s="120"/>
      <c r="CV357" s="121"/>
      <c r="CW357" s="120"/>
      <c r="CX357" s="122"/>
    </row>
    <row r="358" ht="15.75" customHeight="1">
      <c r="B358" s="111"/>
      <c r="E358" s="112"/>
      <c r="AA358" s="113"/>
      <c r="AV358" s="114"/>
      <c r="AW358" s="114"/>
      <c r="AX358" s="115"/>
      <c r="AY358" s="116"/>
      <c r="AZ358" s="115"/>
      <c r="BA358" s="116"/>
      <c r="BB358" s="116"/>
      <c r="BC358" s="116"/>
      <c r="BP358" s="117"/>
      <c r="BQ358" s="117"/>
      <c r="BU358" s="117"/>
      <c r="BW358" s="118"/>
      <c r="BY358" s="119"/>
      <c r="BZ358" s="119"/>
      <c r="CA358" s="120"/>
      <c r="CU358" s="120"/>
      <c r="CV358" s="121"/>
      <c r="CW358" s="120"/>
      <c r="CX358" s="122"/>
    </row>
    <row r="359" ht="15.75" customHeight="1">
      <c r="B359" s="111"/>
      <c r="E359" s="112"/>
      <c r="AA359" s="113"/>
      <c r="AV359" s="114"/>
      <c r="AW359" s="114"/>
      <c r="AX359" s="115"/>
      <c r="AY359" s="116"/>
      <c r="AZ359" s="115"/>
      <c r="BA359" s="116"/>
      <c r="BB359" s="116"/>
      <c r="BC359" s="116"/>
      <c r="BP359" s="117"/>
      <c r="BQ359" s="117"/>
      <c r="BU359" s="117"/>
      <c r="BW359" s="118"/>
      <c r="BY359" s="119"/>
      <c r="BZ359" s="119"/>
      <c r="CA359" s="120"/>
      <c r="CU359" s="120"/>
      <c r="CV359" s="121"/>
      <c r="CW359" s="120"/>
      <c r="CX359" s="122"/>
    </row>
    <row r="360" ht="15.75" customHeight="1">
      <c r="B360" s="111"/>
      <c r="E360" s="112"/>
      <c r="AA360" s="113"/>
      <c r="AV360" s="114"/>
      <c r="AW360" s="114"/>
      <c r="AX360" s="115"/>
      <c r="AY360" s="116"/>
      <c r="AZ360" s="115"/>
      <c r="BA360" s="116"/>
      <c r="BB360" s="116"/>
      <c r="BC360" s="116"/>
      <c r="BP360" s="117"/>
      <c r="BQ360" s="117"/>
      <c r="BU360" s="117"/>
      <c r="BW360" s="118"/>
      <c r="BY360" s="119"/>
      <c r="BZ360" s="119"/>
      <c r="CA360" s="120"/>
      <c r="CU360" s="120"/>
      <c r="CV360" s="121"/>
      <c r="CW360" s="120"/>
      <c r="CX360" s="122"/>
    </row>
    <row r="361" ht="15.75" customHeight="1">
      <c r="B361" s="111"/>
      <c r="E361" s="112"/>
      <c r="AA361" s="113"/>
      <c r="AV361" s="114"/>
      <c r="AW361" s="114"/>
      <c r="AX361" s="115"/>
      <c r="AY361" s="116"/>
      <c r="AZ361" s="115"/>
      <c r="BA361" s="116"/>
      <c r="BB361" s="116"/>
      <c r="BC361" s="116"/>
      <c r="BP361" s="117"/>
      <c r="BQ361" s="117"/>
      <c r="BU361" s="117"/>
      <c r="BW361" s="118"/>
      <c r="BY361" s="119"/>
      <c r="BZ361" s="119"/>
      <c r="CA361" s="120"/>
      <c r="CU361" s="120"/>
      <c r="CV361" s="121"/>
      <c r="CW361" s="120"/>
      <c r="CX361" s="122"/>
    </row>
    <row r="362" ht="15.75" customHeight="1">
      <c r="B362" s="111"/>
      <c r="E362" s="112"/>
      <c r="AA362" s="113"/>
      <c r="AV362" s="114"/>
      <c r="AW362" s="114"/>
      <c r="AX362" s="115"/>
      <c r="AY362" s="116"/>
      <c r="AZ362" s="115"/>
      <c r="BA362" s="116"/>
      <c r="BB362" s="116"/>
      <c r="BC362" s="116"/>
      <c r="BP362" s="117"/>
      <c r="BQ362" s="117"/>
      <c r="BU362" s="117"/>
      <c r="BW362" s="118"/>
      <c r="BY362" s="119"/>
      <c r="BZ362" s="119"/>
      <c r="CA362" s="120"/>
      <c r="CU362" s="120"/>
      <c r="CV362" s="121"/>
      <c r="CW362" s="120"/>
      <c r="CX362" s="122"/>
    </row>
    <row r="363" ht="15.75" customHeight="1">
      <c r="B363" s="111"/>
      <c r="E363" s="112"/>
      <c r="AA363" s="113"/>
      <c r="AV363" s="114"/>
      <c r="AW363" s="114"/>
      <c r="AX363" s="115"/>
      <c r="AY363" s="116"/>
      <c r="AZ363" s="115"/>
      <c r="BA363" s="116"/>
      <c r="BB363" s="116"/>
      <c r="BC363" s="116"/>
      <c r="BP363" s="117"/>
      <c r="BQ363" s="117"/>
      <c r="BU363" s="117"/>
      <c r="BW363" s="118"/>
      <c r="BY363" s="119"/>
      <c r="BZ363" s="119"/>
      <c r="CA363" s="120"/>
      <c r="CU363" s="120"/>
      <c r="CV363" s="121"/>
      <c r="CW363" s="120"/>
      <c r="CX363" s="122"/>
    </row>
    <row r="364" ht="15.75" customHeight="1">
      <c r="B364" s="111"/>
      <c r="E364" s="112"/>
      <c r="AA364" s="113"/>
      <c r="AV364" s="114"/>
      <c r="AW364" s="114"/>
      <c r="AX364" s="115"/>
      <c r="AY364" s="116"/>
      <c r="AZ364" s="115"/>
      <c r="BA364" s="116"/>
      <c r="BB364" s="116"/>
      <c r="BC364" s="116"/>
      <c r="BP364" s="117"/>
      <c r="BQ364" s="117"/>
      <c r="BU364" s="117"/>
      <c r="BW364" s="118"/>
      <c r="BY364" s="119"/>
      <c r="BZ364" s="119"/>
      <c r="CA364" s="120"/>
      <c r="CU364" s="120"/>
      <c r="CV364" s="121"/>
      <c r="CW364" s="120"/>
      <c r="CX364" s="122"/>
    </row>
    <row r="365" ht="15.75" customHeight="1">
      <c r="B365" s="111"/>
      <c r="E365" s="112"/>
      <c r="AA365" s="113"/>
      <c r="AV365" s="114"/>
      <c r="AW365" s="114"/>
      <c r="AX365" s="115"/>
      <c r="AY365" s="116"/>
      <c r="AZ365" s="115"/>
      <c r="BA365" s="116"/>
      <c r="BB365" s="116"/>
      <c r="BC365" s="116"/>
      <c r="BP365" s="117"/>
      <c r="BQ365" s="117"/>
      <c r="BU365" s="117"/>
      <c r="BW365" s="118"/>
      <c r="BY365" s="119"/>
      <c r="BZ365" s="119"/>
      <c r="CA365" s="120"/>
      <c r="CU365" s="120"/>
      <c r="CV365" s="121"/>
      <c r="CW365" s="120"/>
      <c r="CX365" s="122"/>
    </row>
    <row r="366" ht="15.75" customHeight="1">
      <c r="B366" s="111"/>
      <c r="E366" s="112"/>
      <c r="AA366" s="113"/>
      <c r="AV366" s="114"/>
      <c r="AW366" s="114"/>
      <c r="AX366" s="115"/>
      <c r="AY366" s="116"/>
      <c r="AZ366" s="115"/>
      <c r="BA366" s="116"/>
      <c r="BB366" s="116"/>
      <c r="BC366" s="116"/>
      <c r="BP366" s="117"/>
      <c r="BQ366" s="117"/>
      <c r="BU366" s="117"/>
      <c r="BW366" s="118"/>
      <c r="BY366" s="119"/>
      <c r="BZ366" s="119"/>
      <c r="CA366" s="120"/>
      <c r="CU366" s="120"/>
      <c r="CV366" s="121"/>
      <c r="CW366" s="120"/>
      <c r="CX366" s="122"/>
    </row>
    <row r="367" ht="15.75" customHeight="1">
      <c r="B367" s="111"/>
      <c r="E367" s="112"/>
      <c r="AA367" s="113"/>
      <c r="AV367" s="114"/>
      <c r="AW367" s="114"/>
      <c r="AX367" s="115"/>
      <c r="AY367" s="116"/>
      <c r="AZ367" s="115"/>
      <c r="BA367" s="116"/>
      <c r="BB367" s="116"/>
      <c r="BC367" s="116"/>
      <c r="BP367" s="117"/>
      <c r="BQ367" s="117"/>
      <c r="BU367" s="117"/>
      <c r="BW367" s="118"/>
      <c r="BY367" s="119"/>
      <c r="BZ367" s="119"/>
      <c r="CA367" s="120"/>
      <c r="CU367" s="120"/>
      <c r="CV367" s="121"/>
      <c r="CW367" s="120"/>
      <c r="CX367" s="122"/>
    </row>
    <row r="368" ht="15.75" customHeight="1">
      <c r="B368" s="111"/>
      <c r="E368" s="112"/>
      <c r="AA368" s="113"/>
      <c r="AV368" s="114"/>
      <c r="AW368" s="114"/>
      <c r="AX368" s="115"/>
      <c r="AY368" s="116"/>
      <c r="AZ368" s="115"/>
      <c r="BA368" s="116"/>
      <c r="BB368" s="116"/>
      <c r="BC368" s="116"/>
      <c r="BP368" s="117"/>
      <c r="BQ368" s="117"/>
      <c r="BU368" s="117"/>
      <c r="BW368" s="118"/>
      <c r="BY368" s="119"/>
      <c r="BZ368" s="119"/>
      <c r="CA368" s="120"/>
      <c r="CU368" s="120"/>
      <c r="CV368" s="121"/>
      <c r="CW368" s="120"/>
      <c r="CX368" s="122"/>
    </row>
    <row r="369" ht="15.75" customHeight="1">
      <c r="B369" s="111"/>
      <c r="E369" s="112"/>
      <c r="AA369" s="113"/>
      <c r="AV369" s="114"/>
      <c r="AW369" s="114"/>
      <c r="AX369" s="115"/>
      <c r="AY369" s="116"/>
      <c r="AZ369" s="115"/>
      <c r="BA369" s="116"/>
      <c r="BB369" s="116"/>
      <c r="BC369" s="116"/>
      <c r="BP369" s="117"/>
      <c r="BQ369" s="117"/>
      <c r="BU369" s="117"/>
      <c r="BW369" s="118"/>
      <c r="BY369" s="119"/>
      <c r="BZ369" s="119"/>
      <c r="CA369" s="120"/>
      <c r="CU369" s="120"/>
      <c r="CV369" s="121"/>
      <c r="CW369" s="120"/>
      <c r="CX369" s="122"/>
    </row>
    <row r="370" ht="15.75" customHeight="1">
      <c r="B370" s="111"/>
      <c r="E370" s="112"/>
      <c r="AA370" s="113"/>
      <c r="AV370" s="114"/>
      <c r="AW370" s="114"/>
      <c r="AX370" s="115"/>
      <c r="AY370" s="116"/>
      <c r="AZ370" s="115"/>
      <c r="BA370" s="116"/>
      <c r="BB370" s="116"/>
      <c r="BC370" s="116"/>
      <c r="BP370" s="117"/>
      <c r="BQ370" s="117"/>
      <c r="BU370" s="117"/>
      <c r="BW370" s="118"/>
      <c r="BY370" s="119"/>
      <c r="BZ370" s="119"/>
      <c r="CA370" s="120"/>
      <c r="CU370" s="120"/>
      <c r="CV370" s="121"/>
      <c r="CW370" s="120"/>
      <c r="CX370" s="122"/>
    </row>
    <row r="371" ht="15.75" customHeight="1">
      <c r="B371" s="111"/>
      <c r="E371" s="112"/>
      <c r="AA371" s="113"/>
      <c r="AV371" s="114"/>
      <c r="AW371" s="114"/>
      <c r="AX371" s="115"/>
      <c r="AY371" s="116"/>
      <c r="AZ371" s="115"/>
      <c r="BA371" s="116"/>
      <c r="BB371" s="116"/>
      <c r="BC371" s="116"/>
      <c r="BP371" s="117"/>
      <c r="BQ371" s="117"/>
      <c r="BU371" s="117"/>
      <c r="BW371" s="118"/>
      <c r="BY371" s="119"/>
      <c r="BZ371" s="119"/>
      <c r="CA371" s="120"/>
      <c r="CU371" s="120"/>
      <c r="CV371" s="121"/>
      <c r="CW371" s="120"/>
      <c r="CX371" s="122"/>
    </row>
    <row r="372" ht="15.75" customHeight="1">
      <c r="B372" s="111"/>
      <c r="E372" s="112"/>
      <c r="AA372" s="113"/>
      <c r="AV372" s="114"/>
      <c r="AW372" s="114"/>
      <c r="AX372" s="115"/>
      <c r="AY372" s="116"/>
      <c r="AZ372" s="115"/>
      <c r="BA372" s="116"/>
      <c r="BB372" s="116"/>
      <c r="BC372" s="116"/>
      <c r="BP372" s="117"/>
      <c r="BQ372" s="117"/>
      <c r="BU372" s="117"/>
      <c r="BW372" s="118"/>
      <c r="BY372" s="119"/>
      <c r="BZ372" s="119"/>
      <c r="CA372" s="120"/>
      <c r="CU372" s="120"/>
      <c r="CV372" s="121"/>
      <c r="CW372" s="120"/>
      <c r="CX372" s="122"/>
    </row>
    <row r="373" ht="15.75" customHeight="1">
      <c r="B373" s="111"/>
      <c r="E373" s="112"/>
      <c r="AA373" s="113"/>
      <c r="AV373" s="114"/>
      <c r="AW373" s="114"/>
      <c r="AX373" s="115"/>
      <c r="AY373" s="116"/>
      <c r="AZ373" s="115"/>
      <c r="BA373" s="116"/>
      <c r="BB373" s="116"/>
      <c r="BC373" s="116"/>
      <c r="BP373" s="117"/>
      <c r="BQ373" s="117"/>
      <c r="BU373" s="117"/>
      <c r="BW373" s="118"/>
      <c r="BY373" s="119"/>
      <c r="BZ373" s="119"/>
      <c r="CA373" s="120"/>
      <c r="CU373" s="120"/>
      <c r="CV373" s="121"/>
      <c r="CW373" s="120"/>
      <c r="CX373" s="122"/>
    </row>
    <row r="374" ht="15.75" customHeight="1">
      <c r="B374" s="111"/>
      <c r="E374" s="112"/>
      <c r="AA374" s="113"/>
      <c r="AV374" s="114"/>
      <c r="AW374" s="114"/>
      <c r="AX374" s="115"/>
      <c r="AY374" s="116"/>
      <c r="AZ374" s="115"/>
      <c r="BA374" s="116"/>
      <c r="BB374" s="116"/>
      <c r="BC374" s="116"/>
      <c r="BP374" s="117"/>
      <c r="BQ374" s="117"/>
      <c r="BU374" s="117"/>
      <c r="BW374" s="118"/>
      <c r="BY374" s="119"/>
      <c r="BZ374" s="119"/>
      <c r="CA374" s="120"/>
      <c r="CU374" s="120"/>
      <c r="CV374" s="121"/>
      <c r="CW374" s="120"/>
      <c r="CX374" s="122"/>
    </row>
    <row r="375" ht="15.75" customHeight="1">
      <c r="B375" s="111"/>
      <c r="E375" s="112"/>
      <c r="AA375" s="113"/>
      <c r="AV375" s="114"/>
      <c r="AW375" s="114"/>
      <c r="AX375" s="115"/>
      <c r="AY375" s="116"/>
      <c r="AZ375" s="115"/>
      <c r="BA375" s="116"/>
      <c r="BB375" s="116"/>
      <c r="BC375" s="116"/>
      <c r="BP375" s="117"/>
      <c r="BQ375" s="117"/>
      <c r="BU375" s="117"/>
      <c r="BW375" s="118"/>
      <c r="BY375" s="119"/>
      <c r="BZ375" s="119"/>
      <c r="CA375" s="120"/>
      <c r="CU375" s="120"/>
      <c r="CV375" s="121"/>
      <c r="CW375" s="120"/>
      <c r="CX375" s="122"/>
    </row>
    <row r="376" ht="15.75" customHeight="1">
      <c r="B376" s="111"/>
      <c r="E376" s="112"/>
      <c r="AA376" s="113"/>
      <c r="AV376" s="114"/>
      <c r="AW376" s="114"/>
      <c r="AX376" s="115"/>
      <c r="AY376" s="116"/>
      <c r="AZ376" s="115"/>
      <c r="BA376" s="116"/>
      <c r="BB376" s="116"/>
      <c r="BC376" s="116"/>
      <c r="BP376" s="117"/>
      <c r="BQ376" s="117"/>
      <c r="BU376" s="117"/>
      <c r="BW376" s="118"/>
      <c r="BY376" s="119"/>
      <c r="BZ376" s="119"/>
      <c r="CA376" s="120"/>
      <c r="CU376" s="120"/>
      <c r="CV376" s="121"/>
      <c r="CW376" s="120"/>
      <c r="CX376" s="122"/>
    </row>
    <row r="377" ht="15.75" customHeight="1">
      <c r="B377" s="111"/>
      <c r="E377" s="112"/>
      <c r="AA377" s="113"/>
      <c r="AV377" s="114"/>
      <c r="AW377" s="114"/>
      <c r="AX377" s="115"/>
      <c r="AY377" s="116"/>
      <c r="AZ377" s="115"/>
      <c r="BA377" s="116"/>
      <c r="BB377" s="116"/>
      <c r="BC377" s="116"/>
      <c r="BP377" s="117"/>
      <c r="BQ377" s="117"/>
      <c r="BU377" s="117"/>
      <c r="BW377" s="118"/>
      <c r="BY377" s="119"/>
      <c r="BZ377" s="119"/>
      <c r="CA377" s="120"/>
      <c r="CU377" s="120"/>
      <c r="CV377" s="121"/>
      <c r="CW377" s="120"/>
      <c r="CX377" s="122"/>
    </row>
    <row r="378" ht="15.75" customHeight="1">
      <c r="B378" s="111"/>
      <c r="E378" s="112"/>
      <c r="AA378" s="113"/>
      <c r="AV378" s="114"/>
      <c r="AW378" s="114"/>
      <c r="AX378" s="115"/>
      <c r="AY378" s="116"/>
      <c r="AZ378" s="115"/>
      <c r="BA378" s="116"/>
      <c r="BB378" s="116"/>
      <c r="BC378" s="116"/>
      <c r="BP378" s="117"/>
      <c r="BQ378" s="117"/>
      <c r="BU378" s="117"/>
      <c r="BW378" s="118"/>
      <c r="BY378" s="119"/>
      <c r="BZ378" s="119"/>
      <c r="CA378" s="120"/>
      <c r="CU378" s="120"/>
      <c r="CV378" s="121"/>
      <c r="CW378" s="120"/>
      <c r="CX378" s="122"/>
    </row>
    <row r="379" ht="15.75" customHeight="1">
      <c r="B379" s="111"/>
      <c r="E379" s="112"/>
      <c r="AA379" s="113"/>
      <c r="AV379" s="114"/>
      <c r="AW379" s="114"/>
      <c r="AX379" s="115"/>
      <c r="AY379" s="116"/>
      <c r="AZ379" s="115"/>
      <c r="BA379" s="116"/>
      <c r="BB379" s="116"/>
      <c r="BC379" s="116"/>
      <c r="BP379" s="117"/>
      <c r="BQ379" s="117"/>
      <c r="BU379" s="117"/>
      <c r="BW379" s="118"/>
      <c r="BY379" s="119"/>
      <c r="BZ379" s="119"/>
      <c r="CA379" s="120"/>
      <c r="CU379" s="120"/>
      <c r="CV379" s="121"/>
      <c r="CW379" s="120"/>
      <c r="CX379" s="122"/>
    </row>
    <row r="380" ht="15.75" customHeight="1">
      <c r="B380" s="111"/>
      <c r="E380" s="112"/>
      <c r="AA380" s="113"/>
      <c r="AV380" s="114"/>
      <c r="AW380" s="114"/>
      <c r="AX380" s="115"/>
      <c r="AY380" s="116"/>
      <c r="AZ380" s="115"/>
      <c r="BA380" s="116"/>
      <c r="BB380" s="116"/>
      <c r="BC380" s="116"/>
      <c r="BP380" s="117"/>
      <c r="BQ380" s="117"/>
      <c r="BU380" s="117"/>
      <c r="BW380" s="118"/>
      <c r="BY380" s="119"/>
      <c r="BZ380" s="119"/>
      <c r="CA380" s="120"/>
      <c r="CU380" s="120"/>
      <c r="CV380" s="121"/>
      <c r="CW380" s="120"/>
      <c r="CX380" s="122"/>
    </row>
    <row r="381" ht="15.75" customHeight="1">
      <c r="B381" s="111"/>
      <c r="E381" s="112"/>
      <c r="AA381" s="113"/>
      <c r="AV381" s="114"/>
      <c r="AW381" s="114"/>
      <c r="AX381" s="115"/>
      <c r="AY381" s="116"/>
      <c r="AZ381" s="115"/>
      <c r="BA381" s="116"/>
      <c r="BB381" s="116"/>
      <c r="BC381" s="116"/>
      <c r="BP381" s="117"/>
      <c r="BQ381" s="117"/>
      <c r="BU381" s="117"/>
      <c r="BW381" s="118"/>
      <c r="BY381" s="119"/>
      <c r="BZ381" s="119"/>
      <c r="CA381" s="120"/>
      <c r="CU381" s="120"/>
      <c r="CV381" s="121"/>
      <c r="CW381" s="120"/>
      <c r="CX381" s="122"/>
    </row>
    <row r="382" ht="15.75" customHeight="1">
      <c r="B382" s="111"/>
      <c r="E382" s="112"/>
      <c r="AA382" s="113"/>
      <c r="AV382" s="114"/>
      <c r="AW382" s="114"/>
      <c r="AX382" s="115"/>
      <c r="AY382" s="116"/>
      <c r="AZ382" s="115"/>
      <c r="BA382" s="116"/>
      <c r="BB382" s="116"/>
      <c r="BC382" s="116"/>
      <c r="BP382" s="117"/>
      <c r="BQ382" s="117"/>
      <c r="BU382" s="117"/>
      <c r="BW382" s="118"/>
      <c r="BY382" s="119"/>
      <c r="BZ382" s="119"/>
      <c r="CA382" s="120"/>
      <c r="CU382" s="120"/>
      <c r="CV382" s="121"/>
      <c r="CW382" s="120"/>
      <c r="CX382" s="122"/>
    </row>
    <row r="383" ht="15.75" customHeight="1">
      <c r="B383" s="111"/>
      <c r="E383" s="112"/>
      <c r="AA383" s="113"/>
      <c r="AV383" s="114"/>
      <c r="AW383" s="114"/>
      <c r="AX383" s="115"/>
      <c r="AY383" s="116"/>
      <c r="AZ383" s="115"/>
      <c r="BA383" s="116"/>
      <c r="BB383" s="116"/>
      <c r="BC383" s="116"/>
      <c r="BP383" s="117"/>
      <c r="BQ383" s="117"/>
      <c r="BU383" s="117"/>
      <c r="BW383" s="118"/>
      <c r="BY383" s="119"/>
      <c r="BZ383" s="119"/>
      <c r="CA383" s="120"/>
      <c r="CU383" s="120"/>
      <c r="CV383" s="121"/>
      <c r="CW383" s="120"/>
      <c r="CX383" s="122"/>
    </row>
    <row r="384" ht="15.75" customHeight="1">
      <c r="B384" s="111"/>
      <c r="E384" s="112"/>
      <c r="AA384" s="113"/>
      <c r="AV384" s="114"/>
      <c r="AW384" s="114"/>
      <c r="AX384" s="115"/>
      <c r="AY384" s="116"/>
      <c r="AZ384" s="115"/>
      <c r="BA384" s="116"/>
      <c r="BB384" s="116"/>
      <c r="BC384" s="116"/>
      <c r="BP384" s="117"/>
      <c r="BQ384" s="117"/>
      <c r="BU384" s="117"/>
      <c r="BW384" s="118"/>
      <c r="BY384" s="119"/>
      <c r="BZ384" s="119"/>
      <c r="CA384" s="120"/>
      <c r="CU384" s="120"/>
      <c r="CV384" s="121"/>
      <c r="CW384" s="120"/>
      <c r="CX384" s="122"/>
    </row>
    <row r="385" ht="15.75" customHeight="1">
      <c r="B385" s="111"/>
      <c r="E385" s="112"/>
      <c r="AA385" s="113"/>
      <c r="AV385" s="114"/>
      <c r="AW385" s="114"/>
      <c r="AX385" s="115"/>
      <c r="AY385" s="116"/>
      <c r="AZ385" s="115"/>
      <c r="BA385" s="116"/>
      <c r="BB385" s="116"/>
      <c r="BC385" s="116"/>
      <c r="BP385" s="117"/>
      <c r="BQ385" s="117"/>
      <c r="BU385" s="117"/>
      <c r="BW385" s="118"/>
      <c r="BY385" s="119"/>
      <c r="BZ385" s="119"/>
      <c r="CA385" s="120"/>
      <c r="CU385" s="120"/>
      <c r="CV385" s="121"/>
      <c r="CW385" s="120"/>
      <c r="CX385" s="122"/>
    </row>
    <row r="386" ht="15.75" customHeight="1">
      <c r="B386" s="111"/>
      <c r="E386" s="112"/>
      <c r="AA386" s="113"/>
      <c r="AV386" s="114"/>
      <c r="AW386" s="114"/>
      <c r="AX386" s="115"/>
      <c r="AY386" s="116"/>
      <c r="AZ386" s="115"/>
      <c r="BA386" s="116"/>
      <c r="BB386" s="116"/>
      <c r="BC386" s="116"/>
      <c r="BP386" s="117"/>
      <c r="BQ386" s="117"/>
      <c r="BU386" s="117"/>
      <c r="BW386" s="118"/>
      <c r="BY386" s="119"/>
      <c r="BZ386" s="119"/>
      <c r="CA386" s="120"/>
      <c r="CU386" s="120"/>
      <c r="CV386" s="121"/>
      <c r="CW386" s="120"/>
      <c r="CX386" s="122"/>
    </row>
    <row r="387" ht="15.75" customHeight="1">
      <c r="B387" s="111"/>
      <c r="E387" s="112"/>
      <c r="AA387" s="113"/>
      <c r="AV387" s="114"/>
      <c r="AW387" s="114"/>
      <c r="AX387" s="115"/>
      <c r="AY387" s="116"/>
      <c r="AZ387" s="115"/>
      <c r="BA387" s="116"/>
      <c r="BB387" s="116"/>
      <c r="BC387" s="116"/>
      <c r="BP387" s="117"/>
      <c r="BQ387" s="117"/>
      <c r="BU387" s="117"/>
      <c r="BW387" s="118"/>
      <c r="BY387" s="119"/>
      <c r="BZ387" s="119"/>
      <c r="CA387" s="120"/>
      <c r="CU387" s="120"/>
      <c r="CV387" s="121"/>
      <c r="CW387" s="120"/>
      <c r="CX387" s="122"/>
    </row>
    <row r="388" ht="15.75" customHeight="1">
      <c r="B388" s="111"/>
      <c r="E388" s="112"/>
      <c r="AA388" s="113"/>
      <c r="AV388" s="114"/>
      <c r="AW388" s="114"/>
      <c r="AX388" s="115"/>
      <c r="AY388" s="116"/>
      <c r="AZ388" s="115"/>
      <c r="BA388" s="116"/>
      <c r="BB388" s="116"/>
      <c r="BC388" s="116"/>
      <c r="BP388" s="117"/>
      <c r="BQ388" s="117"/>
      <c r="BU388" s="117"/>
      <c r="BW388" s="118"/>
      <c r="BY388" s="119"/>
      <c r="BZ388" s="119"/>
      <c r="CA388" s="120"/>
      <c r="CU388" s="120"/>
      <c r="CV388" s="121"/>
      <c r="CW388" s="120"/>
      <c r="CX388" s="122"/>
    </row>
    <row r="389" ht="15.75" customHeight="1">
      <c r="B389" s="111"/>
      <c r="E389" s="112"/>
      <c r="AA389" s="113"/>
      <c r="AV389" s="114"/>
      <c r="AW389" s="114"/>
      <c r="AX389" s="115"/>
      <c r="AY389" s="116"/>
      <c r="AZ389" s="115"/>
      <c r="BA389" s="116"/>
      <c r="BB389" s="116"/>
      <c r="BC389" s="116"/>
      <c r="BP389" s="117"/>
      <c r="BQ389" s="117"/>
      <c r="BU389" s="117"/>
      <c r="BW389" s="118"/>
      <c r="BY389" s="119"/>
      <c r="BZ389" s="119"/>
      <c r="CA389" s="120"/>
      <c r="CU389" s="120"/>
      <c r="CV389" s="121"/>
      <c r="CW389" s="120"/>
      <c r="CX389" s="122"/>
    </row>
    <row r="390" ht="15.75" customHeight="1">
      <c r="B390" s="111"/>
      <c r="E390" s="112"/>
      <c r="AA390" s="113"/>
      <c r="AV390" s="114"/>
      <c r="AW390" s="114"/>
      <c r="AX390" s="115"/>
      <c r="AY390" s="116"/>
      <c r="AZ390" s="115"/>
      <c r="BA390" s="116"/>
      <c r="BB390" s="116"/>
      <c r="BC390" s="116"/>
      <c r="BP390" s="117"/>
      <c r="BQ390" s="117"/>
      <c r="BU390" s="117"/>
      <c r="BW390" s="118"/>
      <c r="BY390" s="119"/>
      <c r="BZ390" s="119"/>
      <c r="CA390" s="120"/>
      <c r="CU390" s="120"/>
      <c r="CV390" s="121"/>
      <c r="CW390" s="120"/>
      <c r="CX390" s="122"/>
    </row>
    <row r="391" ht="15.75" customHeight="1">
      <c r="B391" s="111"/>
      <c r="E391" s="112"/>
      <c r="AA391" s="113"/>
      <c r="AV391" s="114"/>
      <c r="AW391" s="114"/>
      <c r="AX391" s="115"/>
      <c r="AY391" s="116"/>
      <c r="AZ391" s="115"/>
      <c r="BA391" s="116"/>
      <c r="BB391" s="116"/>
      <c r="BC391" s="116"/>
      <c r="BP391" s="117"/>
      <c r="BQ391" s="117"/>
      <c r="BU391" s="117"/>
      <c r="BW391" s="118"/>
      <c r="BY391" s="119"/>
      <c r="BZ391" s="119"/>
      <c r="CA391" s="120"/>
      <c r="CU391" s="120"/>
      <c r="CV391" s="121"/>
      <c r="CW391" s="120"/>
      <c r="CX391" s="122"/>
    </row>
    <row r="392" ht="15.75" customHeight="1">
      <c r="B392" s="111"/>
      <c r="E392" s="112"/>
      <c r="AA392" s="113"/>
      <c r="AV392" s="114"/>
      <c r="AW392" s="114"/>
      <c r="AX392" s="115"/>
      <c r="AY392" s="116"/>
      <c r="AZ392" s="115"/>
      <c r="BA392" s="116"/>
      <c r="BB392" s="116"/>
      <c r="BC392" s="116"/>
      <c r="BP392" s="117"/>
      <c r="BQ392" s="117"/>
      <c r="BU392" s="117"/>
      <c r="BW392" s="118"/>
      <c r="BY392" s="119"/>
      <c r="BZ392" s="119"/>
      <c r="CA392" s="120"/>
      <c r="CU392" s="120"/>
      <c r="CV392" s="121"/>
      <c r="CW392" s="120"/>
      <c r="CX392" s="122"/>
    </row>
    <row r="393" ht="15.75" customHeight="1">
      <c r="B393" s="111"/>
      <c r="E393" s="112"/>
      <c r="AA393" s="113"/>
      <c r="AV393" s="114"/>
      <c r="AW393" s="114"/>
      <c r="AX393" s="115"/>
      <c r="AY393" s="116"/>
      <c r="AZ393" s="115"/>
      <c r="BA393" s="116"/>
      <c r="BB393" s="116"/>
      <c r="BC393" s="116"/>
      <c r="BP393" s="117"/>
      <c r="BQ393" s="117"/>
      <c r="BU393" s="117"/>
      <c r="BW393" s="118"/>
      <c r="BY393" s="119"/>
      <c r="BZ393" s="119"/>
      <c r="CA393" s="120"/>
      <c r="CU393" s="120"/>
      <c r="CV393" s="121"/>
      <c r="CW393" s="120"/>
      <c r="CX393" s="122"/>
    </row>
    <row r="394" ht="15.75" customHeight="1">
      <c r="B394" s="111"/>
      <c r="E394" s="112"/>
      <c r="AA394" s="113"/>
      <c r="AV394" s="114"/>
      <c r="AW394" s="114"/>
      <c r="AX394" s="115"/>
      <c r="AY394" s="116"/>
      <c r="AZ394" s="115"/>
      <c r="BA394" s="116"/>
      <c r="BB394" s="116"/>
      <c r="BC394" s="116"/>
      <c r="BP394" s="117"/>
      <c r="BQ394" s="117"/>
      <c r="BU394" s="117"/>
      <c r="BW394" s="118"/>
      <c r="BY394" s="119"/>
      <c r="BZ394" s="119"/>
      <c r="CA394" s="120"/>
      <c r="CU394" s="120"/>
      <c r="CV394" s="121"/>
      <c r="CW394" s="120"/>
      <c r="CX394" s="122"/>
    </row>
    <row r="395" ht="15.75" customHeight="1">
      <c r="B395" s="111"/>
      <c r="E395" s="112"/>
      <c r="AA395" s="113"/>
      <c r="AV395" s="114"/>
      <c r="AW395" s="114"/>
      <c r="AX395" s="115"/>
      <c r="AY395" s="116"/>
      <c r="AZ395" s="115"/>
      <c r="BA395" s="116"/>
      <c r="BB395" s="116"/>
      <c r="BC395" s="116"/>
      <c r="BP395" s="117"/>
      <c r="BQ395" s="117"/>
      <c r="BU395" s="117"/>
      <c r="BW395" s="118"/>
      <c r="BY395" s="119"/>
      <c r="BZ395" s="119"/>
      <c r="CA395" s="120"/>
      <c r="CU395" s="120"/>
      <c r="CV395" s="121"/>
      <c r="CW395" s="120"/>
      <c r="CX395" s="122"/>
    </row>
    <row r="396" ht="15.75" customHeight="1">
      <c r="B396" s="111"/>
      <c r="E396" s="112"/>
      <c r="AA396" s="113"/>
      <c r="AV396" s="114"/>
      <c r="AW396" s="114"/>
      <c r="AX396" s="115"/>
      <c r="AY396" s="116"/>
      <c r="AZ396" s="115"/>
      <c r="BA396" s="116"/>
      <c r="BB396" s="116"/>
      <c r="BC396" s="116"/>
      <c r="BP396" s="117"/>
      <c r="BQ396" s="117"/>
      <c r="BU396" s="117"/>
      <c r="BW396" s="118"/>
      <c r="BY396" s="119"/>
      <c r="BZ396" s="119"/>
      <c r="CA396" s="120"/>
      <c r="CU396" s="120"/>
      <c r="CV396" s="121"/>
      <c r="CW396" s="120"/>
      <c r="CX396" s="122"/>
    </row>
    <row r="397" ht="15.75" customHeight="1">
      <c r="B397" s="111"/>
      <c r="E397" s="112"/>
      <c r="AA397" s="113"/>
      <c r="AV397" s="114"/>
      <c r="AW397" s="114"/>
      <c r="AX397" s="115"/>
      <c r="AY397" s="116"/>
      <c r="AZ397" s="115"/>
      <c r="BA397" s="116"/>
      <c r="BB397" s="116"/>
      <c r="BC397" s="116"/>
      <c r="BP397" s="117"/>
      <c r="BQ397" s="117"/>
      <c r="BU397" s="117"/>
      <c r="BW397" s="118"/>
      <c r="BY397" s="119"/>
      <c r="BZ397" s="119"/>
      <c r="CA397" s="120"/>
      <c r="CU397" s="120"/>
      <c r="CV397" s="121"/>
      <c r="CW397" s="120"/>
      <c r="CX397" s="122"/>
    </row>
    <row r="398" ht="15.75" customHeight="1">
      <c r="B398" s="111"/>
      <c r="E398" s="112"/>
      <c r="AA398" s="113"/>
      <c r="AV398" s="114"/>
      <c r="AW398" s="114"/>
      <c r="AX398" s="115"/>
      <c r="AY398" s="116"/>
      <c r="AZ398" s="115"/>
      <c r="BA398" s="116"/>
      <c r="BB398" s="116"/>
      <c r="BC398" s="116"/>
      <c r="BP398" s="117"/>
      <c r="BQ398" s="117"/>
      <c r="BU398" s="117"/>
      <c r="BW398" s="118"/>
      <c r="BY398" s="119"/>
      <c r="BZ398" s="119"/>
      <c r="CA398" s="120"/>
      <c r="CU398" s="120"/>
      <c r="CV398" s="121"/>
      <c r="CW398" s="120"/>
      <c r="CX398" s="122"/>
    </row>
    <row r="399" ht="15.75" customHeight="1">
      <c r="B399" s="111"/>
      <c r="E399" s="112"/>
      <c r="AA399" s="113"/>
      <c r="AV399" s="114"/>
      <c r="AW399" s="114"/>
      <c r="AX399" s="115"/>
      <c r="AY399" s="116"/>
      <c r="AZ399" s="115"/>
      <c r="BA399" s="116"/>
      <c r="BB399" s="116"/>
      <c r="BC399" s="116"/>
      <c r="BP399" s="117"/>
      <c r="BQ399" s="117"/>
      <c r="BU399" s="117"/>
      <c r="BW399" s="118"/>
      <c r="BY399" s="119"/>
      <c r="BZ399" s="119"/>
      <c r="CA399" s="120"/>
      <c r="CU399" s="120"/>
      <c r="CV399" s="121"/>
      <c r="CW399" s="120"/>
      <c r="CX399" s="122"/>
    </row>
    <row r="400" ht="15.75" customHeight="1">
      <c r="B400" s="111"/>
      <c r="E400" s="112"/>
      <c r="AA400" s="113"/>
      <c r="AV400" s="114"/>
      <c r="AW400" s="114"/>
      <c r="AX400" s="115"/>
      <c r="AY400" s="116"/>
      <c r="AZ400" s="115"/>
      <c r="BA400" s="116"/>
      <c r="BB400" s="116"/>
      <c r="BC400" s="116"/>
      <c r="BP400" s="117"/>
      <c r="BQ400" s="117"/>
      <c r="BU400" s="117"/>
      <c r="BW400" s="118"/>
      <c r="BY400" s="119"/>
      <c r="BZ400" s="119"/>
      <c r="CA400" s="120"/>
      <c r="CU400" s="120"/>
      <c r="CV400" s="121"/>
      <c r="CW400" s="120"/>
      <c r="CX400" s="122"/>
    </row>
    <row r="401" ht="15.75" customHeight="1">
      <c r="B401" s="111"/>
      <c r="E401" s="112"/>
      <c r="AA401" s="113"/>
      <c r="AV401" s="114"/>
      <c r="AW401" s="114"/>
      <c r="AX401" s="115"/>
      <c r="AY401" s="116"/>
      <c r="AZ401" s="115"/>
      <c r="BA401" s="116"/>
      <c r="BB401" s="116"/>
      <c r="BC401" s="116"/>
      <c r="BP401" s="117"/>
      <c r="BQ401" s="117"/>
      <c r="BU401" s="117"/>
      <c r="BW401" s="118"/>
      <c r="BY401" s="119"/>
      <c r="BZ401" s="119"/>
      <c r="CA401" s="120"/>
      <c r="CU401" s="120"/>
      <c r="CV401" s="121"/>
      <c r="CW401" s="120"/>
      <c r="CX401" s="122"/>
    </row>
    <row r="402" ht="15.75" customHeight="1">
      <c r="B402" s="111"/>
      <c r="E402" s="112"/>
      <c r="AA402" s="113"/>
      <c r="AV402" s="114"/>
      <c r="AW402" s="114"/>
      <c r="AX402" s="115"/>
      <c r="AY402" s="116"/>
      <c r="AZ402" s="115"/>
      <c r="BA402" s="116"/>
      <c r="BB402" s="116"/>
      <c r="BC402" s="116"/>
      <c r="BP402" s="117"/>
      <c r="BQ402" s="117"/>
      <c r="BU402" s="117"/>
      <c r="BW402" s="118"/>
      <c r="BY402" s="119"/>
      <c r="BZ402" s="119"/>
      <c r="CA402" s="120"/>
      <c r="CU402" s="120"/>
      <c r="CV402" s="121"/>
      <c r="CW402" s="120"/>
      <c r="CX402" s="122"/>
    </row>
    <row r="403" ht="15.75" customHeight="1">
      <c r="B403" s="111"/>
      <c r="E403" s="112"/>
      <c r="AA403" s="113"/>
      <c r="AV403" s="114"/>
      <c r="AW403" s="114"/>
      <c r="AX403" s="115"/>
      <c r="AY403" s="116"/>
      <c r="AZ403" s="115"/>
      <c r="BA403" s="116"/>
      <c r="BB403" s="116"/>
      <c r="BC403" s="116"/>
      <c r="BP403" s="117"/>
      <c r="BQ403" s="117"/>
      <c r="BU403" s="117"/>
      <c r="BW403" s="118"/>
      <c r="BY403" s="119"/>
      <c r="BZ403" s="119"/>
      <c r="CA403" s="120"/>
      <c r="CU403" s="120"/>
      <c r="CV403" s="121"/>
      <c r="CW403" s="120"/>
      <c r="CX403" s="122"/>
    </row>
    <row r="404" ht="15.75" customHeight="1">
      <c r="B404" s="111"/>
      <c r="E404" s="112"/>
      <c r="AA404" s="113"/>
      <c r="AV404" s="114"/>
      <c r="AW404" s="114"/>
      <c r="AX404" s="115"/>
      <c r="AY404" s="116"/>
      <c r="AZ404" s="115"/>
      <c r="BA404" s="116"/>
      <c r="BB404" s="116"/>
      <c r="BC404" s="116"/>
      <c r="BP404" s="117"/>
      <c r="BQ404" s="117"/>
      <c r="BU404" s="117"/>
      <c r="BW404" s="118"/>
      <c r="BY404" s="119"/>
      <c r="BZ404" s="119"/>
      <c r="CA404" s="120"/>
      <c r="CU404" s="120"/>
      <c r="CV404" s="121"/>
      <c r="CW404" s="120"/>
      <c r="CX404" s="122"/>
    </row>
    <row r="405" ht="15.75" customHeight="1">
      <c r="B405" s="111"/>
      <c r="E405" s="112"/>
      <c r="AA405" s="113"/>
      <c r="AV405" s="114"/>
      <c r="AW405" s="114"/>
      <c r="AX405" s="115"/>
      <c r="AY405" s="116"/>
      <c r="AZ405" s="115"/>
      <c r="BA405" s="116"/>
      <c r="BB405" s="116"/>
      <c r="BC405" s="116"/>
      <c r="BP405" s="117"/>
      <c r="BQ405" s="117"/>
      <c r="BU405" s="117"/>
      <c r="BW405" s="118"/>
      <c r="BY405" s="119"/>
      <c r="BZ405" s="119"/>
      <c r="CA405" s="120"/>
      <c r="CU405" s="120"/>
      <c r="CV405" s="121"/>
      <c r="CW405" s="120"/>
      <c r="CX405" s="122"/>
    </row>
    <row r="406" ht="15.75" customHeight="1">
      <c r="B406" s="111"/>
      <c r="E406" s="112"/>
      <c r="AA406" s="113"/>
      <c r="AV406" s="114"/>
      <c r="AW406" s="114"/>
      <c r="AX406" s="115"/>
      <c r="AY406" s="116"/>
      <c r="AZ406" s="115"/>
      <c r="BA406" s="116"/>
      <c r="BB406" s="116"/>
      <c r="BC406" s="116"/>
      <c r="BP406" s="117"/>
      <c r="BQ406" s="117"/>
      <c r="BU406" s="117"/>
      <c r="BW406" s="118"/>
      <c r="BY406" s="119"/>
      <c r="BZ406" s="119"/>
      <c r="CA406" s="120"/>
      <c r="CU406" s="120"/>
      <c r="CV406" s="121"/>
      <c r="CW406" s="120"/>
      <c r="CX406" s="122"/>
    </row>
    <row r="407" ht="15.75" customHeight="1">
      <c r="B407" s="111"/>
      <c r="E407" s="112"/>
      <c r="AA407" s="113"/>
      <c r="AV407" s="114"/>
      <c r="AW407" s="114"/>
      <c r="AX407" s="115"/>
      <c r="AY407" s="116"/>
      <c r="AZ407" s="115"/>
      <c r="BA407" s="116"/>
      <c r="BB407" s="116"/>
      <c r="BC407" s="116"/>
      <c r="BP407" s="117"/>
      <c r="BQ407" s="117"/>
      <c r="BU407" s="117"/>
      <c r="BW407" s="118"/>
      <c r="BY407" s="119"/>
      <c r="BZ407" s="119"/>
      <c r="CA407" s="120"/>
      <c r="CU407" s="120"/>
      <c r="CV407" s="121"/>
      <c r="CW407" s="120"/>
      <c r="CX407" s="122"/>
    </row>
    <row r="408" ht="15.75" customHeight="1">
      <c r="B408" s="111"/>
      <c r="E408" s="112"/>
      <c r="AA408" s="113"/>
      <c r="AV408" s="114"/>
      <c r="AW408" s="114"/>
      <c r="AX408" s="115"/>
      <c r="AY408" s="116"/>
      <c r="AZ408" s="115"/>
      <c r="BA408" s="116"/>
      <c r="BB408" s="116"/>
      <c r="BC408" s="116"/>
      <c r="BP408" s="117"/>
      <c r="BQ408" s="117"/>
      <c r="BU408" s="117"/>
      <c r="BW408" s="118"/>
      <c r="BY408" s="119"/>
      <c r="BZ408" s="119"/>
      <c r="CA408" s="120"/>
      <c r="CU408" s="120"/>
      <c r="CV408" s="121"/>
      <c r="CW408" s="120"/>
      <c r="CX408" s="122"/>
    </row>
    <row r="409" ht="15.75" customHeight="1">
      <c r="B409" s="111"/>
      <c r="E409" s="112"/>
      <c r="AA409" s="113"/>
      <c r="AV409" s="114"/>
      <c r="AW409" s="114"/>
      <c r="AX409" s="115"/>
      <c r="AY409" s="116"/>
      <c r="AZ409" s="115"/>
      <c r="BA409" s="116"/>
      <c r="BB409" s="116"/>
      <c r="BC409" s="116"/>
      <c r="BP409" s="117"/>
      <c r="BQ409" s="117"/>
      <c r="BU409" s="117"/>
      <c r="BW409" s="118"/>
      <c r="BY409" s="119"/>
      <c r="BZ409" s="119"/>
      <c r="CA409" s="120"/>
      <c r="CU409" s="120"/>
      <c r="CV409" s="121"/>
      <c r="CW409" s="120"/>
      <c r="CX409" s="122"/>
    </row>
    <row r="410" ht="15.75" customHeight="1">
      <c r="B410" s="111"/>
      <c r="E410" s="112"/>
      <c r="AA410" s="113"/>
      <c r="AV410" s="114"/>
      <c r="AW410" s="114"/>
      <c r="AX410" s="115"/>
      <c r="AY410" s="116"/>
      <c r="AZ410" s="115"/>
      <c r="BA410" s="116"/>
      <c r="BB410" s="116"/>
      <c r="BC410" s="116"/>
      <c r="BP410" s="117"/>
      <c r="BQ410" s="117"/>
      <c r="BU410" s="117"/>
      <c r="BW410" s="118"/>
      <c r="BY410" s="119"/>
      <c r="BZ410" s="119"/>
      <c r="CA410" s="120"/>
      <c r="CU410" s="120"/>
      <c r="CV410" s="121"/>
      <c r="CW410" s="120"/>
      <c r="CX410" s="122"/>
    </row>
    <row r="411" ht="15.75" customHeight="1">
      <c r="B411" s="111"/>
      <c r="E411" s="112"/>
      <c r="AA411" s="113"/>
      <c r="AV411" s="114"/>
      <c r="AW411" s="114"/>
      <c r="AX411" s="115"/>
      <c r="AY411" s="116"/>
      <c r="AZ411" s="115"/>
      <c r="BA411" s="116"/>
      <c r="BB411" s="116"/>
      <c r="BC411" s="116"/>
      <c r="BP411" s="117"/>
      <c r="BQ411" s="117"/>
      <c r="BU411" s="117"/>
      <c r="BW411" s="118"/>
      <c r="BY411" s="119"/>
      <c r="BZ411" s="119"/>
      <c r="CA411" s="120"/>
      <c r="CU411" s="120"/>
      <c r="CV411" s="121"/>
      <c r="CW411" s="120"/>
      <c r="CX411" s="122"/>
    </row>
    <row r="412" ht="15.75" customHeight="1">
      <c r="B412" s="111"/>
      <c r="E412" s="112"/>
      <c r="AA412" s="113"/>
      <c r="AV412" s="114"/>
      <c r="AW412" s="114"/>
      <c r="AX412" s="115"/>
      <c r="AY412" s="116"/>
      <c r="AZ412" s="115"/>
      <c r="BA412" s="116"/>
      <c r="BB412" s="116"/>
      <c r="BC412" s="116"/>
      <c r="BP412" s="117"/>
      <c r="BQ412" s="117"/>
      <c r="BU412" s="117"/>
      <c r="BW412" s="118"/>
      <c r="BY412" s="119"/>
      <c r="BZ412" s="119"/>
      <c r="CA412" s="120"/>
      <c r="CU412" s="120"/>
      <c r="CV412" s="121"/>
      <c r="CW412" s="120"/>
      <c r="CX412" s="122"/>
    </row>
    <row r="413" ht="15.75" customHeight="1">
      <c r="B413" s="111"/>
      <c r="E413" s="112"/>
      <c r="AA413" s="113"/>
      <c r="AV413" s="114"/>
      <c r="AW413" s="114"/>
      <c r="AX413" s="115"/>
      <c r="AY413" s="116"/>
      <c r="AZ413" s="115"/>
      <c r="BA413" s="116"/>
      <c r="BB413" s="116"/>
      <c r="BC413" s="116"/>
      <c r="BP413" s="117"/>
      <c r="BQ413" s="117"/>
      <c r="BU413" s="117"/>
      <c r="BW413" s="118"/>
      <c r="BY413" s="119"/>
      <c r="BZ413" s="119"/>
      <c r="CA413" s="120"/>
      <c r="CU413" s="120"/>
      <c r="CV413" s="121"/>
      <c r="CW413" s="120"/>
      <c r="CX413" s="122"/>
    </row>
    <row r="414" ht="15.75" customHeight="1">
      <c r="B414" s="111"/>
      <c r="E414" s="112"/>
      <c r="AA414" s="113"/>
      <c r="AV414" s="114"/>
      <c r="AW414" s="114"/>
      <c r="AX414" s="115"/>
      <c r="AY414" s="116"/>
      <c r="AZ414" s="115"/>
      <c r="BA414" s="116"/>
      <c r="BB414" s="116"/>
      <c r="BC414" s="116"/>
      <c r="BP414" s="117"/>
      <c r="BQ414" s="117"/>
      <c r="BU414" s="117"/>
      <c r="BW414" s="118"/>
      <c r="BY414" s="119"/>
      <c r="BZ414" s="119"/>
      <c r="CA414" s="120"/>
      <c r="CU414" s="120"/>
      <c r="CV414" s="121"/>
      <c r="CW414" s="120"/>
      <c r="CX414" s="122"/>
    </row>
    <row r="415" ht="15.75" customHeight="1">
      <c r="B415" s="111"/>
      <c r="E415" s="112"/>
      <c r="AA415" s="113"/>
      <c r="AV415" s="114"/>
      <c r="AW415" s="114"/>
      <c r="AX415" s="115"/>
      <c r="AY415" s="116"/>
      <c r="AZ415" s="115"/>
      <c r="BA415" s="116"/>
      <c r="BB415" s="116"/>
      <c r="BC415" s="116"/>
      <c r="BP415" s="117"/>
      <c r="BQ415" s="117"/>
      <c r="BU415" s="117"/>
      <c r="BW415" s="118"/>
      <c r="BY415" s="119"/>
      <c r="BZ415" s="119"/>
      <c r="CA415" s="120"/>
      <c r="CU415" s="120"/>
      <c r="CV415" s="121"/>
      <c r="CW415" s="120"/>
      <c r="CX415" s="122"/>
    </row>
    <row r="416" ht="15.75" customHeight="1">
      <c r="B416" s="111"/>
      <c r="E416" s="112"/>
      <c r="AA416" s="113"/>
      <c r="AV416" s="114"/>
      <c r="AW416" s="114"/>
      <c r="AX416" s="115"/>
      <c r="AY416" s="116"/>
      <c r="AZ416" s="115"/>
      <c r="BA416" s="116"/>
      <c r="BB416" s="116"/>
      <c r="BC416" s="116"/>
      <c r="BP416" s="117"/>
      <c r="BQ416" s="117"/>
      <c r="BU416" s="117"/>
      <c r="BW416" s="118"/>
      <c r="BY416" s="119"/>
      <c r="BZ416" s="119"/>
      <c r="CA416" s="120"/>
      <c r="CU416" s="120"/>
      <c r="CV416" s="121"/>
      <c r="CW416" s="120"/>
      <c r="CX416" s="122"/>
    </row>
    <row r="417" ht="15.75" customHeight="1">
      <c r="B417" s="111"/>
      <c r="E417" s="112"/>
      <c r="AA417" s="113"/>
      <c r="AV417" s="114"/>
      <c r="AW417" s="114"/>
      <c r="AX417" s="115"/>
      <c r="AY417" s="116"/>
      <c r="AZ417" s="115"/>
      <c r="BA417" s="116"/>
      <c r="BB417" s="116"/>
      <c r="BC417" s="116"/>
      <c r="BP417" s="117"/>
      <c r="BQ417" s="117"/>
      <c r="BU417" s="117"/>
      <c r="BW417" s="118"/>
      <c r="BY417" s="119"/>
      <c r="BZ417" s="119"/>
      <c r="CA417" s="120"/>
      <c r="CU417" s="120"/>
      <c r="CV417" s="121"/>
      <c r="CW417" s="120"/>
      <c r="CX417" s="122"/>
    </row>
    <row r="418" ht="15.75" customHeight="1">
      <c r="B418" s="111"/>
      <c r="E418" s="112"/>
      <c r="AA418" s="113"/>
      <c r="AV418" s="114"/>
      <c r="AW418" s="114"/>
      <c r="AX418" s="115"/>
      <c r="AY418" s="116"/>
      <c r="AZ418" s="115"/>
      <c r="BA418" s="116"/>
      <c r="BB418" s="116"/>
      <c r="BC418" s="116"/>
      <c r="BP418" s="117"/>
      <c r="BQ418" s="117"/>
      <c r="BU418" s="117"/>
      <c r="BW418" s="118"/>
      <c r="BY418" s="119"/>
      <c r="BZ418" s="119"/>
      <c r="CA418" s="120"/>
      <c r="CU418" s="120"/>
      <c r="CV418" s="121"/>
      <c r="CW418" s="120"/>
      <c r="CX418" s="122"/>
    </row>
    <row r="419" ht="15.75" customHeight="1">
      <c r="B419" s="111"/>
      <c r="E419" s="112"/>
      <c r="AA419" s="113"/>
      <c r="AV419" s="114"/>
      <c r="AW419" s="114"/>
      <c r="AX419" s="115"/>
      <c r="AY419" s="116"/>
      <c r="AZ419" s="115"/>
      <c r="BA419" s="116"/>
      <c r="BB419" s="116"/>
      <c r="BC419" s="116"/>
      <c r="BP419" s="117"/>
      <c r="BQ419" s="117"/>
      <c r="BU419" s="117"/>
      <c r="BW419" s="118"/>
      <c r="BY419" s="119"/>
      <c r="BZ419" s="119"/>
      <c r="CA419" s="120"/>
      <c r="CU419" s="120"/>
      <c r="CV419" s="121"/>
      <c r="CW419" s="120"/>
      <c r="CX419" s="122"/>
    </row>
    <row r="420" ht="15.75" customHeight="1">
      <c r="B420" s="111"/>
      <c r="E420" s="112"/>
      <c r="AA420" s="113"/>
      <c r="AV420" s="114"/>
      <c r="AW420" s="114"/>
      <c r="AX420" s="115"/>
      <c r="AY420" s="116"/>
      <c r="AZ420" s="115"/>
      <c r="BA420" s="116"/>
      <c r="BB420" s="116"/>
      <c r="BC420" s="116"/>
      <c r="BP420" s="117"/>
      <c r="BQ420" s="117"/>
      <c r="BU420" s="117"/>
      <c r="BW420" s="118"/>
      <c r="BY420" s="119"/>
      <c r="BZ420" s="119"/>
      <c r="CA420" s="120"/>
      <c r="CU420" s="120"/>
      <c r="CV420" s="121"/>
      <c r="CW420" s="120"/>
      <c r="CX420" s="122"/>
    </row>
    <row r="421" ht="15.75" customHeight="1">
      <c r="B421" s="111"/>
      <c r="E421" s="112"/>
      <c r="AA421" s="113"/>
      <c r="AV421" s="114"/>
      <c r="AW421" s="114"/>
      <c r="AX421" s="115"/>
      <c r="AY421" s="116"/>
      <c r="AZ421" s="115"/>
      <c r="BA421" s="116"/>
      <c r="BB421" s="116"/>
      <c r="BC421" s="116"/>
      <c r="BP421" s="117"/>
      <c r="BQ421" s="117"/>
      <c r="BU421" s="117"/>
      <c r="BW421" s="118"/>
      <c r="BY421" s="119"/>
      <c r="BZ421" s="119"/>
      <c r="CA421" s="120"/>
      <c r="CU421" s="120"/>
      <c r="CV421" s="121"/>
      <c r="CW421" s="120"/>
      <c r="CX421" s="122"/>
    </row>
    <row r="422" ht="15.75" customHeight="1">
      <c r="B422" s="111"/>
      <c r="E422" s="112"/>
      <c r="AA422" s="113"/>
      <c r="AV422" s="114"/>
      <c r="AW422" s="114"/>
      <c r="AX422" s="115"/>
      <c r="AY422" s="116"/>
      <c r="AZ422" s="115"/>
      <c r="BA422" s="116"/>
      <c r="BB422" s="116"/>
      <c r="BC422" s="116"/>
      <c r="BP422" s="117"/>
      <c r="BQ422" s="117"/>
      <c r="BU422" s="117"/>
      <c r="BW422" s="118"/>
      <c r="BY422" s="119"/>
      <c r="BZ422" s="119"/>
      <c r="CA422" s="120"/>
      <c r="CU422" s="120"/>
      <c r="CV422" s="121"/>
      <c r="CW422" s="120"/>
      <c r="CX422" s="122"/>
    </row>
    <row r="423" ht="15.75" customHeight="1">
      <c r="B423" s="111"/>
      <c r="E423" s="112"/>
      <c r="AA423" s="113"/>
      <c r="AV423" s="114"/>
      <c r="AW423" s="114"/>
      <c r="AX423" s="115"/>
      <c r="AY423" s="116"/>
      <c r="AZ423" s="115"/>
      <c r="BA423" s="116"/>
      <c r="BB423" s="116"/>
      <c r="BC423" s="116"/>
      <c r="BP423" s="117"/>
      <c r="BQ423" s="117"/>
      <c r="BU423" s="117"/>
      <c r="BW423" s="118"/>
      <c r="BY423" s="119"/>
      <c r="BZ423" s="119"/>
      <c r="CA423" s="120"/>
      <c r="CU423" s="120"/>
      <c r="CV423" s="121"/>
      <c r="CW423" s="120"/>
      <c r="CX423" s="122"/>
    </row>
    <row r="424" ht="15.75" customHeight="1">
      <c r="B424" s="111"/>
      <c r="E424" s="112"/>
      <c r="AA424" s="113"/>
      <c r="AV424" s="114"/>
      <c r="AW424" s="114"/>
      <c r="AX424" s="115"/>
      <c r="AY424" s="116"/>
      <c r="AZ424" s="115"/>
      <c r="BA424" s="116"/>
      <c r="BB424" s="116"/>
      <c r="BC424" s="116"/>
      <c r="BP424" s="117"/>
      <c r="BQ424" s="117"/>
      <c r="BU424" s="117"/>
      <c r="BW424" s="118"/>
      <c r="BY424" s="119"/>
      <c r="BZ424" s="119"/>
      <c r="CA424" s="120"/>
      <c r="CU424" s="120"/>
      <c r="CV424" s="121"/>
      <c r="CW424" s="120"/>
      <c r="CX424" s="122"/>
    </row>
    <row r="425" ht="15.75" customHeight="1">
      <c r="B425" s="111"/>
      <c r="E425" s="112"/>
      <c r="AA425" s="113"/>
      <c r="AV425" s="114"/>
      <c r="AW425" s="114"/>
      <c r="AX425" s="115"/>
      <c r="AY425" s="116"/>
      <c r="AZ425" s="115"/>
      <c r="BA425" s="116"/>
      <c r="BB425" s="116"/>
      <c r="BC425" s="116"/>
      <c r="BP425" s="117"/>
      <c r="BQ425" s="117"/>
      <c r="BU425" s="117"/>
      <c r="BW425" s="118"/>
      <c r="BY425" s="119"/>
      <c r="BZ425" s="119"/>
      <c r="CA425" s="120"/>
      <c r="CU425" s="120"/>
      <c r="CV425" s="121"/>
      <c r="CW425" s="120"/>
      <c r="CX425" s="122"/>
    </row>
    <row r="426" ht="15.75" customHeight="1">
      <c r="B426" s="111"/>
      <c r="E426" s="112"/>
      <c r="AA426" s="113"/>
      <c r="AV426" s="114"/>
      <c r="AW426" s="114"/>
      <c r="AX426" s="115"/>
      <c r="AY426" s="116"/>
      <c r="AZ426" s="115"/>
      <c r="BA426" s="116"/>
      <c r="BB426" s="116"/>
      <c r="BC426" s="116"/>
      <c r="BP426" s="117"/>
      <c r="BQ426" s="117"/>
      <c r="BU426" s="117"/>
      <c r="BW426" s="118"/>
      <c r="BY426" s="119"/>
      <c r="BZ426" s="119"/>
      <c r="CA426" s="120"/>
      <c r="CU426" s="120"/>
      <c r="CV426" s="121"/>
      <c r="CW426" s="120"/>
      <c r="CX426" s="122"/>
    </row>
    <row r="427" ht="15.75" customHeight="1">
      <c r="B427" s="111"/>
      <c r="E427" s="112"/>
      <c r="AA427" s="113"/>
      <c r="AV427" s="114"/>
      <c r="AW427" s="114"/>
      <c r="AX427" s="115"/>
      <c r="AY427" s="116"/>
      <c r="AZ427" s="115"/>
      <c r="BA427" s="116"/>
      <c r="BB427" s="116"/>
      <c r="BC427" s="116"/>
      <c r="BP427" s="117"/>
      <c r="BQ427" s="117"/>
      <c r="BU427" s="117"/>
      <c r="BW427" s="118"/>
      <c r="BY427" s="119"/>
      <c r="BZ427" s="119"/>
      <c r="CA427" s="120"/>
      <c r="CU427" s="120"/>
      <c r="CV427" s="121"/>
      <c r="CW427" s="120"/>
      <c r="CX427" s="122"/>
    </row>
    <row r="428" ht="15.75" customHeight="1">
      <c r="B428" s="111"/>
      <c r="E428" s="112"/>
      <c r="AA428" s="113"/>
      <c r="AV428" s="114"/>
      <c r="AW428" s="114"/>
      <c r="AX428" s="115"/>
      <c r="AY428" s="116"/>
      <c r="AZ428" s="115"/>
      <c r="BA428" s="116"/>
      <c r="BB428" s="116"/>
      <c r="BC428" s="116"/>
      <c r="BP428" s="117"/>
      <c r="BQ428" s="117"/>
      <c r="BU428" s="117"/>
      <c r="BW428" s="118"/>
      <c r="BY428" s="119"/>
      <c r="BZ428" s="119"/>
      <c r="CA428" s="120"/>
      <c r="CU428" s="120"/>
      <c r="CV428" s="121"/>
      <c r="CW428" s="120"/>
      <c r="CX428" s="122"/>
    </row>
    <row r="429" ht="15.75" customHeight="1">
      <c r="B429" s="111"/>
      <c r="E429" s="112"/>
      <c r="AA429" s="113"/>
      <c r="AV429" s="114"/>
      <c r="AW429" s="114"/>
      <c r="AX429" s="115"/>
      <c r="AY429" s="116"/>
      <c r="AZ429" s="115"/>
      <c r="BA429" s="116"/>
      <c r="BB429" s="116"/>
      <c r="BC429" s="116"/>
      <c r="BP429" s="117"/>
      <c r="BQ429" s="117"/>
      <c r="BU429" s="117"/>
      <c r="BW429" s="118"/>
      <c r="BY429" s="119"/>
      <c r="BZ429" s="119"/>
      <c r="CA429" s="120"/>
      <c r="CU429" s="120"/>
      <c r="CV429" s="121"/>
      <c r="CW429" s="120"/>
      <c r="CX429" s="122"/>
    </row>
    <row r="430" ht="15.75" customHeight="1">
      <c r="B430" s="111"/>
      <c r="E430" s="112"/>
      <c r="AA430" s="113"/>
      <c r="AV430" s="114"/>
      <c r="AW430" s="114"/>
      <c r="AX430" s="115"/>
      <c r="AY430" s="116"/>
      <c r="AZ430" s="115"/>
      <c r="BA430" s="116"/>
      <c r="BB430" s="116"/>
      <c r="BC430" s="116"/>
      <c r="BP430" s="117"/>
      <c r="BQ430" s="117"/>
      <c r="BU430" s="117"/>
      <c r="BW430" s="118"/>
      <c r="BY430" s="119"/>
      <c r="BZ430" s="119"/>
      <c r="CA430" s="120"/>
      <c r="CU430" s="120"/>
      <c r="CV430" s="121"/>
      <c r="CW430" s="120"/>
      <c r="CX430" s="122"/>
    </row>
    <row r="431" ht="15.75" customHeight="1">
      <c r="B431" s="111"/>
      <c r="E431" s="112"/>
      <c r="AA431" s="113"/>
      <c r="AV431" s="114"/>
      <c r="AW431" s="114"/>
      <c r="AX431" s="115"/>
      <c r="AY431" s="116"/>
      <c r="AZ431" s="115"/>
      <c r="BA431" s="116"/>
      <c r="BB431" s="116"/>
      <c r="BC431" s="116"/>
      <c r="BP431" s="117"/>
      <c r="BQ431" s="117"/>
      <c r="BU431" s="117"/>
      <c r="BW431" s="118"/>
      <c r="BY431" s="119"/>
      <c r="BZ431" s="119"/>
      <c r="CA431" s="120"/>
      <c r="CU431" s="120"/>
      <c r="CV431" s="121"/>
      <c r="CW431" s="120"/>
      <c r="CX431" s="122"/>
    </row>
    <row r="432" ht="15.75" customHeight="1">
      <c r="B432" s="111"/>
      <c r="E432" s="112"/>
      <c r="AA432" s="113"/>
      <c r="AV432" s="114"/>
      <c r="AW432" s="114"/>
      <c r="AX432" s="115"/>
      <c r="AY432" s="116"/>
      <c r="AZ432" s="115"/>
      <c r="BA432" s="116"/>
      <c r="BB432" s="116"/>
      <c r="BC432" s="116"/>
      <c r="BP432" s="117"/>
      <c r="BQ432" s="117"/>
      <c r="BU432" s="117"/>
      <c r="BW432" s="118"/>
      <c r="BY432" s="119"/>
      <c r="BZ432" s="119"/>
      <c r="CA432" s="120"/>
      <c r="CU432" s="120"/>
      <c r="CV432" s="121"/>
      <c r="CW432" s="120"/>
      <c r="CX432" s="122"/>
    </row>
    <row r="433" ht="15.75" customHeight="1">
      <c r="B433" s="111"/>
      <c r="E433" s="112"/>
      <c r="AA433" s="113"/>
      <c r="AV433" s="114"/>
      <c r="AW433" s="114"/>
      <c r="AX433" s="115"/>
      <c r="AY433" s="116"/>
      <c r="AZ433" s="115"/>
      <c r="BA433" s="116"/>
      <c r="BB433" s="116"/>
      <c r="BC433" s="116"/>
      <c r="BP433" s="117"/>
      <c r="BQ433" s="117"/>
      <c r="BU433" s="117"/>
      <c r="BW433" s="118"/>
      <c r="BY433" s="119"/>
      <c r="BZ433" s="119"/>
      <c r="CA433" s="120"/>
      <c r="CU433" s="120"/>
      <c r="CV433" s="121"/>
      <c r="CW433" s="120"/>
      <c r="CX433" s="122"/>
    </row>
    <row r="434" ht="15.75" customHeight="1">
      <c r="B434" s="111"/>
      <c r="E434" s="112"/>
      <c r="AA434" s="113"/>
      <c r="AV434" s="114"/>
      <c r="AW434" s="114"/>
      <c r="AX434" s="115"/>
      <c r="AY434" s="116"/>
      <c r="AZ434" s="115"/>
      <c r="BA434" s="116"/>
      <c r="BB434" s="116"/>
      <c r="BC434" s="116"/>
      <c r="BP434" s="117"/>
      <c r="BQ434" s="117"/>
      <c r="BU434" s="117"/>
      <c r="BW434" s="118"/>
      <c r="BY434" s="119"/>
      <c r="BZ434" s="119"/>
      <c r="CA434" s="120"/>
      <c r="CU434" s="120"/>
      <c r="CV434" s="121"/>
      <c r="CW434" s="120"/>
      <c r="CX434" s="122"/>
    </row>
    <row r="435" ht="15.75" customHeight="1">
      <c r="B435" s="111"/>
      <c r="E435" s="112"/>
      <c r="AA435" s="113"/>
      <c r="AV435" s="114"/>
      <c r="AW435" s="114"/>
      <c r="AX435" s="115"/>
      <c r="AY435" s="116"/>
      <c r="AZ435" s="115"/>
      <c r="BA435" s="116"/>
      <c r="BB435" s="116"/>
      <c r="BC435" s="116"/>
      <c r="BP435" s="117"/>
      <c r="BQ435" s="117"/>
      <c r="BU435" s="117"/>
      <c r="BW435" s="118"/>
      <c r="BY435" s="119"/>
      <c r="BZ435" s="119"/>
      <c r="CA435" s="120"/>
      <c r="CU435" s="120"/>
      <c r="CV435" s="121"/>
      <c r="CW435" s="120"/>
      <c r="CX435" s="122"/>
    </row>
    <row r="436" ht="15.75" customHeight="1">
      <c r="B436" s="111"/>
      <c r="E436" s="112"/>
      <c r="AA436" s="113"/>
      <c r="AV436" s="114"/>
      <c r="AW436" s="114"/>
      <c r="AX436" s="115"/>
      <c r="AY436" s="116"/>
      <c r="AZ436" s="115"/>
      <c r="BA436" s="116"/>
      <c r="BB436" s="116"/>
      <c r="BC436" s="116"/>
      <c r="BP436" s="117"/>
      <c r="BQ436" s="117"/>
      <c r="BU436" s="117"/>
      <c r="BW436" s="118"/>
      <c r="BY436" s="119"/>
      <c r="BZ436" s="119"/>
      <c r="CA436" s="120"/>
      <c r="CU436" s="120"/>
      <c r="CV436" s="121"/>
      <c r="CW436" s="120"/>
      <c r="CX436" s="122"/>
    </row>
    <row r="437" ht="15.75" customHeight="1">
      <c r="B437" s="111"/>
      <c r="E437" s="112"/>
      <c r="AA437" s="113"/>
      <c r="AV437" s="114"/>
      <c r="AW437" s="114"/>
      <c r="AX437" s="115"/>
      <c r="AY437" s="116"/>
      <c r="AZ437" s="115"/>
      <c r="BA437" s="116"/>
      <c r="BB437" s="116"/>
      <c r="BC437" s="116"/>
      <c r="BP437" s="117"/>
      <c r="BQ437" s="117"/>
      <c r="BU437" s="117"/>
      <c r="BW437" s="118"/>
      <c r="BY437" s="119"/>
      <c r="BZ437" s="119"/>
      <c r="CA437" s="120"/>
      <c r="CU437" s="120"/>
      <c r="CV437" s="121"/>
      <c r="CW437" s="120"/>
      <c r="CX437" s="122"/>
    </row>
    <row r="438" ht="15.75" customHeight="1">
      <c r="B438" s="111"/>
      <c r="E438" s="112"/>
      <c r="AA438" s="113"/>
      <c r="AV438" s="114"/>
      <c r="AW438" s="114"/>
      <c r="AX438" s="115"/>
      <c r="AY438" s="116"/>
      <c r="AZ438" s="115"/>
      <c r="BA438" s="116"/>
      <c r="BB438" s="116"/>
      <c r="BC438" s="116"/>
      <c r="BP438" s="117"/>
      <c r="BQ438" s="117"/>
      <c r="BU438" s="117"/>
      <c r="BW438" s="118"/>
      <c r="BY438" s="119"/>
      <c r="BZ438" s="119"/>
      <c r="CA438" s="120"/>
      <c r="CU438" s="120"/>
      <c r="CV438" s="121"/>
      <c r="CW438" s="120"/>
      <c r="CX438" s="122"/>
    </row>
    <row r="439" ht="15.75" customHeight="1">
      <c r="B439" s="111"/>
      <c r="E439" s="112"/>
      <c r="AA439" s="113"/>
      <c r="AV439" s="114"/>
      <c r="AW439" s="114"/>
      <c r="AX439" s="115"/>
      <c r="AY439" s="116"/>
      <c r="AZ439" s="115"/>
      <c r="BA439" s="116"/>
      <c r="BB439" s="116"/>
      <c r="BC439" s="116"/>
      <c r="BP439" s="117"/>
      <c r="BQ439" s="117"/>
      <c r="BU439" s="117"/>
      <c r="BW439" s="118"/>
      <c r="BY439" s="119"/>
      <c r="BZ439" s="119"/>
      <c r="CA439" s="120"/>
      <c r="CU439" s="120"/>
      <c r="CV439" s="121"/>
      <c r="CW439" s="120"/>
      <c r="CX439" s="122"/>
    </row>
    <row r="440" ht="15.75" customHeight="1">
      <c r="B440" s="111"/>
      <c r="E440" s="112"/>
      <c r="AA440" s="113"/>
      <c r="AV440" s="114"/>
      <c r="AW440" s="114"/>
      <c r="AX440" s="115"/>
      <c r="AY440" s="116"/>
      <c r="AZ440" s="115"/>
      <c r="BA440" s="116"/>
      <c r="BB440" s="116"/>
      <c r="BC440" s="116"/>
      <c r="BP440" s="117"/>
      <c r="BQ440" s="117"/>
      <c r="BU440" s="117"/>
      <c r="BW440" s="118"/>
      <c r="BY440" s="119"/>
      <c r="BZ440" s="119"/>
      <c r="CA440" s="120"/>
      <c r="CU440" s="120"/>
      <c r="CV440" s="121"/>
      <c r="CW440" s="120"/>
      <c r="CX440" s="122"/>
    </row>
    <row r="441" ht="15.75" customHeight="1">
      <c r="B441" s="111"/>
      <c r="E441" s="112"/>
      <c r="AA441" s="113"/>
      <c r="AV441" s="114"/>
      <c r="AW441" s="114"/>
      <c r="AX441" s="115"/>
      <c r="AY441" s="116"/>
      <c r="AZ441" s="115"/>
      <c r="BA441" s="116"/>
      <c r="BB441" s="116"/>
      <c r="BC441" s="116"/>
      <c r="BP441" s="117"/>
      <c r="BQ441" s="117"/>
      <c r="BU441" s="117"/>
      <c r="BW441" s="118"/>
      <c r="BY441" s="119"/>
      <c r="BZ441" s="119"/>
      <c r="CA441" s="120"/>
      <c r="CU441" s="120"/>
      <c r="CV441" s="121"/>
      <c r="CW441" s="120"/>
      <c r="CX441" s="122"/>
    </row>
    <row r="442" ht="15.75" customHeight="1">
      <c r="B442" s="111"/>
      <c r="E442" s="112"/>
      <c r="AA442" s="113"/>
      <c r="AV442" s="114"/>
      <c r="AW442" s="114"/>
      <c r="AX442" s="115"/>
      <c r="AY442" s="116"/>
      <c r="AZ442" s="115"/>
      <c r="BA442" s="116"/>
      <c r="BB442" s="116"/>
      <c r="BC442" s="116"/>
      <c r="BP442" s="117"/>
      <c r="BQ442" s="117"/>
      <c r="BU442" s="117"/>
      <c r="BW442" s="118"/>
      <c r="BY442" s="119"/>
      <c r="BZ442" s="119"/>
      <c r="CA442" s="120"/>
      <c r="CU442" s="120"/>
      <c r="CV442" s="121"/>
      <c r="CW442" s="120"/>
      <c r="CX442" s="122"/>
    </row>
    <row r="443" ht="15.75" customHeight="1">
      <c r="B443" s="111"/>
      <c r="E443" s="112"/>
      <c r="AA443" s="113"/>
      <c r="AV443" s="114"/>
      <c r="AW443" s="114"/>
      <c r="AX443" s="115"/>
      <c r="AY443" s="116"/>
      <c r="AZ443" s="115"/>
      <c r="BA443" s="116"/>
      <c r="BB443" s="116"/>
      <c r="BC443" s="116"/>
      <c r="BP443" s="117"/>
      <c r="BQ443" s="117"/>
      <c r="BU443" s="117"/>
      <c r="BW443" s="118"/>
      <c r="BY443" s="119"/>
      <c r="BZ443" s="119"/>
      <c r="CA443" s="120"/>
      <c r="CU443" s="120"/>
      <c r="CV443" s="121"/>
      <c r="CW443" s="120"/>
      <c r="CX443" s="122"/>
    </row>
    <row r="444" ht="15.75" customHeight="1">
      <c r="B444" s="111"/>
      <c r="E444" s="112"/>
      <c r="AA444" s="113"/>
      <c r="AV444" s="114"/>
      <c r="AW444" s="114"/>
      <c r="AX444" s="115"/>
      <c r="AY444" s="116"/>
      <c r="AZ444" s="115"/>
      <c r="BA444" s="116"/>
      <c r="BB444" s="116"/>
      <c r="BC444" s="116"/>
      <c r="BP444" s="117"/>
      <c r="BQ444" s="117"/>
      <c r="BU444" s="117"/>
      <c r="BW444" s="118"/>
      <c r="BY444" s="119"/>
      <c r="BZ444" s="119"/>
      <c r="CA444" s="120"/>
      <c r="CU444" s="120"/>
      <c r="CV444" s="121"/>
      <c r="CW444" s="120"/>
      <c r="CX444" s="122"/>
    </row>
    <row r="445" ht="15.75" customHeight="1">
      <c r="B445" s="111"/>
      <c r="E445" s="112"/>
      <c r="AA445" s="113"/>
      <c r="AV445" s="114"/>
      <c r="AW445" s="114"/>
      <c r="AX445" s="115"/>
      <c r="AY445" s="116"/>
      <c r="AZ445" s="115"/>
      <c r="BA445" s="116"/>
      <c r="BB445" s="116"/>
      <c r="BC445" s="116"/>
      <c r="BP445" s="117"/>
      <c r="BQ445" s="117"/>
      <c r="BU445" s="117"/>
      <c r="BW445" s="118"/>
      <c r="BY445" s="119"/>
      <c r="BZ445" s="119"/>
      <c r="CA445" s="120"/>
      <c r="CU445" s="120"/>
      <c r="CV445" s="121"/>
      <c r="CW445" s="120"/>
      <c r="CX445" s="122"/>
    </row>
    <row r="446" ht="15.75" customHeight="1">
      <c r="B446" s="111"/>
      <c r="E446" s="112"/>
      <c r="AA446" s="113"/>
      <c r="AV446" s="114"/>
      <c r="AW446" s="114"/>
      <c r="AX446" s="115"/>
      <c r="AY446" s="116"/>
      <c r="AZ446" s="115"/>
      <c r="BA446" s="116"/>
      <c r="BB446" s="116"/>
      <c r="BC446" s="116"/>
      <c r="BP446" s="117"/>
      <c r="BQ446" s="117"/>
      <c r="BU446" s="117"/>
      <c r="BW446" s="118"/>
      <c r="BY446" s="119"/>
      <c r="BZ446" s="119"/>
      <c r="CA446" s="120"/>
      <c r="CU446" s="120"/>
      <c r="CV446" s="121"/>
      <c r="CW446" s="120"/>
      <c r="CX446" s="122"/>
    </row>
    <row r="447" ht="15.75" customHeight="1">
      <c r="B447" s="111"/>
      <c r="E447" s="112"/>
      <c r="AA447" s="113"/>
      <c r="AV447" s="114"/>
      <c r="AW447" s="114"/>
      <c r="AX447" s="115"/>
      <c r="AY447" s="116"/>
      <c r="AZ447" s="115"/>
      <c r="BA447" s="116"/>
      <c r="BB447" s="116"/>
      <c r="BC447" s="116"/>
      <c r="BP447" s="117"/>
      <c r="BQ447" s="117"/>
      <c r="BU447" s="117"/>
      <c r="BW447" s="118"/>
      <c r="BY447" s="119"/>
      <c r="BZ447" s="119"/>
      <c r="CA447" s="120"/>
      <c r="CU447" s="120"/>
      <c r="CV447" s="121"/>
      <c r="CW447" s="120"/>
      <c r="CX447" s="122"/>
    </row>
    <row r="448" ht="15.75" customHeight="1">
      <c r="B448" s="111"/>
      <c r="E448" s="112"/>
      <c r="AA448" s="113"/>
      <c r="AV448" s="114"/>
      <c r="AW448" s="114"/>
      <c r="AX448" s="115"/>
      <c r="AY448" s="116"/>
      <c r="AZ448" s="115"/>
      <c r="BA448" s="116"/>
      <c r="BB448" s="116"/>
      <c r="BC448" s="116"/>
      <c r="BP448" s="117"/>
      <c r="BQ448" s="117"/>
      <c r="BU448" s="117"/>
      <c r="BW448" s="118"/>
      <c r="BY448" s="119"/>
      <c r="BZ448" s="119"/>
      <c r="CA448" s="120"/>
      <c r="CU448" s="120"/>
      <c r="CV448" s="121"/>
      <c r="CW448" s="120"/>
      <c r="CX448" s="122"/>
    </row>
    <row r="449" ht="15.75" customHeight="1">
      <c r="B449" s="111"/>
      <c r="E449" s="112"/>
      <c r="AA449" s="113"/>
      <c r="AV449" s="114"/>
      <c r="AW449" s="114"/>
      <c r="AX449" s="115"/>
      <c r="AY449" s="116"/>
      <c r="AZ449" s="115"/>
      <c r="BA449" s="116"/>
      <c r="BB449" s="116"/>
      <c r="BC449" s="116"/>
      <c r="BP449" s="117"/>
      <c r="BQ449" s="117"/>
      <c r="BU449" s="117"/>
      <c r="BW449" s="118"/>
      <c r="BY449" s="119"/>
      <c r="BZ449" s="119"/>
      <c r="CA449" s="120"/>
      <c r="CU449" s="120"/>
      <c r="CV449" s="121"/>
      <c r="CW449" s="120"/>
      <c r="CX449" s="122"/>
    </row>
    <row r="450" ht="15.75" customHeight="1">
      <c r="B450" s="111"/>
      <c r="E450" s="112"/>
      <c r="AA450" s="113"/>
      <c r="AV450" s="114"/>
      <c r="AW450" s="114"/>
      <c r="AX450" s="115"/>
      <c r="AY450" s="116"/>
      <c r="AZ450" s="115"/>
      <c r="BA450" s="116"/>
      <c r="BB450" s="116"/>
      <c r="BC450" s="116"/>
      <c r="BP450" s="117"/>
      <c r="BQ450" s="117"/>
      <c r="BU450" s="117"/>
      <c r="BW450" s="118"/>
      <c r="BY450" s="119"/>
      <c r="BZ450" s="119"/>
      <c r="CA450" s="120"/>
      <c r="CU450" s="120"/>
      <c r="CV450" s="121"/>
      <c r="CW450" s="120"/>
      <c r="CX450" s="122"/>
    </row>
    <row r="451" ht="15.75" customHeight="1">
      <c r="B451" s="111"/>
      <c r="E451" s="112"/>
      <c r="AA451" s="113"/>
      <c r="AV451" s="114"/>
      <c r="AW451" s="114"/>
      <c r="AX451" s="115"/>
      <c r="AY451" s="116"/>
      <c r="AZ451" s="115"/>
      <c r="BA451" s="116"/>
      <c r="BB451" s="116"/>
      <c r="BC451" s="116"/>
      <c r="BP451" s="117"/>
      <c r="BQ451" s="117"/>
      <c r="BU451" s="117"/>
      <c r="BW451" s="118"/>
      <c r="BY451" s="119"/>
      <c r="BZ451" s="119"/>
      <c r="CA451" s="120"/>
      <c r="CU451" s="120"/>
      <c r="CV451" s="121"/>
      <c r="CW451" s="120"/>
      <c r="CX451" s="122"/>
    </row>
    <row r="452" ht="15.75" customHeight="1">
      <c r="B452" s="111"/>
      <c r="E452" s="112"/>
      <c r="AA452" s="113"/>
      <c r="AV452" s="114"/>
      <c r="AW452" s="114"/>
      <c r="AX452" s="115"/>
      <c r="AY452" s="116"/>
      <c r="AZ452" s="115"/>
      <c r="BA452" s="116"/>
      <c r="BB452" s="116"/>
      <c r="BC452" s="116"/>
      <c r="BP452" s="117"/>
      <c r="BQ452" s="117"/>
      <c r="BU452" s="117"/>
      <c r="BW452" s="118"/>
      <c r="BY452" s="119"/>
      <c r="BZ452" s="119"/>
      <c r="CA452" s="120"/>
      <c r="CU452" s="120"/>
      <c r="CV452" s="121"/>
      <c r="CW452" s="120"/>
      <c r="CX452" s="122"/>
    </row>
    <row r="453" ht="15.75" customHeight="1">
      <c r="B453" s="111"/>
      <c r="E453" s="112"/>
      <c r="AA453" s="113"/>
      <c r="AV453" s="114"/>
      <c r="AW453" s="114"/>
      <c r="AX453" s="115"/>
      <c r="AY453" s="116"/>
      <c r="AZ453" s="115"/>
      <c r="BA453" s="116"/>
      <c r="BB453" s="116"/>
      <c r="BC453" s="116"/>
      <c r="BP453" s="117"/>
      <c r="BQ453" s="117"/>
      <c r="BU453" s="117"/>
      <c r="BW453" s="118"/>
      <c r="BY453" s="119"/>
      <c r="BZ453" s="119"/>
      <c r="CA453" s="120"/>
      <c r="CU453" s="120"/>
      <c r="CV453" s="121"/>
      <c r="CW453" s="120"/>
      <c r="CX453" s="122"/>
    </row>
    <row r="454" ht="15.75" customHeight="1">
      <c r="B454" s="111"/>
      <c r="E454" s="112"/>
      <c r="AA454" s="113"/>
      <c r="AV454" s="114"/>
      <c r="AW454" s="114"/>
      <c r="AX454" s="115"/>
      <c r="AY454" s="116"/>
      <c r="AZ454" s="115"/>
      <c r="BA454" s="116"/>
      <c r="BB454" s="116"/>
      <c r="BC454" s="116"/>
      <c r="BP454" s="117"/>
      <c r="BQ454" s="117"/>
      <c r="BU454" s="117"/>
      <c r="BW454" s="118"/>
      <c r="BY454" s="119"/>
      <c r="BZ454" s="119"/>
      <c r="CA454" s="120"/>
      <c r="CU454" s="120"/>
      <c r="CV454" s="121"/>
      <c r="CW454" s="120"/>
      <c r="CX454" s="122"/>
    </row>
    <row r="455" ht="15.75" customHeight="1">
      <c r="B455" s="111"/>
      <c r="E455" s="112"/>
      <c r="AA455" s="113"/>
      <c r="AV455" s="114"/>
      <c r="AW455" s="114"/>
      <c r="AX455" s="115"/>
      <c r="AY455" s="116"/>
      <c r="AZ455" s="115"/>
      <c r="BA455" s="116"/>
      <c r="BB455" s="116"/>
      <c r="BC455" s="116"/>
      <c r="BP455" s="117"/>
      <c r="BQ455" s="117"/>
      <c r="BU455" s="117"/>
      <c r="BW455" s="118"/>
      <c r="BY455" s="119"/>
      <c r="BZ455" s="119"/>
      <c r="CA455" s="120"/>
      <c r="CU455" s="120"/>
      <c r="CV455" s="121"/>
      <c r="CW455" s="120"/>
      <c r="CX455" s="122"/>
    </row>
    <row r="456" ht="15.75" customHeight="1">
      <c r="B456" s="111"/>
      <c r="E456" s="112"/>
      <c r="AA456" s="113"/>
      <c r="AV456" s="114"/>
      <c r="AW456" s="114"/>
      <c r="AX456" s="115"/>
      <c r="AY456" s="116"/>
      <c r="AZ456" s="115"/>
      <c r="BA456" s="116"/>
      <c r="BB456" s="116"/>
      <c r="BC456" s="116"/>
      <c r="BP456" s="117"/>
      <c r="BQ456" s="117"/>
      <c r="BU456" s="117"/>
      <c r="BW456" s="118"/>
      <c r="BY456" s="119"/>
      <c r="BZ456" s="119"/>
      <c r="CA456" s="120"/>
      <c r="CU456" s="120"/>
      <c r="CV456" s="121"/>
      <c r="CW456" s="120"/>
      <c r="CX456" s="122"/>
    </row>
    <row r="457" ht="15.75" customHeight="1">
      <c r="B457" s="111"/>
      <c r="E457" s="112"/>
      <c r="AA457" s="113"/>
      <c r="AV457" s="114"/>
      <c r="AW457" s="114"/>
      <c r="AX457" s="115"/>
      <c r="AY457" s="116"/>
      <c r="AZ457" s="115"/>
      <c r="BA457" s="116"/>
      <c r="BB457" s="116"/>
      <c r="BC457" s="116"/>
      <c r="BP457" s="117"/>
      <c r="BQ457" s="117"/>
      <c r="BU457" s="117"/>
      <c r="BW457" s="118"/>
      <c r="BY457" s="119"/>
      <c r="BZ457" s="119"/>
      <c r="CA457" s="120"/>
      <c r="CU457" s="120"/>
      <c r="CV457" s="121"/>
      <c r="CW457" s="120"/>
      <c r="CX457" s="122"/>
    </row>
    <row r="458" ht="15.75" customHeight="1">
      <c r="B458" s="111"/>
      <c r="E458" s="112"/>
      <c r="AA458" s="113"/>
      <c r="AV458" s="114"/>
      <c r="AW458" s="114"/>
      <c r="AX458" s="115"/>
      <c r="AY458" s="116"/>
      <c r="AZ458" s="115"/>
      <c r="BA458" s="116"/>
      <c r="BB458" s="116"/>
      <c r="BC458" s="116"/>
      <c r="BP458" s="117"/>
      <c r="BQ458" s="117"/>
      <c r="BU458" s="117"/>
      <c r="BW458" s="118"/>
      <c r="BY458" s="119"/>
      <c r="BZ458" s="119"/>
      <c r="CA458" s="120"/>
      <c r="CU458" s="120"/>
      <c r="CV458" s="121"/>
      <c r="CW458" s="120"/>
      <c r="CX458" s="122"/>
    </row>
    <row r="459" ht="15.75" customHeight="1">
      <c r="B459" s="111"/>
      <c r="E459" s="112"/>
      <c r="AA459" s="113"/>
      <c r="AV459" s="114"/>
      <c r="AW459" s="114"/>
      <c r="AX459" s="115"/>
      <c r="AY459" s="116"/>
      <c r="AZ459" s="115"/>
      <c r="BA459" s="116"/>
      <c r="BB459" s="116"/>
      <c r="BC459" s="116"/>
      <c r="BP459" s="117"/>
      <c r="BQ459" s="117"/>
      <c r="BU459" s="117"/>
      <c r="BW459" s="118"/>
      <c r="BY459" s="119"/>
      <c r="BZ459" s="119"/>
      <c r="CA459" s="120"/>
      <c r="CU459" s="120"/>
      <c r="CV459" s="121"/>
      <c r="CW459" s="120"/>
      <c r="CX459" s="122"/>
    </row>
    <row r="460" ht="15.75" customHeight="1">
      <c r="B460" s="111"/>
      <c r="E460" s="112"/>
      <c r="AA460" s="113"/>
      <c r="AV460" s="114"/>
      <c r="AW460" s="114"/>
      <c r="AX460" s="115"/>
      <c r="AY460" s="116"/>
      <c r="AZ460" s="115"/>
      <c r="BA460" s="116"/>
      <c r="BB460" s="116"/>
      <c r="BC460" s="116"/>
      <c r="BP460" s="117"/>
      <c r="BQ460" s="117"/>
      <c r="BU460" s="117"/>
      <c r="BW460" s="118"/>
      <c r="BY460" s="119"/>
      <c r="BZ460" s="119"/>
      <c r="CA460" s="120"/>
      <c r="CU460" s="120"/>
      <c r="CV460" s="121"/>
      <c r="CW460" s="120"/>
      <c r="CX460" s="122"/>
    </row>
    <row r="461" ht="15.75" customHeight="1">
      <c r="B461" s="111"/>
      <c r="E461" s="112"/>
      <c r="AA461" s="113"/>
      <c r="AV461" s="114"/>
      <c r="AW461" s="114"/>
      <c r="AX461" s="115"/>
      <c r="AY461" s="116"/>
      <c r="AZ461" s="115"/>
      <c r="BA461" s="116"/>
      <c r="BB461" s="116"/>
      <c r="BC461" s="116"/>
      <c r="BP461" s="117"/>
      <c r="BQ461" s="117"/>
      <c r="BU461" s="117"/>
      <c r="BW461" s="118"/>
      <c r="BY461" s="119"/>
      <c r="BZ461" s="119"/>
      <c r="CA461" s="120"/>
      <c r="CU461" s="120"/>
      <c r="CV461" s="121"/>
      <c r="CW461" s="120"/>
      <c r="CX461" s="122"/>
    </row>
    <row r="462" ht="15.75" customHeight="1">
      <c r="B462" s="111"/>
      <c r="E462" s="112"/>
      <c r="AA462" s="113"/>
      <c r="AV462" s="114"/>
      <c r="AW462" s="114"/>
      <c r="AX462" s="115"/>
      <c r="AY462" s="116"/>
      <c r="AZ462" s="115"/>
      <c r="BA462" s="116"/>
      <c r="BB462" s="116"/>
      <c r="BC462" s="116"/>
      <c r="BP462" s="117"/>
      <c r="BQ462" s="117"/>
      <c r="BU462" s="117"/>
      <c r="BW462" s="118"/>
      <c r="BY462" s="119"/>
      <c r="BZ462" s="119"/>
      <c r="CA462" s="120"/>
      <c r="CU462" s="120"/>
      <c r="CV462" s="121"/>
      <c r="CW462" s="120"/>
      <c r="CX462" s="122"/>
    </row>
    <row r="463" ht="15.75" customHeight="1">
      <c r="B463" s="111"/>
      <c r="E463" s="112"/>
      <c r="AA463" s="113"/>
      <c r="AV463" s="114"/>
      <c r="AW463" s="114"/>
      <c r="AX463" s="115"/>
      <c r="AY463" s="116"/>
      <c r="AZ463" s="115"/>
      <c r="BA463" s="116"/>
      <c r="BB463" s="116"/>
      <c r="BC463" s="116"/>
      <c r="BP463" s="117"/>
      <c r="BQ463" s="117"/>
      <c r="BU463" s="117"/>
      <c r="BW463" s="118"/>
      <c r="BY463" s="119"/>
      <c r="BZ463" s="119"/>
      <c r="CA463" s="120"/>
      <c r="CU463" s="120"/>
      <c r="CV463" s="121"/>
      <c r="CW463" s="120"/>
      <c r="CX463" s="122"/>
    </row>
    <row r="464" ht="15.75" customHeight="1">
      <c r="B464" s="111"/>
      <c r="E464" s="112"/>
      <c r="AA464" s="113"/>
      <c r="AV464" s="114"/>
      <c r="AW464" s="114"/>
      <c r="AX464" s="115"/>
      <c r="AY464" s="116"/>
      <c r="AZ464" s="115"/>
      <c r="BA464" s="116"/>
      <c r="BB464" s="116"/>
      <c r="BC464" s="116"/>
      <c r="BP464" s="117"/>
      <c r="BQ464" s="117"/>
      <c r="BU464" s="117"/>
      <c r="BW464" s="118"/>
      <c r="BY464" s="119"/>
      <c r="BZ464" s="119"/>
      <c r="CA464" s="120"/>
      <c r="CU464" s="120"/>
      <c r="CV464" s="121"/>
      <c r="CW464" s="120"/>
      <c r="CX464" s="122"/>
    </row>
    <row r="465" ht="15.75" customHeight="1">
      <c r="B465" s="111"/>
      <c r="E465" s="112"/>
      <c r="AA465" s="113"/>
      <c r="AV465" s="114"/>
      <c r="AW465" s="114"/>
      <c r="AX465" s="115"/>
      <c r="AY465" s="116"/>
      <c r="AZ465" s="115"/>
      <c r="BA465" s="116"/>
      <c r="BB465" s="116"/>
      <c r="BC465" s="116"/>
      <c r="BP465" s="117"/>
      <c r="BQ465" s="117"/>
      <c r="BU465" s="117"/>
      <c r="BW465" s="118"/>
      <c r="BY465" s="119"/>
      <c r="BZ465" s="119"/>
      <c r="CA465" s="120"/>
      <c r="CU465" s="120"/>
      <c r="CV465" s="121"/>
      <c r="CW465" s="120"/>
      <c r="CX465" s="122"/>
    </row>
    <row r="466" ht="15.75" customHeight="1">
      <c r="B466" s="111"/>
      <c r="E466" s="112"/>
      <c r="AA466" s="113"/>
      <c r="AV466" s="114"/>
      <c r="AW466" s="114"/>
      <c r="AX466" s="115"/>
      <c r="AY466" s="116"/>
      <c r="AZ466" s="115"/>
      <c r="BA466" s="116"/>
      <c r="BB466" s="116"/>
      <c r="BC466" s="116"/>
      <c r="BP466" s="117"/>
      <c r="BQ466" s="117"/>
      <c r="BU466" s="117"/>
      <c r="BW466" s="118"/>
      <c r="BY466" s="119"/>
      <c r="BZ466" s="119"/>
      <c r="CA466" s="120"/>
      <c r="CU466" s="120"/>
      <c r="CV466" s="121"/>
      <c r="CW466" s="120"/>
      <c r="CX466" s="122"/>
    </row>
    <row r="467" ht="15.75" customHeight="1">
      <c r="B467" s="111"/>
      <c r="E467" s="112"/>
      <c r="AA467" s="113"/>
      <c r="AV467" s="114"/>
      <c r="AW467" s="114"/>
      <c r="AX467" s="115"/>
      <c r="AY467" s="116"/>
      <c r="AZ467" s="115"/>
      <c r="BA467" s="116"/>
      <c r="BB467" s="116"/>
      <c r="BC467" s="116"/>
      <c r="BP467" s="117"/>
      <c r="BQ467" s="117"/>
      <c r="BU467" s="117"/>
      <c r="BW467" s="118"/>
      <c r="BY467" s="119"/>
      <c r="BZ467" s="119"/>
      <c r="CA467" s="120"/>
      <c r="CU467" s="120"/>
      <c r="CV467" s="121"/>
      <c r="CW467" s="120"/>
      <c r="CX467" s="122"/>
    </row>
    <row r="468" ht="15.75" customHeight="1">
      <c r="B468" s="111"/>
      <c r="E468" s="112"/>
      <c r="AA468" s="113"/>
      <c r="AV468" s="114"/>
      <c r="AW468" s="114"/>
      <c r="AX468" s="115"/>
      <c r="AY468" s="116"/>
      <c r="AZ468" s="115"/>
      <c r="BA468" s="116"/>
      <c r="BB468" s="116"/>
      <c r="BC468" s="116"/>
      <c r="BP468" s="117"/>
      <c r="BQ468" s="117"/>
      <c r="BU468" s="117"/>
      <c r="BW468" s="118"/>
      <c r="BY468" s="119"/>
      <c r="BZ468" s="119"/>
      <c r="CA468" s="120"/>
      <c r="CU468" s="120"/>
      <c r="CV468" s="121"/>
      <c r="CW468" s="120"/>
      <c r="CX468" s="122"/>
    </row>
    <row r="469" ht="15.75" customHeight="1">
      <c r="B469" s="111"/>
      <c r="E469" s="112"/>
      <c r="AA469" s="113"/>
      <c r="AV469" s="114"/>
      <c r="AW469" s="114"/>
      <c r="AX469" s="115"/>
      <c r="AY469" s="116"/>
      <c r="AZ469" s="115"/>
      <c r="BA469" s="116"/>
      <c r="BB469" s="116"/>
      <c r="BC469" s="116"/>
      <c r="BP469" s="117"/>
      <c r="BQ469" s="117"/>
      <c r="BU469" s="117"/>
      <c r="BW469" s="118"/>
      <c r="BY469" s="119"/>
      <c r="BZ469" s="119"/>
      <c r="CA469" s="120"/>
      <c r="CU469" s="120"/>
      <c r="CV469" s="121"/>
      <c r="CW469" s="120"/>
      <c r="CX469" s="122"/>
    </row>
    <row r="470" ht="15.75" customHeight="1">
      <c r="B470" s="111"/>
      <c r="E470" s="112"/>
      <c r="AA470" s="113"/>
      <c r="AV470" s="114"/>
      <c r="AW470" s="114"/>
      <c r="AX470" s="115"/>
      <c r="AY470" s="116"/>
      <c r="AZ470" s="115"/>
      <c r="BA470" s="116"/>
      <c r="BB470" s="116"/>
      <c r="BC470" s="116"/>
      <c r="BP470" s="117"/>
      <c r="BQ470" s="117"/>
      <c r="BU470" s="117"/>
      <c r="BW470" s="118"/>
      <c r="BY470" s="119"/>
      <c r="BZ470" s="119"/>
      <c r="CA470" s="120"/>
      <c r="CU470" s="120"/>
      <c r="CV470" s="121"/>
      <c r="CW470" s="120"/>
      <c r="CX470" s="122"/>
    </row>
    <row r="471" ht="15.75" customHeight="1">
      <c r="B471" s="111"/>
      <c r="E471" s="112"/>
      <c r="AA471" s="113"/>
      <c r="AV471" s="114"/>
      <c r="AW471" s="114"/>
      <c r="AX471" s="115"/>
      <c r="AY471" s="116"/>
      <c r="AZ471" s="115"/>
      <c r="BA471" s="116"/>
      <c r="BB471" s="116"/>
      <c r="BC471" s="116"/>
      <c r="BP471" s="117"/>
      <c r="BQ471" s="117"/>
      <c r="BU471" s="117"/>
      <c r="BW471" s="118"/>
      <c r="BY471" s="119"/>
      <c r="BZ471" s="119"/>
      <c r="CA471" s="120"/>
      <c r="CU471" s="120"/>
      <c r="CV471" s="121"/>
      <c r="CW471" s="120"/>
      <c r="CX471" s="122"/>
    </row>
    <row r="472" ht="15.75" customHeight="1">
      <c r="B472" s="111"/>
      <c r="E472" s="112"/>
      <c r="AA472" s="113"/>
      <c r="AV472" s="114"/>
      <c r="AW472" s="114"/>
      <c r="AX472" s="115"/>
      <c r="AY472" s="116"/>
      <c r="AZ472" s="115"/>
      <c r="BA472" s="116"/>
      <c r="BB472" s="116"/>
      <c r="BC472" s="116"/>
      <c r="BP472" s="117"/>
      <c r="BQ472" s="117"/>
      <c r="BU472" s="117"/>
      <c r="BW472" s="118"/>
      <c r="BY472" s="119"/>
      <c r="BZ472" s="119"/>
      <c r="CA472" s="120"/>
      <c r="CU472" s="120"/>
      <c r="CV472" s="121"/>
      <c r="CW472" s="120"/>
      <c r="CX472" s="122"/>
    </row>
    <row r="473" ht="15.75" customHeight="1">
      <c r="B473" s="111"/>
      <c r="E473" s="112"/>
      <c r="AA473" s="113"/>
      <c r="AV473" s="114"/>
      <c r="AW473" s="114"/>
      <c r="AX473" s="115"/>
      <c r="AY473" s="116"/>
      <c r="AZ473" s="115"/>
      <c r="BA473" s="116"/>
      <c r="BB473" s="116"/>
      <c r="BC473" s="116"/>
      <c r="BP473" s="117"/>
      <c r="BQ473" s="117"/>
      <c r="BU473" s="117"/>
      <c r="BW473" s="118"/>
      <c r="BY473" s="119"/>
      <c r="BZ473" s="119"/>
      <c r="CA473" s="120"/>
      <c r="CU473" s="120"/>
      <c r="CV473" s="121"/>
      <c r="CW473" s="120"/>
      <c r="CX473" s="122"/>
    </row>
    <row r="474" ht="15.75" customHeight="1">
      <c r="B474" s="111"/>
      <c r="E474" s="112"/>
      <c r="AA474" s="113"/>
      <c r="AV474" s="114"/>
      <c r="AW474" s="114"/>
      <c r="AX474" s="115"/>
      <c r="AY474" s="116"/>
      <c r="AZ474" s="115"/>
      <c r="BA474" s="116"/>
      <c r="BB474" s="116"/>
      <c r="BC474" s="116"/>
      <c r="BP474" s="117"/>
      <c r="BQ474" s="117"/>
      <c r="BU474" s="117"/>
      <c r="BW474" s="118"/>
      <c r="BY474" s="119"/>
      <c r="BZ474" s="119"/>
      <c r="CA474" s="120"/>
      <c r="CU474" s="120"/>
      <c r="CV474" s="121"/>
      <c r="CW474" s="120"/>
      <c r="CX474" s="122"/>
    </row>
    <row r="475" ht="15.75" customHeight="1">
      <c r="B475" s="111"/>
      <c r="E475" s="112"/>
      <c r="AA475" s="113"/>
      <c r="AV475" s="114"/>
      <c r="AW475" s="114"/>
      <c r="AX475" s="115"/>
      <c r="AY475" s="116"/>
      <c r="AZ475" s="115"/>
      <c r="BA475" s="116"/>
      <c r="BB475" s="116"/>
      <c r="BC475" s="116"/>
      <c r="BP475" s="117"/>
      <c r="BQ475" s="117"/>
      <c r="BU475" s="117"/>
      <c r="BW475" s="118"/>
      <c r="BY475" s="119"/>
      <c r="BZ475" s="119"/>
      <c r="CA475" s="120"/>
      <c r="CU475" s="120"/>
      <c r="CV475" s="121"/>
      <c r="CW475" s="120"/>
      <c r="CX475" s="122"/>
    </row>
    <row r="476" ht="15.75" customHeight="1">
      <c r="B476" s="111"/>
      <c r="E476" s="112"/>
      <c r="AA476" s="113"/>
      <c r="AV476" s="114"/>
      <c r="AW476" s="114"/>
      <c r="AX476" s="115"/>
      <c r="AY476" s="116"/>
      <c r="AZ476" s="115"/>
      <c r="BA476" s="116"/>
      <c r="BB476" s="116"/>
      <c r="BC476" s="116"/>
      <c r="BP476" s="117"/>
      <c r="BQ476" s="117"/>
      <c r="BU476" s="117"/>
      <c r="BW476" s="118"/>
      <c r="BY476" s="119"/>
      <c r="BZ476" s="119"/>
      <c r="CA476" s="120"/>
      <c r="CU476" s="120"/>
      <c r="CV476" s="121"/>
      <c r="CW476" s="120"/>
      <c r="CX476" s="122"/>
    </row>
    <row r="477" ht="15.75" customHeight="1">
      <c r="B477" s="111"/>
      <c r="E477" s="112"/>
      <c r="AA477" s="113"/>
      <c r="AV477" s="114"/>
      <c r="AW477" s="114"/>
      <c r="AX477" s="115"/>
      <c r="AY477" s="116"/>
      <c r="AZ477" s="115"/>
      <c r="BA477" s="116"/>
      <c r="BB477" s="116"/>
      <c r="BC477" s="116"/>
      <c r="BP477" s="117"/>
      <c r="BQ477" s="117"/>
      <c r="BU477" s="117"/>
      <c r="BW477" s="118"/>
      <c r="BY477" s="119"/>
      <c r="BZ477" s="119"/>
      <c r="CA477" s="120"/>
      <c r="CU477" s="120"/>
      <c r="CV477" s="121"/>
      <c r="CW477" s="120"/>
      <c r="CX477" s="122"/>
    </row>
    <row r="478" ht="15.75" customHeight="1">
      <c r="B478" s="111"/>
      <c r="E478" s="112"/>
      <c r="AA478" s="113"/>
      <c r="AV478" s="114"/>
      <c r="AW478" s="114"/>
      <c r="AX478" s="115"/>
      <c r="AY478" s="116"/>
      <c r="AZ478" s="115"/>
      <c r="BA478" s="116"/>
      <c r="BB478" s="116"/>
      <c r="BC478" s="116"/>
      <c r="BP478" s="117"/>
      <c r="BQ478" s="117"/>
      <c r="BU478" s="117"/>
      <c r="BW478" s="118"/>
      <c r="BY478" s="119"/>
      <c r="BZ478" s="119"/>
      <c r="CA478" s="120"/>
      <c r="CU478" s="120"/>
      <c r="CV478" s="121"/>
      <c r="CW478" s="120"/>
      <c r="CX478" s="122"/>
    </row>
    <row r="479" ht="15.75" customHeight="1">
      <c r="B479" s="111"/>
      <c r="E479" s="112"/>
      <c r="AA479" s="113"/>
      <c r="AV479" s="114"/>
      <c r="AW479" s="114"/>
      <c r="AX479" s="115"/>
      <c r="AY479" s="116"/>
      <c r="AZ479" s="115"/>
      <c r="BA479" s="116"/>
      <c r="BB479" s="116"/>
      <c r="BC479" s="116"/>
      <c r="BP479" s="117"/>
      <c r="BQ479" s="117"/>
      <c r="BU479" s="117"/>
      <c r="BW479" s="118"/>
      <c r="BY479" s="119"/>
      <c r="BZ479" s="119"/>
      <c r="CA479" s="120"/>
      <c r="CU479" s="120"/>
      <c r="CV479" s="121"/>
      <c r="CW479" s="120"/>
      <c r="CX479" s="122"/>
    </row>
    <row r="480" ht="15.75" customHeight="1">
      <c r="B480" s="111"/>
      <c r="E480" s="112"/>
      <c r="AA480" s="113"/>
      <c r="AV480" s="114"/>
      <c r="AW480" s="114"/>
      <c r="AX480" s="115"/>
      <c r="AY480" s="116"/>
      <c r="AZ480" s="115"/>
      <c r="BA480" s="116"/>
      <c r="BB480" s="116"/>
      <c r="BC480" s="116"/>
      <c r="BP480" s="117"/>
      <c r="BQ480" s="117"/>
      <c r="BU480" s="117"/>
      <c r="BW480" s="118"/>
      <c r="BY480" s="119"/>
      <c r="BZ480" s="119"/>
      <c r="CA480" s="120"/>
      <c r="CU480" s="120"/>
      <c r="CV480" s="121"/>
      <c r="CW480" s="120"/>
      <c r="CX480" s="122"/>
    </row>
    <row r="481" ht="15.75" customHeight="1">
      <c r="B481" s="111"/>
      <c r="E481" s="112"/>
      <c r="AA481" s="113"/>
      <c r="AV481" s="114"/>
      <c r="AW481" s="114"/>
      <c r="AX481" s="115"/>
      <c r="AY481" s="116"/>
      <c r="AZ481" s="115"/>
      <c r="BA481" s="116"/>
      <c r="BB481" s="116"/>
      <c r="BC481" s="116"/>
      <c r="BP481" s="117"/>
      <c r="BQ481" s="117"/>
      <c r="BU481" s="117"/>
      <c r="BW481" s="118"/>
      <c r="BY481" s="119"/>
      <c r="BZ481" s="119"/>
      <c r="CA481" s="120"/>
      <c r="CU481" s="120"/>
      <c r="CV481" s="121"/>
      <c r="CW481" s="120"/>
      <c r="CX481" s="122"/>
    </row>
    <row r="482" ht="15.75" customHeight="1">
      <c r="B482" s="111"/>
      <c r="E482" s="112"/>
      <c r="AA482" s="113"/>
      <c r="AV482" s="114"/>
      <c r="AW482" s="114"/>
      <c r="AX482" s="115"/>
      <c r="AY482" s="116"/>
      <c r="AZ482" s="115"/>
      <c r="BA482" s="116"/>
      <c r="BB482" s="116"/>
      <c r="BC482" s="116"/>
      <c r="BP482" s="117"/>
      <c r="BQ482" s="117"/>
      <c r="BU482" s="117"/>
      <c r="BW482" s="118"/>
      <c r="BY482" s="119"/>
      <c r="BZ482" s="119"/>
      <c r="CA482" s="120"/>
      <c r="CU482" s="120"/>
      <c r="CV482" s="121"/>
      <c r="CW482" s="120"/>
      <c r="CX482" s="122"/>
    </row>
    <row r="483" ht="15.75" customHeight="1">
      <c r="B483" s="111"/>
      <c r="E483" s="112"/>
      <c r="AA483" s="113"/>
      <c r="AV483" s="114"/>
      <c r="AW483" s="114"/>
      <c r="AX483" s="115"/>
      <c r="AY483" s="116"/>
      <c r="AZ483" s="115"/>
      <c r="BA483" s="116"/>
      <c r="BB483" s="116"/>
      <c r="BC483" s="116"/>
      <c r="BP483" s="117"/>
      <c r="BQ483" s="117"/>
      <c r="BU483" s="117"/>
      <c r="BW483" s="118"/>
      <c r="BY483" s="119"/>
      <c r="BZ483" s="119"/>
      <c r="CA483" s="120"/>
      <c r="CU483" s="120"/>
      <c r="CV483" s="121"/>
      <c r="CW483" s="120"/>
      <c r="CX483" s="122"/>
    </row>
    <row r="484" ht="15.75" customHeight="1">
      <c r="B484" s="111"/>
      <c r="E484" s="112"/>
      <c r="AA484" s="113"/>
      <c r="AV484" s="114"/>
      <c r="AW484" s="114"/>
      <c r="AX484" s="115"/>
      <c r="AY484" s="116"/>
      <c r="AZ484" s="115"/>
      <c r="BA484" s="116"/>
      <c r="BB484" s="116"/>
      <c r="BC484" s="116"/>
      <c r="BP484" s="117"/>
      <c r="BQ484" s="117"/>
      <c r="BU484" s="117"/>
      <c r="BW484" s="118"/>
      <c r="BY484" s="119"/>
      <c r="BZ484" s="119"/>
      <c r="CA484" s="120"/>
      <c r="CU484" s="120"/>
      <c r="CV484" s="121"/>
      <c r="CW484" s="120"/>
      <c r="CX484" s="122"/>
    </row>
    <row r="485" ht="15.75" customHeight="1">
      <c r="B485" s="111"/>
      <c r="E485" s="112"/>
      <c r="AA485" s="113"/>
      <c r="AV485" s="114"/>
      <c r="AW485" s="114"/>
      <c r="AX485" s="115"/>
      <c r="AY485" s="116"/>
      <c r="AZ485" s="115"/>
      <c r="BA485" s="116"/>
      <c r="BB485" s="116"/>
      <c r="BC485" s="116"/>
      <c r="BP485" s="117"/>
      <c r="BQ485" s="117"/>
      <c r="BU485" s="117"/>
      <c r="BW485" s="118"/>
      <c r="BY485" s="119"/>
      <c r="BZ485" s="119"/>
      <c r="CA485" s="120"/>
      <c r="CU485" s="120"/>
      <c r="CV485" s="121"/>
      <c r="CW485" s="120"/>
      <c r="CX485" s="122"/>
    </row>
    <row r="486" ht="15.75" customHeight="1">
      <c r="B486" s="111"/>
      <c r="E486" s="112"/>
      <c r="AA486" s="113"/>
      <c r="AV486" s="114"/>
      <c r="AW486" s="114"/>
      <c r="AX486" s="115"/>
      <c r="AY486" s="116"/>
      <c r="AZ486" s="115"/>
      <c r="BA486" s="116"/>
      <c r="BB486" s="116"/>
      <c r="BC486" s="116"/>
      <c r="BP486" s="117"/>
      <c r="BQ486" s="117"/>
      <c r="BU486" s="117"/>
      <c r="BW486" s="118"/>
      <c r="BY486" s="119"/>
      <c r="BZ486" s="119"/>
      <c r="CA486" s="120"/>
      <c r="CU486" s="120"/>
      <c r="CV486" s="121"/>
      <c r="CW486" s="120"/>
      <c r="CX486" s="122"/>
    </row>
    <row r="487" ht="15.75" customHeight="1">
      <c r="B487" s="111"/>
      <c r="E487" s="112"/>
      <c r="AA487" s="113"/>
      <c r="AV487" s="114"/>
      <c r="AW487" s="114"/>
      <c r="AX487" s="115"/>
      <c r="AY487" s="116"/>
      <c r="AZ487" s="115"/>
      <c r="BA487" s="116"/>
      <c r="BB487" s="116"/>
      <c r="BC487" s="116"/>
      <c r="BP487" s="117"/>
      <c r="BQ487" s="117"/>
      <c r="BU487" s="117"/>
      <c r="BW487" s="118"/>
      <c r="BY487" s="119"/>
      <c r="BZ487" s="119"/>
      <c r="CA487" s="120"/>
      <c r="CU487" s="120"/>
      <c r="CV487" s="121"/>
      <c r="CW487" s="120"/>
      <c r="CX487" s="122"/>
    </row>
    <row r="488" ht="15.75" customHeight="1">
      <c r="B488" s="111"/>
      <c r="E488" s="112"/>
      <c r="AA488" s="113"/>
      <c r="AV488" s="114"/>
      <c r="AW488" s="114"/>
      <c r="AX488" s="115"/>
      <c r="AY488" s="116"/>
      <c r="AZ488" s="115"/>
      <c r="BA488" s="116"/>
      <c r="BB488" s="116"/>
      <c r="BC488" s="116"/>
      <c r="BP488" s="117"/>
      <c r="BQ488" s="117"/>
      <c r="BU488" s="117"/>
      <c r="BW488" s="118"/>
      <c r="BY488" s="119"/>
      <c r="BZ488" s="119"/>
      <c r="CA488" s="120"/>
      <c r="CU488" s="120"/>
      <c r="CV488" s="121"/>
      <c r="CW488" s="120"/>
      <c r="CX488" s="122"/>
    </row>
    <row r="489" ht="15.75" customHeight="1">
      <c r="B489" s="111"/>
      <c r="E489" s="112"/>
      <c r="AA489" s="113"/>
      <c r="AV489" s="114"/>
      <c r="AW489" s="114"/>
      <c r="AX489" s="115"/>
      <c r="AY489" s="116"/>
      <c r="AZ489" s="115"/>
      <c r="BA489" s="116"/>
      <c r="BB489" s="116"/>
      <c r="BC489" s="116"/>
      <c r="BP489" s="117"/>
      <c r="BQ489" s="117"/>
      <c r="BU489" s="117"/>
      <c r="BW489" s="118"/>
      <c r="BY489" s="119"/>
      <c r="BZ489" s="119"/>
      <c r="CA489" s="120"/>
      <c r="CU489" s="120"/>
      <c r="CV489" s="121"/>
      <c r="CW489" s="120"/>
      <c r="CX489" s="122"/>
    </row>
    <row r="490" ht="15.75" customHeight="1">
      <c r="B490" s="111"/>
      <c r="E490" s="112"/>
      <c r="AA490" s="113"/>
      <c r="AV490" s="114"/>
      <c r="AW490" s="114"/>
      <c r="AX490" s="115"/>
      <c r="AY490" s="116"/>
      <c r="AZ490" s="115"/>
      <c r="BA490" s="116"/>
      <c r="BB490" s="116"/>
      <c r="BC490" s="116"/>
      <c r="BP490" s="117"/>
      <c r="BQ490" s="117"/>
      <c r="BU490" s="117"/>
      <c r="BW490" s="118"/>
      <c r="BY490" s="119"/>
      <c r="BZ490" s="119"/>
      <c r="CA490" s="120"/>
      <c r="CU490" s="120"/>
      <c r="CV490" s="121"/>
      <c r="CW490" s="120"/>
      <c r="CX490" s="122"/>
    </row>
    <row r="491" ht="15.75" customHeight="1">
      <c r="B491" s="111"/>
      <c r="E491" s="112"/>
      <c r="AA491" s="113"/>
      <c r="AV491" s="114"/>
      <c r="AW491" s="114"/>
      <c r="AX491" s="115"/>
      <c r="AY491" s="116"/>
      <c r="AZ491" s="115"/>
      <c r="BA491" s="116"/>
      <c r="BB491" s="116"/>
      <c r="BC491" s="116"/>
      <c r="BP491" s="117"/>
      <c r="BQ491" s="117"/>
      <c r="BU491" s="117"/>
      <c r="BW491" s="118"/>
      <c r="BY491" s="119"/>
      <c r="BZ491" s="119"/>
      <c r="CA491" s="120"/>
      <c r="CU491" s="120"/>
      <c r="CV491" s="121"/>
      <c r="CW491" s="120"/>
      <c r="CX491" s="122"/>
    </row>
    <row r="492" ht="15.75" customHeight="1">
      <c r="B492" s="111"/>
      <c r="E492" s="112"/>
      <c r="AA492" s="113"/>
      <c r="AV492" s="114"/>
      <c r="AW492" s="114"/>
      <c r="AX492" s="115"/>
      <c r="AY492" s="116"/>
      <c r="AZ492" s="115"/>
      <c r="BA492" s="116"/>
      <c r="BB492" s="116"/>
      <c r="BC492" s="116"/>
      <c r="BP492" s="117"/>
      <c r="BQ492" s="117"/>
      <c r="BU492" s="117"/>
      <c r="BW492" s="118"/>
      <c r="BY492" s="119"/>
      <c r="BZ492" s="119"/>
      <c r="CA492" s="120"/>
      <c r="CU492" s="120"/>
      <c r="CV492" s="121"/>
      <c r="CW492" s="120"/>
      <c r="CX492" s="122"/>
    </row>
    <row r="493" ht="15.75" customHeight="1">
      <c r="B493" s="111"/>
      <c r="E493" s="112"/>
      <c r="AA493" s="113"/>
      <c r="AV493" s="114"/>
      <c r="AW493" s="114"/>
      <c r="AX493" s="115"/>
      <c r="AY493" s="116"/>
      <c r="AZ493" s="115"/>
      <c r="BA493" s="116"/>
      <c r="BB493" s="116"/>
      <c r="BC493" s="116"/>
      <c r="BP493" s="117"/>
      <c r="BQ493" s="117"/>
      <c r="BU493" s="117"/>
      <c r="BW493" s="118"/>
      <c r="BY493" s="119"/>
      <c r="BZ493" s="119"/>
      <c r="CA493" s="120"/>
      <c r="CU493" s="120"/>
      <c r="CV493" s="121"/>
      <c r="CW493" s="120"/>
      <c r="CX493" s="122"/>
    </row>
    <row r="494" ht="15.75" customHeight="1">
      <c r="B494" s="111"/>
      <c r="E494" s="112"/>
      <c r="AA494" s="113"/>
      <c r="AV494" s="114"/>
      <c r="AW494" s="114"/>
      <c r="AX494" s="115"/>
      <c r="AY494" s="116"/>
      <c r="AZ494" s="115"/>
      <c r="BA494" s="116"/>
      <c r="BB494" s="116"/>
      <c r="BC494" s="116"/>
      <c r="BP494" s="117"/>
      <c r="BQ494" s="117"/>
      <c r="BU494" s="117"/>
      <c r="BW494" s="118"/>
      <c r="BY494" s="119"/>
      <c r="BZ494" s="119"/>
      <c r="CA494" s="120"/>
      <c r="CU494" s="120"/>
      <c r="CV494" s="121"/>
      <c r="CW494" s="120"/>
      <c r="CX494" s="122"/>
    </row>
    <row r="495" ht="15.75" customHeight="1">
      <c r="B495" s="111"/>
      <c r="E495" s="112"/>
      <c r="AA495" s="113"/>
      <c r="AV495" s="114"/>
      <c r="AW495" s="114"/>
      <c r="AX495" s="115"/>
      <c r="AY495" s="116"/>
      <c r="AZ495" s="115"/>
      <c r="BA495" s="116"/>
      <c r="BB495" s="116"/>
      <c r="BC495" s="116"/>
      <c r="BP495" s="117"/>
      <c r="BQ495" s="117"/>
      <c r="BU495" s="117"/>
      <c r="BW495" s="118"/>
      <c r="BY495" s="119"/>
      <c r="BZ495" s="119"/>
      <c r="CA495" s="120"/>
      <c r="CU495" s="120"/>
      <c r="CV495" s="121"/>
      <c r="CW495" s="120"/>
      <c r="CX495" s="122"/>
    </row>
    <row r="496" ht="15.75" customHeight="1">
      <c r="B496" s="111"/>
      <c r="E496" s="112"/>
      <c r="AA496" s="113"/>
      <c r="AV496" s="114"/>
      <c r="AW496" s="114"/>
      <c r="AX496" s="115"/>
      <c r="AY496" s="116"/>
      <c r="AZ496" s="115"/>
      <c r="BA496" s="116"/>
      <c r="BB496" s="116"/>
      <c r="BC496" s="116"/>
      <c r="BP496" s="117"/>
      <c r="BQ496" s="117"/>
      <c r="BU496" s="117"/>
      <c r="BW496" s="118"/>
      <c r="BY496" s="119"/>
      <c r="BZ496" s="119"/>
      <c r="CA496" s="120"/>
      <c r="CU496" s="120"/>
      <c r="CV496" s="121"/>
      <c r="CW496" s="120"/>
      <c r="CX496" s="122"/>
    </row>
    <row r="497" ht="15.75" customHeight="1">
      <c r="B497" s="111"/>
      <c r="E497" s="112"/>
      <c r="AA497" s="113"/>
      <c r="AV497" s="114"/>
      <c r="AW497" s="114"/>
      <c r="AX497" s="115"/>
      <c r="AY497" s="116"/>
      <c r="AZ497" s="115"/>
      <c r="BA497" s="116"/>
      <c r="BB497" s="116"/>
      <c r="BC497" s="116"/>
      <c r="BP497" s="117"/>
      <c r="BQ497" s="117"/>
      <c r="BU497" s="117"/>
      <c r="BW497" s="118"/>
      <c r="BY497" s="119"/>
      <c r="BZ497" s="119"/>
      <c r="CA497" s="120"/>
      <c r="CU497" s="120"/>
      <c r="CV497" s="121"/>
      <c r="CW497" s="120"/>
      <c r="CX497" s="122"/>
    </row>
    <row r="498" ht="15.75" customHeight="1">
      <c r="B498" s="111"/>
      <c r="E498" s="112"/>
      <c r="AA498" s="113"/>
      <c r="AV498" s="114"/>
      <c r="AW498" s="114"/>
      <c r="AX498" s="115"/>
      <c r="AY498" s="116"/>
      <c r="AZ498" s="115"/>
      <c r="BA498" s="116"/>
      <c r="BB498" s="116"/>
      <c r="BC498" s="116"/>
      <c r="BP498" s="117"/>
      <c r="BQ498" s="117"/>
      <c r="BU498" s="117"/>
      <c r="BW498" s="118"/>
      <c r="BY498" s="119"/>
      <c r="BZ498" s="119"/>
      <c r="CA498" s="120"/>
      <c r="CU498" s="120"/>
      <c r="CV498" s="121"/>
      <c r="CW498" s="120"/>
      <c r="CX498" s="122"/>
    </row>
    <row r="499" ht="15.75" customHeight="1">
      <c r="B499" s="111"/>
      <c r="E499" s="112"/>
      <c r="AA499" s="113"/>
      <c r="AV499" s="114"/>
      <c r="AW499" s="114"/>
      <c r="AX499" s="115"/>
      <c r="AY499" s="116"/>
      <c r="AZ499" s="115"/>
      <c r="BA499" s="116"/>
      <c r="BB499" s="116"/>
      <c r="BC499" s="116"/>
      <c r="BP499" s="117"/>
      <c r="BQ499" s="117"/>
      <c r="BU499" s="117"/>
      <c r="BW499" s="118"/>
      <c r="BY499" s="119"/>
      <c r="BZ499" s="119"/>
      <c r="CA499" s="120"/>
      <c r="CU499" s="120"/>
      <c r="CV499" s="121"/>
      <c r="CW499" s="120"/>
      <c r="CX499" s="122"/>
    </row>
    <row r="500" ht="15.75" customHeight="1">
      <c r="B500" s="111"/>
      <c r="E500" s="112"/>
      <c r="AA500" s="113"/>
      <c r="AV500" s="114"/>
      <c r="AW500" s="114"/>
      <c r="AX500" s="115"/>
      <c r="AY500" s="116"/>
      <c r="AZ500" s="115"/>
      <c r="BA500" s="116"/>
      <c r="BB500" s="116"/>
      <c r="BC500" s="116"/>
      <c r="BP500" s="117"/>
      <c r="BQ500" s="117"/>
      <c r="BU500" s="117"/>
      <c r="BW500" s="118"/>
      <c r="BY500" s="119"/>
      <c r="BZ500" s="119"/>
      <c r="CA500" s="120"/>
      <c r="CU500" s="120"/>
      <c r="CV500" s="121"/>
      <c r="CW500" s="120"/>
      <c r="CX500" s="122"/>
    </row>
    <row r="501" ht="15.75" customHeight="1">
      <c r="B501" s="111"/>
      <c r="E501" s="112"/>
      <c r="AA501" s="113"/>
      <c r="AV501" s="114"/>
      <c r="AW501" s="114"/>
      <c r="AX501" s="115"/>
      <c r="AY501" s="116"/>
      <c r="AZ501" s="115"/>
      <c r="BA501" s="116"/>
      <c r="BB501" s="116"/>
      <c r="BC501" s="116"/>
      <c r="BP501" s="117"/>
      <c r="BQ501" s="117"/>
      <c r="BU501" s="117"/>
      <c r="BW501" s="118"/>
      <c r="BY501" s="119"/>
      <c r="BZ501" s="119"/>
      <c r="CA501" s="120"/>
      <c r="CU501" s="120"/>
      <c r="CV501" s="121"/>
      <c r="CW501" s="120"/>
      <c r="CX501" s="122"/>
    </row>
    <row r="502" ht="15.75" customHeight="1">
      <c r="B502" s="111"/>
      <c r="E502" s="112"/>
      <c r="AA502" s="113"/>
      <c r="AV502" s="114"/>
      <c r="AW502" s="114"/>
      <c r="AX502" s="115"/>
      <c r="AY502" s="116"/>
      <c r="AZ502" s="115"/>
      <c r="BA502" s="116"/>
      <c r="BB502" s="116"/>
      <c r="BC502" s="116"/>
      <c r="BP502" s="117"/>
      <c r="BQ502" s="117"/>
      <c r="BU502" s="117"/>
      <c r="BW502" s="118"/>
      <c r="BY502" s="119"/>
      <c r="BZ502" s="119"/>
      <c r="CA502" s="120"/>
      <c r="CU502" s="120"/>
      <c r="CV502" s="121"/>
      <c r="CW502" s="120"/>
      <c r="CX502" s="122"/>
    </row>
    <row r="503" ht="15.75" customHeight="1">
      <c r="B503" s="111"/>
      <c r="E503" s="112"/>
      <c r="AA503" s="113"/>
      <c r="AV503" s="114"/>
      <c r="AW503" s="114"/>
      <c r="AX503" s="115"/>
      <c r="AY503" s="116"/>
      <c r="AZ503" s="115"/>
      <c r="BA503" s="116"/>
      <c r="BB503" s="116"/>
      <c r="BC503" s="116"/>
      <c r="BP503" s="117"/>
      <c r="BQ503" s="117"/>
      <c r="BU503" s="117"/>
      <c r="BW503" s="118"/>
      <c r="BY503" s="119"/>
      <c r="BZ503" s="119"/>
      <c r="CA503" s="120"/>
      <c r="CU503" s="120"/>
      <c r="CV503" s="121"/>
      <c r="CW503" s="120"/>
      <c r="CX503" s="122"/>
    </row>
    <row r="504" ht="15.75" customHeight="1">
      <c r="B504" s="111"/>
      <c r="E504" s="112"/>
      <c r="AA504" s="113"/>
      <c r="AV504" s="114"/>
      <c r="AW504" s="114"/>
      <c r="AX504" s="115"/>
      <c r="AY504" s="116"/>
      <c r="AZ504" s="115"/>
      <c r="BA504" s="116"/>
      <c r="BB504" s="116"/>
      <c r="BC504" s="116"/>
      <c r="BP504" s="117"/>
      <c r="BQ504" s="117"/>
      <c r="BU504" s="117"/>
      <c r="BW504" s="118"/>
      <c r="BY504" s="119"/>
      <c r="BZ504" s="119"/>
      <c r="CA504" s="120"/>
      <c r="CU504" s="120"/>
      <c r="CV504" s="121"/>
      <c r="CW504" s="120"/>
      <c r="CX504" s="122"/>
    </row>
    <row r="505" ht="15.75" customHeight="1">
      <c r="B505" s="111"/>
      <c r="E505" s="112"/>
      <c r="AA505" s="113"/>
      <c r="AV505" s="114"/>
      <c r="AW505" s="114"/>
      <c r="AX505" s="115"/>
      <c r="AY505" s="116"/>
      <c r="AZ505" s="115"/>
      <c r="BA505" s="116"/>
      <c r="BB505" s="116"/>
      <c r="BC505" s="116"/>
      <c r="BP505" s="117"/>
      <c r="BQ505" s="117"/>
      <c r="BU505" s="117"/>
      <c r="BW505" s="118"/>
      <c r="BY505" s="119"/>
      <c r="BZ505" s="119"/>
      <c r="CA505" s="120"/>
      <c r="CU505" s="120"/>
      <c r="CV505" s="121"/>
      <c r="CW505" s="120"/>
      <c r="CX505" s="122"/>
    </row>
    <row r="506" ht="15.75" customHeight="1">
      <c r="B506" s="111"/>
      <c r="E506" s="112"/>
      <c r="AA506" s="113"/>
      <c r="AV506" s="114"/>
      <c r="AW506" s="114"/>
      <c r="AX506" s="115"/>
      <c r="AY506" s="116"/>
      <c r="AZ506" s="115"/>
      <c r="BA506" s="116"/>
      <c r="BB506" s="116"/>
      <c r="BC506" s="116"/>
      <c r="BP506" s="117"/>
      <c r="BQ506" s="117"/>
      <c r="BU506" s="117"/>
      <c r="BW506" s="118"/>
      <c r="BY506" s="119"/>
      <c r="BZ506" s="119"/>
      <c r="CA506" s="120"/>
      <c r="CU506" s="120"/>
      <c r="CV506" s="121"/>
      <c r="CW506" s="120"/>
      <c r="CX506" s="122"/>
    </row>
    <row r="507" ht="15.75" customHeight="1">
      <c r="B507" s="111"/>
      <c r="E507" s="112"/>
      <c r="AA507" s="113"/>
      <c r="AV507" s="114"/>
      <c r="AW507" s="114"/>
      <c r="AX507" s="115"/>
      <c r="AY507" s="116"/>
      <c r="AZ507" s="115"/>
      <c r="BA507" s="116"/>
      <c r="BB507" s="116"/>
      <c r="BC507" s="116"/>
      <c r="BP507" s="117"/>
      <c r="BQ507" s="117"/>
      <c r="BU507" s="117"/>
      <c r="BW507" s="118"/>
      <c r="BY507" s="119"/>
      <c r="BZ507" s="119"/>
      <c r="CA507" s="120"/>
      <c r="CU507" s="120"/>
      <c r="CV507" s="121"/>
      <c r="CW507" s="120"/>
      <c r="CX507" s="122"/>
    </row>
    <row r="508" ht="15.75" customHeight="1">
      <c r="B508" s="111"/>
      <c r="E508" s="112"/>
      <c r="AA508" s="113"/>
      <c r="AV508" s="114"/>
      <c r="AW508" s="114"/>
      <c r="AX508" s="115"/>
      <c r="AY508" s="116"/>
      <c r="AZ508" s="115"/>
      <c r="BA508" s="116"/>
      <c r="BB508" s="116"/>
      <c r="BC508" s="116"/>
      <c r="BP508" s="117"/>
      <c r="BQ508" s="117"/>
      <c r="BU508" s="117"/>
      <c r="BW508" s="118"/>
      <c r="BY508" s="119"/>
      <c r="BZ508" s="119"/>
      <c r="CA508" s="120"/>
      <c r="CU508" s="120"/>
      <c r="CV508" s="121"/>
      <c r="CW508" s="120"/>
      <c r="CX508" s="122"/>
    </row>
    <row r="509" ht="15.75" customHeight="1">
      <c r="B509" s="111"/>
      <c r="E509" s="112"/>
      <c r="AA509" s="113"/>
      <c r="AV509" s="114"/>
      <c r="AW509" s="114"/>
      <c r="AX509" s="115"/>
      <c r="AY509" s="116"/>
      <c r="AZ509" s="115"/>
      <c r="BA509" s="116"/>
      <c r="BB509" s="116"/>
      <c r="BC509" s="116"/>
      <c r="BP509" s="117"/>
      <c r="BQ509" s="117"/>
      <c r="BU509" s="117"/>
      <c r="BW509" s="118"/>
      <c r="BY509" s="119"/>
      <c r="BZ509" s="119"/>
      <c r="CA509" s="120"/>
      <c r="CU509" s="120"/>
      <c r="CV509" s="121"/>
      <c r="CW509" s="120"/>
      <c r="CX509" s="122"/>
    </row>
    <row r="510" ht="15.75" customHeight="1">
      <c r="B510" s="111"/>
      <c r="E510" s="112"/>
      <c r="AA510" s="113"/>
      <c r="AV510" s="114"/>
      <c r="AW510" s="114"/>
      <c r="AX510" s="115"/>
      <c r="AY510" s="116"/>
      <c r="AZ510" s="115"/>
      <c r="BA510" s="116"/>
      <c r="BB510" s="116"/>
      <c r="BC510" s="116"/>
      <c r="BP510" s="117"/>
      <c r="BQ510" s="117"/>
      <c r="BU510" s="117"/>
      <c r="BW510" s="118"/>
      <c r="BY510" s="119"/>
      <c r="BZ510" s="119"/>
      <c r="CA510" s="120"/>
      <c r="CU510" s="120"/>
      <c r="CV510" s="121"/>
      <c r="CW510" s="120"/>
      <c r="CX510" s="122"/>
    </row>
    <row r="511" ht="15.75" customHeight="1">
      <c r="B511" s="111"/>
      <c r="E511" s="112"/>
      <c r="AA511" s="113"/>
      <c r="AV511" s="114"/>
      <c r="AW511" s="114"/>
      <c r="AX511" s="115"/>
      <c r="AY511" s="116"/>
      <c r="AZ511" s="115"/>
      <c r="BA511" s="116"/>
      <c r="BB511" s="116"/>
      <c r="BC511" s="116"/>
      <c r="BP511" s="117"/>
      <c r="BQ511" s="117"/>
      <c r="BU511" s="117"/>
      <c r="BW511" s="118"/>
      <c r="BY511" s="119"/>
      <c r="BZ511" s="119"/>
      <c r="CA511" s="120"/>
      <c r="CU511" s="120"/>
      <c r="CV511" s="121"/>
      <c r="CW511" s="120"/>
      <c r="CX511" s="122"/>
    </row>
    <row r="512" ht="15.75" customHeight="1">
      <c r="B512" s="111"/>
      <c r="E512" s="112"/>
      <c r="AA512" s="113"/>
      <c r="AV512" s="114"/>
      <c r="AW512" s="114"/>
      <c r="AX512" s="115"/>
      <c r="AY512" s="116"/>
      <c r="AZ512" s="115"/>
      <c r="BA512" s="116"/>
      <c r="BB512" s="116"/>
      <c r="BC512" s="116"/>
      <c r="BP512" s="117"/>
      <c r="BQ512" s="117"/>
      <c r="BU512" s="117"/>
      <c r="BW512" s="118"/>
      <c r="BY512" s="119"/>
      <c r="BZ512" s="119"/>
      <c r="CA512" s="120"/>
      <c r="CU512" s="120"/>
      <c r="CV512" s="121"/>
      <c r="CW512" s="120"/>
      <c r="CX512" s="122"/>
    </row>
    <row r="513" ht="15.75" customHeight="1">
      <c r="B513" s="111"/>
      <c r="E513" s="112"/>
      <c r="AA513" s="113"/>
      <c r="AV513" s="114"/>
      <c r="AW513" s="114"/>
      <c r="AX513" s="115"/>
      <c r="AY513" s="116"/>
      <c r="AZ513" s="115"/>
      <c r="BA513" s="116"/>
      <c r="BB513" s="116"/>
      <c r="BC513" s="116"/>
      <c r="BP513" s="117"/>
      <c r="BQ513" s="117"/>
      <c r="BU513" s="117"/>
      <c r="BW513" s="118"/>
      <c r="BY513" s="119"/>
      <c r="BZ513" s="119"/>
      <c r="CA513" s="120"/>
      <c r="CU513" s="120"/>
      <c r="CV513" s="121"/>
      <c r="CW513" s="120"/>
      <c r="CX513" s="122"/>
    </row>
    <row r="514" ht="15.75" customHeight="1">
      <c r="B514" s="111"/>
      <c r="E514" s="112"/>
      <c r="AA514" s="113"/>
      <c r="AV514" s="114"/>
      <c r="AW514" s="114"/>
      <c r="AX514" s="115"/>
      <c r="AY514" s="116"/>
      <c r="AZ514" s="115"/>
      <c r="BA514" s="116"/>
      <c r="BB514" s="116"/>
      <c r="BC514" s="116"/>
      <c r="BP514" s="117"/>
      <c r="BQ514" s="117"/>
      <c r="BU514" s="117"/>
      <c r="BW514" s="118"/>
      <c r="BY514" s="119"/>
      <c r="BZ514" s="119"/>
      <c r="CA514" s="120"/>
      <c r="CU514" s="120"/>
      <c r="CV514" s="121"/>
      <c r="CW514" s="120"/>
      <c r="CX514" s="122"/>
    </row>
    <row r="515" ht="15.75" customHeight="1">
      <c r="B515" s="111"/>
      <c r="E515" s="112"/>
      <c r="AA515" s="113"/>
      <c r="AV515" s="114"/>
      <c r="AW515" s="114"/>
      <c r="AX515" s="115"/>
      <c r="AY515" s="116"/>
      <c r="AZ515" s="115"/>
      <c r="BA515" s="116"/>
      <c r="BB515" s="116"/>
      <c r="BC515" s="116"/>
      <c r="BP515" s="117"/>
      <c r="BQ515" s="117"/>
      <c r="BU515" s="117"/>
      <c r="BW515" s="118"/>
      <c r="BY515" s="119"/>
      <c r="BZ515" s="119"/>
      <c r="CA515" s="120"/>
      <c r="CU515" s="120"/>
      <c r="CV515" s="121"/>
      <c r="CW515" s="120"/>
      <c r="CX515" s="122"/>
    </row>
    <row r="516" ht="15.75" customHeight="1">
      <c r="B516" s="111"/>
      <c r="E516" s="112"/>
      <c r="AA516" s="113"/>
      <c r="AV516" s="114"/>
      <c r="AW516" s="114"/>
      <c r="AX516" s="115"/>
      <c r="AY516" s="116"/>
      <c r="AZ516" s="115"/>
      <c r="BA516" s="116"/>
      <c r="BB516" s="116"/>
      <c r="BC516" s="116"/>
      <c r="BP516" s="117"/>
      <c r="BQ516" s="117"/>
      <c r="BU516" s="117"/>
      <c r="BW516" s="118"/>
      <c r="BY516" s="119"/>
      <c r="BZ516" s="119"/>
      <c r="CA516" s="120"/>
      <c r="CU516" s="120"/>
      <c r="CV516" s="121"/>
      <c r="CW516" s="120"/>
      <c r="CX516" s="122"/>
    </row>
    <row r="517" ht="15.75" customHeight="1">
      <c r="B517" s="111"/>
      <c r="E517" s="112"/>
      <c r="AA517" s="113"/>
      <c r="AV517" s="114"/>
      <c r="AW517" s="114"/>
      <c r="AX517" s="115"/>
      <c r="AY517" s="116"/>
      <c r="AZ517" s="115"/>
      <c r="BA517" s="116"/>
      <c r="BB517" s="116"/>
      <c r="BC517" s="116"/>
      <c r="BP517" s="117"/>
      <c r="BQ517" s="117"/>
      <c r="BU517" s="117"/>
      <c r="BW517" s="118"/>
      <c r="BY517" s="119"/>
      <c r="BZ517" s="119"/>
      <c r="CA517" s="120"/>
      <c r="CU517" s="120"/>
      <c r="CV517" s="121"/>
      <c r="CW517" s="120"/>
      <c r="CX517" s="122"/>
    </row>
    <row r="518" ht="15.75" customHeight="1">
      <c r="B518" s="111"/>
      <c r="E518" s="112"/>
      <c r="AA518" s="113"/>
      <c r="AV518" s="114"/>
      <c r="AW518" s="114"/>
      <c r="AX518" s="115"/>
      <c r="AY518" s="116"/>
      <c r="AZ518" s="115"/>
      <c r="BA518" s="116"/>
      <c r="BB518" s="116"/>
      <c r="BC518" s="116"/>
      <c r="BP518" s="117"/>
      <c r="BQ518" s="117"/>
      <c r="BU518" s="117"/>
      <c r="BW518" s="118"/>
      <c r="BY518" s="119"/>
      <c r="BZ518" s="119"/>
      <c r="CA518" s="120"/>
      <c r="CU518" s="120"/>
      <c r="CV518" s="121"/>
      <c r="CW518" s="120"/>
      <c r="CX518" s="122"/>
    </row>
    <row r="519" ht="15.75" customHeight="1">
      <c r="B519" s="111"/>
      <c r="E519" s="112"/>
      <c r="AA519" s="113"/>
      <c r="AV519" s="114"/>
      <c r="AW519" s="114"/>
      <c r="AX519" s="115"/>
      <c r="AY519" s="116"/>
      <c r="AZ519" s="115"/>
      <c r="BA519" s="116"/>
      <c r="BB519" s="116"/>
      <c r="BC519" s="116"/>
      <c r="BP519" s="117"/>
      <c r="BQ519" s="117"/>
      <c r="BU519" s="117"/>
      <c r="BW519" s="118"/>
      <c r="BY519" s="119"/>
      <c r="BZ519" s="119"/>
      <c r="CA519" s="120"/>
      <c r="CU519" s="120"/>
      <c r="CV519" s="121"/>
      <c r="CW519" s="120"/>
      <c r="CX519" s="122"/>
    </row>
    <row r="520" ht="15.75" customHeight="1">
      <c r="B520" s="111"/>
      <c r="E520" s="112"/>
      <c r="AA520" s="113"/>
      <c r="AV520" s="114"/>
      <c r="AW520" s="114"/>
      <c r="AX520" s="115"/>
      <c r="AY520" s="116"/>
      <c r="AZ520" s="115"/>
      <c r="BA520" s="116"/>
      <c r="BB520" s="116"/>
      <c r="BC520" s="116"/>
      <c r="BP520" s="117"/>
      <c r="BQ520" s="117"/>
      <c r="BU520" s="117"/>
      <c r="BW520" s="118"/>
      <c r="BY520" s="119"/>
      <c r="BZ520" s="119"/>
      <c r="CA520" s="120"/>
      <c r="CU520" s="120"/>
      <c r="CV520" s="121"/>
      <c r="CW520" s="120"/>
      <c r="CX520" s="122"/>
    </row>
    <row r="521" ht="15.75" customHeight="1">
      <c r="B521" s="111"/>
      <c r="E521" s="112"/>
      <c r="AA521" s="113"/>
      <c r="AV521" s="114"/>
      <c r="AW521" s="114"/>
      <c r="AX521" s="115"/>
      <c r="AY521" s="116"/>
      <c r="AZ521" s="115"/>
      <c r="BA521" s="116"/>
      <c r="BB521" s="116"/>
      <c r="BC521" s="116"/>
      <c r="BP521" s="117"/>
      <c r="BQ521" s="117"/>
      <c r="BU521" s="117"/>
      <c r="BW521" s="118"/>
      <c r="BY521" s="119"/>
      <c r="BZ521" s="119"/>
      <c r="CA521" s="120"/>
      <c r="CU521" s="120"/>
      <c r="CV521" s="121"/>
      <c r="CW521" s="120"/>
      <c r="CX521" s="122"/>
    </row>
    <row r="522" ht="15.75" customHeight="1">
      <c r="B522" s="111"/>
      <c r="E522" s="112"/>
      <c r="AA522" s="113"/>
      <c r="AV522" s="114"/>
      <c r="AW522" s="114"/>
      <c r="AX522" s="115"/>
      <c r="AY522" s="116"/>
      <c r="AZ522" s="115"/>
      <c r="BA522" s="116"/>
      <c r="BB522" s="116"/>
      <c r="BC522" s="116"/>
      <c r="BP522" s="117"/>
      <c r="BQ522" s="117"/>
      <c r="BU522" s="117"/>
      <c r="BW522" s="118"/>
      <c r="BY522" s="119"/>
      <c r="BZ522" s="119"/>
      <c r="CA522" s="120"/>
      <c r="CU522" s="120"/>
      <c r="CV522" s="121"/>
      <c r="CW522" s="120"/>
      <c r="CX522" s="122"/>
    </row>
    <row r="523" ht="15.75" customHeight="1">
      <c r="B523" s="111"/>
      <c r="E523" s="112"/>
      <c r="AA523" s="113"/>
      <c r="AV523" s="114"/>
      <c r="AW523" s="114"/>
      <c r="AX523" s="115"/>
      <c r="AY523" s="116"/>
      <c r="AZ523" s="115"/>
      <c r="BA523" s="116"/>
      <c r="BB523" s="116"/>
      <c r="BC523" s="116"/>
      <c r="BP523" s="117"/>
      <c r="BQ523" s="117"/>
      <c r="BU523" s="117"/>
      <c r="BW523" s="118"/>
      <c r="BY523" s="119"/>
      <c r="BZ523" s="119"/>
      <c r="CA523" s="120"/>
      <c r="CU523" s="120"/>
      <c r="CV523" s="121"/>
      <c r="CW523" s="120"/>
      <c r="CX523" s="122"/>
    </row>
    <row r="524" ht="15.75" customHeight="1">
      <c r="B524" s="111"/>
      <c r="E524" s="112"/>
      <c r="AA524" s="113"/>
      <c r="AV524" s="114"/>
      <c r="AW524" s="114"/>
      <c r="AX524" s="115"/>
      <c r="AY524" s="116"/>
      <c r="AZ524" s="115"/>
      <c r="BA524" s="116"/>
      <c r="BB524" s="116"/>
      <c r="BC524" s="116"/>
      <c r="BP524" s="117"/>
      <c r="BQ524" s="117"/>
      <c r="BU524" s="117"/>
      <c r="BW524" s="118"/>
      <c r="BY524" s="119"/>
      <c r="BZ524" s="119"/>
      <c r="CA524" s="120"/>
      <c r="CU524" s="120"/>
      <c r="CV524" s="121"/>
      <c r="CW524" s="120"/>
      <c r="CX524" s="122"/>
    </row>
    <row r="525" ht="15.75" customHeight="1">
      <c r="B525" s="111"/>
      <c r="E525" s="112"/>
      <c r="AA525" s="113"/>
      <c r="AV525" s="114"/>
      <c r="AW525" s="114"/>
      <c r="AX525" s="115"/>
      <c r="AY525" s="116"/>
      <c r="AZ525" s="115"/>
      <c r="BA525" s="116"/>
      <c r="BB525" s="116"/>
      <c r="BC525" s="116"/>
      <c r="BP525" s="117"/>
      <c r="BQ525" s="117"/>
      <c r="BU525" s="117"/>
      <c r="BW525" s="118"/>
      <c r="BY525" s="119"/>
      <c r="BZ525" s="119"/>
      <c r="CA525" s="120"/>
      <c r="CU525" s="120"/>
      <c r="CV525" s="121"/>
      <c r="CW525" s="120"/>
      <c r="CX525" s="122"/>
    </row>
    <row r="526" ht="15.75" customHeight="1">
      <c r="B526" s="111"/>
      <c r="E526" s="112"/>
      <c r="AA526" s="113"/>
      <c r="AV526" s="114"/>
      <c r="AW526" s="114"/>
      <c r="AX526" s="115"/>
      <c r="AY526" s="116"/>
      <c r="AZ526" s="115"/>
      <c r="BA526" s="116"/>
      <c r="BB526" s="116"/>
      <c r="BC526" s="116"/>
      <c r="BP526" s="117"/>
      <c r="BQ526" s="117"/>
      <c r="BU526" s="117"/>
      <c r="BW526" s="118"/>
      <c r="BY526" s="119"/>
      <c r="BZ526" s="119"/>
      <c r="CA526" s="120"/>
      <c r="CU526" s="120"/>
      <c r="CV526" s="121"/>
      <c r="CW526" s="120"/>
      <c r="CX526" s="122"/>
    </row>
    <row r="527" ht="15.75" customHeight="1">
      <c r="B527" s="111"/>
      <c r="E527" s="112"/>
      <c r="AA527" s="113"/>
      <c r="AV527" s="114"/>
      <c r="AW527" s="114"/>
      <c r="AX527" s="115"/>
      <c r="AY527" s="116"/>
      <c r="AZ527" s="115"/>
      <c r="BA527" s="116"/>
      <c r="BB527" s="116"/>
      <c r="BC527" s="116"/>
      <c r="BP527" s="117"/>
      <c r="BQ527" s="117"/>
      <c r="BU527" s="117"/>
      <c r="BW527" s="118"/>
      <c r="BY527" s="119"/>
      <c r="BZ527" s="119"/>
      <c r="CA527" s="120"/>
      <c r="CU527" s="120"/>
      <c r="CV527" s="121"/>
      <c r="CW527" s="120"/>
      <c r="CX527" s="122"/>
    </row>
    <row r="528" ht="15.75" customHeight="1">
      <c r="B528" s="111"/>
      <c r="E528" s="112"/>
      <c r="AA528" s="113"/>
      <c r="AV528" s="114"/>
      <c r="AW528" s="114"/>
      <c r="AX528" s="115"/>
      <c r="AY528" s="116"/>
      <c r="AZ528" s="115"/>
      <c r="BA528" s="116"/>
      <c r="BB528" s="116"/>
      <c r="BC528" s="116"/>
      <c r="BP528" s="117"/>
      <c r="BQ528" s="117"/>
      <c r="BU528" s="117"/>
      <c r="BW528" s="118"/>
      <c r="BY528" s="119"/>
      <c r="BZ528" s="119"/>
      <c r="CA528" s="120"/>
      <c r="CU528" s="120"/>
      <c r="CV528" s="121"/>
      <c r="CW528" s="120"/>
      <c r="CX528" s="122"/>
    </row>
    <row r="529" ht="15.75" customHeight="1">
      <c r="B529" s="111"/>
      <c r="E529" s="112"/>
      <c r="AA529" s="113"/>
      <c r="AV529" s="114"/>
      <c r="AW529" s="114"/>
      <c r="AX529" s="115"/>
      <c r="AY529" s="116"/>
      <c r="AZ529" s="115"/>
      <c r="BA529" s="116"/>
      <c r="BB529" s="116"/>
      <c r="BC529" s="116"/>
      <c r="BP529" s="117"/>
      <c r="BQ529" s="117"/>
      <c r="BU529" s="117"/>
      <c r="BW529" s="118"/>
      <c r="BY529" s="119"/>
      <c r="BZ529" s="119"/>
      <c r="CA529" s="120"/>
      <c r="CU529" s="120"/>
      <c r="CV529" s="121"/>
      <c r="CW529" s="120"/>
      <c r="CX529" s="122"/>
    </row>
    <row r="530" ht="15.75" customHeight="1">
      <c r="B530" s="111"/>
      <c r="E530" s="112"/>
      <c r="AA530" s="113"/>
      <c r="AV530" s="114"/>
      <c r="AW530" s="114"/>
      <c r="AX530" s="115"/>
      <c r="AY530" s="116"/>
      <c r="AZ530" s="115"/>
      <c r="BA530" s="116"/>
      <c r="BB530" s="116"/>
      <c r="BC530" s="116"/>
      <c r="BP530" s="117"/>
      <c r="BQ530" s="117"/>
      <c r="BU530" s="117"/>
      <c r="BW530" s="118"/>
      <c r="BY530" s="119"/>
      <c r="BZ530" s="119"/>
      <c r="CA530" s="120"/>
      <c r="CU530" s="120"/>
      <c r="CV530" s="121"/>
      <c r="CW530" s="120"/>
      <c r="CX530" s="122"/>
    </row>
    <row r="531" ht="15.75" customHeight="1">
      <c r="B531" s="111"/>
      <c r="E531" s="112"/>
      <c r="AA531" s="113"/>
      <c r="AV531" s="114"/>
      <c r="AW531" s="114"/>
      <c r="AX531" s="115"/>
      <c r="AY531" s="116"/>
      <c r="AZ531" s="115"/>
      <c r="BA531" s="116"/>
      <c r="BB531" s="116"/>
      <c r="BC531" s="116"/>
      <c r="BP531" s="117"/>
      <c r="BQ531" s="117"/>
      <c r="BU531" s="117"/>
      <c r="BW531" s="118"/>
      <c r="BY531" s="119"/>
      <c r="BZ531" s="119"/>
      <c r="CA531" s="120"/>
      <c r="CU531" s="120"/>
      <c r="CV531" s="121"/>
      <c r="CW531" s="120"/>
      <c r="CX531" s="122"/>
    </row>
    <row r="532" ht="15.75" customHeight="1">
      <c r="B532" s="111"/>
      <c r="E532" s="112"/>
      <c r="AA532" s="113"/>
      <c r="AV532" s="114"/>
      <c r="AW532" s="114"/>
      <c r="AX532" s="115"/>
      <c r="AY532" s="116"/>
      <c r="AZ532" s="115"/>
      <c r="BA532" s="116"/>
      <c r="BB532" s="116"/>
      <c r="BC532" s="116"/>
      <c r="BP532" s="117"/>
      <c r="BQ532" s="117"/>
      <c r="BU532" s="117"/>
      <c r="BW532" s="118"/>
      <c r="BY532" s="119"/>
      <c r="BZ532" s="119"/>
      <c r="CA532" s="120"/>
      <c r="CU532" s="120"/>
      <c r="CV532" s="121"/>
      <c r="CW532" s="120"/>
      <c r="CX532" s="122"/>
    </row>
    <row r="533" ht="15.75" customHeight="1">
      <c r="B533" s="111"/>
      <c r="E533" s="112"/>
      <c r="AA533" s="113"/>
      <c r="AV533" s="114"/>
      <c r="AW533" s="114"/>
      <c r="AX533" s="115"/>
      <c r="AY533" s="116"/>
      <c r="AZ533" s="115"/>
      <c r="BA533" s="116"/>
      <c r="BB533" s="116"/>
      <c r="BC533" s="116"/>
      <c r="BP533" s="117"/>
      <c r="BQ533" s="117"/>
      <c r="BU533" s="117"/>
      <c r="BW533" s="118"/>
      <c r="BY533" s="119"/>
      <c r="BZ533" s="119"/>
      <c r="CA533" s="120"/>
      <c r="CU533" s="120"/>
      <c r="CV533" s="121"/>
      <c r="CW533" s="120"/>
      <c r="CX533" s="122"/>
    </row>
    <row r="534" ht="15.75" customHeight="1">
      <c r="B534" s="111"/>
      <c r="E534" s="112"/>
      <c r="AA534" s="113"/>
      <c r="AV534" s="114"/>
      <c r="AW534" s="114"/>
      <c r="AX534" s="115"/>
      <c r="AY534" s="116"/>
      <c r="AZ534" s="115"/>
      <c r="BA534" s="116"/>
      <c r="BB534" s="116"/>
      <c r="BC534" s="116"/>
      <c r="BP534" s="117"/>
      <c r="BQ534" s="117"/>
      <c r="BU534" s="117"/>
      <c r="BW534" s="118"/>
      <c r="BY534" s="119"/>
      <c r="BZ534" s="119"/>
      <c r="CA534" s="120"/>
      <c r="CU534" s="120"/>
      <c r="CV534" s="121"/>
      <c r="CW534" s="120"/>
      <c r="CX534" s="122"/>
    </row>
    <row r="535" ht="15.75" customHeight="1">
      <c r="B535" s="111"/>
      <c r="E535" s="112"/>
      <c r="AA535" s="113"/>
      <c r="AV535" s="114"/>
      <c r="AW535" s="114"/>
      <c r="AX535" s="115"/>
      <c r="AY535" s="116"/>
      <c r="AZ535" s="115"/>
      <c r="BA535" s="116"/>
      <c r="BB535" s="116"/>
      <c r="BC535" s="116"/>
      <c r="BP535" s="117"/>
      <c r="BQ535" s="117"/>
      <c r="BU535" s="117"/>
      <c r="BW535" s="118"/>
      <c r="BY535" s="119"/>
      <c r="BZ535" s="119"/>
      <c r="CA535" s="120"/>
      <c r="CU535" s="120"/>
      <c r="CV535" s="121"/>
      <c r="CW535" s="120"/>
      <c r="CX535" s="122"/>
    </row>
    <row r="536" ht="15.75" customHeight="1">
      <c r="B536" s="111"/>
      <c r="E536" s="112"/>
      <c r="AA536" s="113"/>
      <c r="AV536" s="114"/>
      <c r="AW536" s="114"/>
      <c r="AX536" s="115"/>
      <c r="AY536" s="116"/>
      <c r="AZ536" s="115"/>
      <c r="BA536" s="116"/>
      <c r="BB536" s="116"/>
      <c r="BC536" s="116"/>
      <c r="BP536" s="117"/>
      <c r="BQ536" s="117"/>
      <c r="BU536" s="117"/>
      <c r="BW536" s="118"/>
      <c r="BY536" s="119"/>
      <c r="BZ536" s="119"/>
      <c r="CA536" s="120"/>
      <c r="CU536" s="120"/>
      <c r="CV536" s="121"/>
      <c r="CW536" s="120"/>
      <c r="CX536" s="122"/>
    </row>
    <row r="537" ht="15.75" customHeight="1">
      <c r="B537" s="111"/>
      <c r="E537" s="112"/>
      <c r="AA537" s="113"/>
      <c r="AV537" s="114"/>
      <c r="AW537" s="114"/>
      <c r="AX537" s="115"/>
      <c r="AY537" s="116"/>
      <c r="AZ537" s="115"/>
      <c r="BA537" s="116"/>
      <c r="BB537" s="116"/>
      <c r="BC537" s="116"/>
      <c r="BP537" s="117"/>
      <c r="BQ537" s="117"/>
      <c r="BU537" s="117"/>
      <c r="BW537" s="118"/>
      <c r="BY537" s="119"/>
      <c r="BZ537" s="119"/>
      <c r="CA537" s="120"/>
      <c r="CU537" s="120"/>
      <c r="CV537" s="121"/>
      <c r="CW537" s="120"/>
      <c r="CX537" s="122"/>
    </row>
    <row r="538" ht="15.75" customHeight="1">
      <c r="B538" s="111"/>
      <c r="E538" s="112"/>
      <c r="AA538" s="113"/>
      <c r="AV538" s="114"/>
      <c r="AW538" s="114"/>
      <c r="AX538" s="115"/>
      <c r="AY538" s="116"/>
      <c r="AZ538" s="115"/>
      <c r="BA538" s="116"/>
      <c r="BB538" s="116"/>
      <c r="BC538" s="116"/>
      <c r="BP538" s="117"/>
      <c r="BQ538" s="117"/>
      <c r="BU538" s="117"/>
      <c r="BW538" s="118"/>
      <c r="BY538" s="119"/>
      <c r="BZ538" s="119"/>
      <c r="CA538" s="120"/>
      <c r="CU538" s="120"/>
      <c r="CV538" s="121"/>
      <c r="CW538" s="120"/>
      <c r="CX538" s="122"/>
    </row>
    <row r="539" ht="15.75" customHeight="1">
      <c r="B539" s="111"/>
      <c r="E539" s="112"/>
      <c r="AA539" s="113"/>
      <c r="AV539" s="114"/>
      <c r="AW539" s="114"/>
      <c r="AX539" s="115"/>
      <c r="AY539" s="116"/>
      <c r="AZ539" s="115"/>
      <c r="BA539" s="116"/>
      <c r="BB539" s="116"/>
      <c r="BC539" s="116"/>
      <c r="BP539" s="117"/>
      <c r="BQ539" s="117"/>
      <c r="BU539" s="117"/>
      <c r="BW539" s="118"/>
      <c r="BY539" s="119"/>
      <c r="BZ539" s="119"/>
      <c r="CA539" s="120"/>
      <c r="CU539" s="120"/>
      <c r="CV539" s="121"/>
      <c r="CW539" s="120"/>
      <c r="CX539" s="122"/>
    </row>
    <row r="540" ht="15.75" customHeight="1">
      <c r="B540" s="111"/>
      <c r="E540" s="112"/>
      <c r="AA540" s="113"/>
      <c r="AV540" s="114"/>
      <c r="AW540" s="114"/>
      <c r="AX540" s="115"/>
      <c r="AY540" s="116"/>
      <c r="AZ540" s="115"/>
      <c r="BA540" s="116"/>
      <c r="BB540" s="116"/>
      <c r="BC540" s="116"/>
      <c r="BP540" s="117"/>
      <c r="BQ540" s="117"/>
      <c r="BU540" s="117"/>
      <c r="BW540" s="118"/>
      <c r="BY540" s="119"/>
      <c r="BZ540" s="119"/>
      <c r="CA540" s="120"/>
      <c r="CU540" s="120"/>
      <c r="CV540" s="121"/>
      <c r="CW540" s="120"/>
      <c r="CX540" s="122"/>
    </row>
    <row r="541" ht="15.75" customHeight="1">
      <c r="B541" s="111"/>
      <c r="E541" s="112"/>
      <c r="AA541" s="113"/>
      <c r="AV541" s="114"/>
      <c r="AW541" s="114"/>
      <c r="AX541" s="115"/>
      <c r="AY541" s="116"/>
      <c r="AZ541" s="115"/>
      <c r="BA541" s="116"/>
      <c r="BB541" s="116"/>
      <c r="BC541" s="116"/>
      <c r="BP541" s="117"/>
      <c r="BQ541" s="117"/>
      <c r="BU541" s="117"/>
      <c r="BW541" s="118"/>
      <c r="BY541" s="119"/>
      <c r="BZ541" s="119"/>
      <c r="CA541" s="120"/>
      <c r="CU541" s="120"/>
      <c r="CV541" s="121"/>
      <c r="CW541" s="120"/>
      <c r="CX541" s="122"/>
    </row>
    <row r="542" ht="15.75" customHeight="1">
      <c r="B542" s="111"/>
      <c r="E542" s="112"/>
      <c r="AA542" s="113"/>
      <c r="AV542" s="114"/>
      <c r="AW542" s="114"/>
      <c r="AX542" s="115"/>
      <c r="AY542" s="116"/>
      <c r="AZ542" s="115"/>
      <c r="BA542" s="116"/>
      <c r="BB542" s="116"/>
      <c r="BC542" s="116"/>
      <c r="BP542" s="117"/>
      <c r="BQ542" s="117"/>
      <c r="BU542" s="117"/>
      <c r="BW542" s="118"/>
      <c r="BY542" s="119"/>
      <c r="BZ542" s="119"/>
      <c r="CA542" s="120"/>
      <c r="CU542" s="120"/>
      <c r="CV542" s="121"/>
      <c r="CW542" s="120"/>
      <c r="CX542" s="122"/>
    </row>
    <row r="543" ht="15.75" customHeight="1">
      <c r="B543" s="111"/>
      <c r="E543" s="112"/>
      <c r="AA543" s="113"/>
      <c r="AV543" s="114"/>
      <c r="AW543" s="114"/>
      <c r="AX543" s="115"/>
      <c r="AY543" s="116"/>
      <c r="AZ543" s="115"/>
      <c r="BA543" s="116"/>
      <c r="BB543" s="116"/>
      <c r="BC543" s="116"/>
      <c r="BP543" s="117"/>
      <c r="BQ543" s="117"/>
      <c r="BU543" s="117"/>
      <c r="BW543" s="118"/>
      <c r="BY543" s="119"/>
      <c r="BZ543" s="119"/>
      <c r="CA543" s="120"/>
      <c r="CU543" s="120"/>
      <c r="CV543" s="121"/>
      <c r="CW543" s="120"/>
      <c r="CX543" s="122"/>
    </row>
    <row r="544" ht="15.75" customHeight="1">
      <c r="B544" s="111"/>
      <c r="E544" s="112"/>
      <c r="AA544" s="113"/>
      <c r="AV544" s="114"/>
      <c r="AW544" s="114"/>
      <c r="AX544" s="115"/>
      <c r="AY544" s="116"/>
      <c r="AZ544" s="115"/>
      <c r="BA544" s="116"/>
      <c r="BB544" s="116"/>
      <c r="BC544" s="116"/>
      <c r="BP544" s="117"/>
      <c r="BQ544" s="117"/>
      <c r="BU544" s="117"/>
      <c r="BW544" s="118"/>
      <c r="BY544" s="119"/>
      <c r="BZ544" s="119"/>
      <c r="CA544" s="120"/>
      <c r="CU544" s="120"/>
      <c r="CV544" s="121"/>
      <c r="CW544" s="120"/>
      <c r="CX544" s="122"/>
    </row>
    <row r="545" ht="15.75" customHeight="1">
      <c r="B545" s="111"/>
      <c r="E545" s="112"/>
      <c r="AA545" s="113"/>
      <c r="AV545" s="114"/>
      <c r="AW545" s="114"/>
      <c r="AX545" s="115"/>
      <c r="AY545" s="116"/>
      <c r="AZ545" s="115"/>
      <c r="BA545" s="116"/>
      <c r="BB545" s="116"/>
      <c r="BC545" s="116"/>
      <c r="BP545" s="117"/>
      <c r="BQ545" s="117"/>
      <c r="BU545" s="117"/>
      <c r="BW545" s="118"/>
      <c r="BY545" s="119"/>
      <c r="BZ545" s="119"/>
      <c r="CA545" s="120"/>
      <c r="CU545" s="120"/>
      <c r="CV545" s="121"/>
      <c r="CW545" s="120"/>
      <c r="CX545" s="122"/>
    </row>
    <row r="546" ht="15.75" customHeight="1">
      <c r="B546" s="111"/>
      <c r="E546" s="112"/>
      <c r="AA546" s="113"/>
      <c r="AV546" s="114"/>
      <c r="AW546" s="114"/>
      <c r="AX546" s="115"/>
      <c r="AY546" s="116"/>
      <c r="AZ546" s="115"/>
      <c r="BA546" s="116"/>
      <c r="BB546" s="116"/>
      <c r="BC546" s="116"/>
      <c r="BP546" s="117"/>
      <c r="BQ546" s="117"/>
      <c r="BU546" s="117"/>
      <c r="BW546" s="118"/>
      <c r="BY546" s="119"/>
      <c r="BZ546" s="119"/>
      <c r="CA546" s="120"/>
      <c r="CU546" s="120"/>
      <c r="CV546" s="121"/>
      <c r="CW546" s="120"/>
      <c r="CX546" s="122"/>
    </row>
    <row r="547" ht="15.75" customHeight="1">
      <c r="B547" s="111"/>
      <c r="E547" s="112"/>
      <c r="AA547" s="113"/>
      <c r="AV547" s="114"/>
      <c r="AW547" s="114"/>
      <c r="AX547" s="115"/>
      <c r="AY547" s="116"/>
      <c r="AZ547" s="115"/>
      <c r="BA547" s="116"/>
      <c r="BB547" s="116"/>
      <c r="BC547" s="116"/>
      <c r="BP547" s="117"/>
      <c r="BQ547" s="117"/>
      <c r="BU547" s="117"/>
      <c r="BW547" s="118"/>
      <c r="BY547" s="119"/>
      <c r="BZ547" s="119"/>
      <c r="CA547" s="120"/>
      <c r="CU547" s="120"/>
      <c r="CV547" s="121"/>
      <c r="CW547" s="120"/>
      <c r="CX547" s="122"/>
    </row>
    <row r="548" ht="15.75" customHeight="1">
      <c r="B548" s="111"/>
      <c r="E548" s="112"/>
      <c r="AA548" s="113"/>
      <c r="AV548" s="114"/>
      <c r="AW548" s="114"/>
      <c r="AX548" s="115"/>
      <c r="AY548" s="116"/>
      <c r="AZ548" s="115"/>
      <c r="BA548" s="116"/>
      <c r="BB548" s="116"/>
      <c r="BC548" s="116"/>
      <c r="BP548" s="117"/>
      <c r="BQ548" s="117"/>
      <c r="BU548" s="117"/>
      <c r="BW548" s="118"/>
      <c r="BY548" s="119"/>
      <c r="BZ548" s="119"/>
      <c r="CA548" s="120"/>
      <c r="CU548" s="120"/>
      <c r="CV548" s="121"/>
      <c r="CW548" s="120"/>
      <c r="CX548" s="122"/>
    </row>
    <row r="549" ht="15.75" customHeight="1">
      <c r="B549" s="111"/>
      <c r="E549" s="112"/>
      <c r="AA549" s="113"/>
      <c r="AV549" s="114"/>
      <c r="AW549" s="114"/>
      <c r="AX549" s="115"/>
      <c r="AY549" s="116"/>
      <c r="AZ549" s="115"/>
      <c r="BA549" s="116"/>
      <c r="BB549" s="116"/>
      <c r="BC549" s="116"/>
      <c r="BP549" s="117"/>
      <c r="BQ549" s="117"/>
      <c r="BU549" s="117"/>
      <c r="BW549" s="118"/>
      <c r="BY549" s="119"/>
      <c r="BZ549" s="119"/>
      <c r="CA549" s="120"/>
      <c r="CU549" s="120"/>
      <c r="CV549" s="121"/>
      <c r="CW549" s="120"/>
      <c r="CX549" s="122"/>
    </row>
    <row r="550" ht="15.75" customHeight="1">
      <c r="B550" s="111"/>
      <c r="E550" s="112"/>
      <c r="AA550" s="113"/>
      <c r="AV550" s="114"/>
      <c r="AW550" s="114"/>
      <c r="AX550" s="115"/>
      <c r="AY550" s="116"/>
      <c r="AZ550" s="115"/>
      <c r="BA550" s="116"/>
      <c r="BB550" s="116"/>
      <c r="BC550" s="116"/>
      <c r="BP550" s="117"/>
      <c r="BQ550" s="117"/>
      <c r="BU550" s="117"/>
      <c r="BW550" s="118"/>
      <c r="BY550" s="119"/>
      <c r="BZ550" s="119"/>
      <c r="CA550" s="120"/>
      <c r="CU550" s="120"/>
      <c r="CV550" s="121"/>
      <c r="CW550" s="120"/>
      <c r="CX550" s="122"/>
    </row>
    <row r="551" ht="15.75" customHeight="1">
      <c r="B551" s="111"/>
      <c r="E551" s="112"/>
      <c r="AA551" s="113"/>
      <c r="AV551" s="114"/>
      <c r="AW551" s="114"/>
      <c r="AX551" s="115"/>
      <c r="AY551" s="116"/>
      <c r="AZ551" s="115"/>
      <c r="BA551" s="116"/>
      <c r="BB551" s="116"/>
      <c r="BC551" s="116"/>
      <c r="BP551" s="117"/>
      <c r="BQ551" s="117"/>
      <c r="BU551" s="117"/>
      <c r="BW551" s="118"/>
      <c r="BY551" s="119"/>
      <c r="BZ551" s="119"/>
      <c r="CA551" s="120"/>
      <c r="CU551" s="120"/>
      <c r="CV551" s="121"/>
      <c r="CW551" s="120"/>
      <c r="CX551" s="122"/>
    </row>
    <row r="552" ht="15.75" customHeight="1">
      <c r="B552" s="111"/>
      <c r="E552" s="112"/>
      <c r="AA552" s="113"/>
      <c r="AV552" s="114"/>
      <c r="AW552" s="114"/>
      <c r="AX552" s="115"/>
      <c r="AY552" s="116"/>
      <c r="AZ552" s="115"/>
      <c r="BA552" s="116"/>
      <c r="BB552" s="116"/>
      <c r="BC552" s="116"/>
      <c r="BP552" s="117"/>
      <c r="BQ552" s="117"/>
      <c r="BU552" s="117"/>
      <c r="BW552" s="118"/>
      <c r="BY552" s="119"/>
      <c r="BZ552" s="119"/>
      <c r="CA552" s="120"/>
      <c r="CU552" s="120"/>
      <c r="CV552" s="121"/>
      <c r="CW552" s="120"/>
      <c r="CX552" s="122"/>
    </row>
    <row r="553" ht="15.75" customHeight="1">
      <c r="B553" s="111"/>
      <c r="E553" s="112"/>
      <c r="AA553" s="113"/>
      <c r="AV553" s="114"/>
      <c r="AW553" s="114"/>
      <c r="AX553" s="115"/>
      <c r="AY553" s="116"/>
      <c r="AZ553" s="115"/>
      <c r="BA553" s="116"/>
      <c r="BB553" s="116"/>
      <c r="BC553" s="116"/>
      <c r="BP553" s="117"/>
      <c r="BQ553" s="117"/>
      <c r="BU553" s="117"/>
      <c r="BW553" s="118"/>
      <c r="BY553" s="119"/>
      <c r="BZ553" s="119"/>
      <c r="CA553" s="120"/>
      <c r="CU553" s="120"/>
      <c r="CV553" s="121"/>
      <c r="CW553" s="120"/>
      <c r="CX553" s="122"/>
    </row>
    <row r="554" ht="15.75" customHeight="1">
      <c r="B554" s="111"/>
      <c r="E554" s="112"/>
      <c r="AA554" s="113"/>
      <c r="AV554" s="114"/>
      <c r="AW554" s="114"/>
      <c r="AX554" s="115"/>
      <c r="AY554" s="116"/>
      <c r="AZ554" s="115"/>
      <c r="BA554" s="116"/>
      <c r="BB554" s="116"/>
      <c r="BC554" s="116"/>
      <c r="BP554" s="117"/>
      <c r="BQ554" s="117"/>
      <c r="BU554" s="117"/>
      <c r="BW554" s="118"/>
      <c r="BY554" s="119"/>
      <c r="BZ554" s="119"/>
      <c r="CA554" s="120"/>
      <c r="CU554" s="120"/>
      <c r="CV554" s="121"/>
      <c r="CW554" s="120"/>
      <c r="CX554" s="122"/>
    </row>
    <row r="555" ht="15.75" customHeight="1">
      <c r="B555" s="111"/>
      <c r="E555" s="112"/>
      <c r="AA555" s="113"/>
      <c r="AV555" s="114"/>
      <c r="AW555" s="114"/>
      <c r="AX555" s="115"/>
      <c r="AY555" s="116"/>
      <c r="AZ555" s="115"/>
      <c r="BA555" s="116"/>
      <c r="BB555" s="116"/>
      <c r="BC555" s="116"/>
      <c r="BP555" s="117"/>
      <c r="BQ555" s="117"/>
      <c r="BU555" s="117"/>
      <c r="BW555" s="118"/>
      <c r="BY555" s="119"/>
      <c r="BZ555" s="119"/>
      <c r="CA555" s="120"/>
      <c r="CU555" s="120"/>
      <c r="CV555" s="121"/>
      <c r="CW555" s="120"/>
      <c r="CX555" s="122"/>
    </row>
    <row r="556" ht="15.75" customHeight="1">
      <c r="B556" s="111"/>
      <c r="E556" s="112"/>
      <c r="AA556" s="113"/>
      <c r="AV556" s="114"/>
      <c r="AW556" s="114"/>
      <c r="AX556" s="115"/>
      <c r="AY556" s="116"/>
      <c r="AZ556" s="115"/>
      <c r="BA556" s="116"/>
      <c r="BB556" s="116"/>
      <c r="BC556" s="116"/>
      <c r="BP556" s="117"/>
      <c r="BQ556" s="117"/>
      <c r="BU556" s="117"/>
      <c r="BW556" s="118"/>
      <c r="BY556" s="119"/>
      <c r="BZ556" s="119"/>
      <c r="CA556" s="120"/>
      <c r="CU556" s="120"/>
      <c r="CV556" s="121"/>
      <c r="CW556" s="120"/>
      <c r="CX556" s="122"/>
    </row>
    <row r="557" ht="15.75" customHeight="1">
      <c r="B557" s="111"/>
      <c r="E557" s="112"/>
      <c r="AA557" s="113"/>
      <c r="AV557" s="114"/>
      <c r="AW557" s="114"/>
      <c r="AX557" s="115"/>
      <c r="AY557" s="116"/>
      <c r="AZ557" s="115"/>
      <c r="BA557" s="116"/>
      <c r="BB557" s="116"/>
      <c r="BC557" s="116"/>
      <c r="BP557" s="117"/>
      <c r="BQ557" s="117"/>
      <c r="BU557" s="117"/>
      <c r="BW557" s="118"/>
      <c r="BY557" s="119"/>
      <c r="BZ557" s="119"/>
      <c r="CA557" s="120"/>
      <c r="CU557" s="120"/>
      <c r="CV557" s="121"/>
      <c r="CW557" s="120"/>
      <c r="CX557" s="122"/>
    </row>
    <row r="558" ht="15.75" customHeight="1">
      <c r="B558" s="111"/>
      <c r="E558" s="112"/>
      <c r="AA558" s="113"/>
      <c r="AV558" s="114"/>
      <c r="AW558" s="114"/>
      <c r="AX558" s="115"/>
      <c r="AY558" s="116"/>
      <c r="AZ558" s="115"/>
      <c r="BA558" s="116"/>
      <c r="BB558" s="116"/>
      <c r="BC558" s="116"/>
      <c r="BP558" s="117"/>
      <c r="BQ558" s="117"/>
      <c r="BU558" s="117"/>
      <c r="BW558" s="118"/>
      <c r="BY558" s="119"/>
      <c r="BZ558" s="119"/>
      <c r="CA558" s="120"/>
      <c r="CU558" s="120"/>
      <c r="CV558" s="121"/>
      <c r="CW558" s="120"/>
      <c r="CX558" s="122"/>
    </row>
    <row r="559" ht="15.75" customHeight="1">
      <c r="B559" s="111"/>
      <c r="E559" s="112"/>
      <c r="AA559" s="113"/>
      <c r="AV559" s="114"/>
      <c r="AW559" s="114"/>
      <c r="AX559" s="115"/>
      <c r="AY559" s="116"/>
      <c r="AZ559" s="115"/>
      <c r="BA559" s="116"/>
      <c r="BB559" s="116"/>
      <c r="BC559" s="116"/>
      <c r="BP559" s="117"/>
      <c r="BQ559" s="117"/>
      <c r="BU559" s="117"/>
      <c r="BW559" s="118"/>
      <c r="BY559" s="119"/>
      <c r="BZ559" s="119"/>
      <c r="CA559" s="120"/>
      <c r="CU559" s="120"/>
      <c r="CV559" s="121"/>
      <c r="CW559" s="120"/>
      <c r="CX559" s="122"/>
    </row>
    <row r="560" ht="15.75" customHeight="1">
      <c r="B560" s="111"/>
      <c r="E560" s="112"/>
      <c r="AA560" s="113"/>
      <c r="AV560" s="114"/>
      <c r="AW560" s="114"/>
      <c r="AX560" s="115"/>
      <c r="AY560" s="116"/>
      <c r="AZ560" s="115"/>
      <c r="BA560" s="116"/>
      <c r="BB560" s="116"/>
      <c r="BC560" s="116"/>
      <c r="BP560" s="117"/>
      <c r="BQ560" s="117"/>
      <c r="BU560" s="117"/>
      <c r="BW560" s="118"/>
      <c r="BY560" s="119"/>
      <c r="BZ560" s="119"/>
      <c r="CA560" s="120"/>
      <c r="CU560" s="120"/>
      <c r="CV560" s="121"/>
      <c r="CW560" s="120"/>
      <c r="CX560" s="122"/>
    </row>
    <row r="561" ht="15.75" customHeight="1">
      <c r="B561" s="111"/>
      <c r="E561" s="112"/>
      <c r="AA561" s="113"/>
      <c r="AV561" s="114"/>
      <c r="AW561" s="114"/>
      <c r="AX561" s="115"/>
      <c r="AY561" s="116"/>
      <c r="AZ561" s="115"/>
      <c r="BA561" s="116"/>
      <c r="BB561" s="116"/>
      <c r="BC561" s="116"/>
      <c r="BP561" s="117"/>
      <c r="BQ561" s="117"/>
      <c r="BU561" s="117"/>
      <c r="BW561" s="118"/>
      <c r="BY561" s="119"/>
      <c r="BZ561" s="119"/>
      <c r="CA561" s="120"/>
      <c r="CU561" s="120"/>
      <c r="CV561" s="121"/>
      <c r="CW561" s="120"/>
      <c r="CX561" s="122"/>
    </row>
    <row r="562" ht="15.75" customHeight="1">
      <c r="B562" s="111"/>
      <c r="E562" s="112"/>
      <c r="AA562" s="113"/>
      <c r="AV562" s="114"/>
      <c r="AW562" s="114"/>
      <c r="AX562" s="115"/>
      <c r="AY562" s="116"/>
      <c r="AZ562" s="115"/>
      <c r="BA562" s="116"/>
      <c r="BB562" s="116"/>
      <c r="BC562" s="116"/>
      <c r="BP562" s="117"/>
      <c r="BQ562" s="117"/>
      <c r="BU562" s="117"/>
      <c r="BW562" s="118"/>
      <c r="BY562" s="119"/>
      <c r="BZ562" s="119"/>
      <c r="CA562" s="120"/>
      <c r="CU562" s="120"/>
      <c r="CV562" s="121"/>
      <c r="CW562" s="120"/>
      <c r="CX562" s="122"/>
    </row>
    <row r="563" ht="15.75" customHeight="1">
      <c r="B563" s="111"/>
      <c r="E563" s="112"/>
      <c r="AA563" s="113"/>
      <c r="AV563" s="114"/>
      <c r="AW563" s="114"/>
      <c r="AX563" s="115"/>
      <c r="AY563" s="116"/>
      <c r="AZ563" s="115"/>
      <c r="BA563" s="116"/>
      <c r="BB563" s="116"/>
      <c r="BC563" s="116"/>
      <c r="BP563" s="117"/>
      <c r="BQ563" s="117"/>
      <c r="BU563" s="117"/>
      <c r="BW563" s="118"/>
      <c r="BY563" s="119"/>
      <c r="BZ563" s="119"/>
      <c r="CA563" s="120"/>
      <c r="CU563" s="120"/>
      <c r="CV563" s="121"/>
      <c r="CW563" s="120"/>
      <c r="CX563" s="122"/>
    </row>
    <row r="564" ht="15.75" customHeight="1">
      <c r="B564" s="111"/>
      <c r="E564" s="112"/>
      <c r="AA564" s="113"/>
      <c r="AV564" s="114"/>
      <c r="AW564" s="114"/>
      <c r="AX564" s="115"/>
      <c r="AY564" s="116"/>
      <c r="AZ564" s="115"/>
      <c r="BA564" s="116"/>
      <c r="BB564" s="116"/>
      <c r="BC564" s="116"/>
      <c r="BP564" s="117"/>
      <c r="BQ564" s="117"/>
      <c r="BU564" s="117"/>
      <c r="BW564" s="118"/>
      <c r="BY564" s="119"/>
      <c r="BZ564" s="119"/>
      <c r="CA564" s="120"/>
      <c r="CU564" s="120"/>
      <c r="CV564" s="121"/>
      <c r="CW564" s="120"/>
      <c r="CX564" s="122"/>
    </row>
    <row r="565" ht="15.75" customHeight="1">
      <c r="B565" s="111"/>
      <c r="E565" s="112"/>
      <c r="AA565" s="113"/>
      <c r="AV565" s="114"/>
      <c r="AW565" s="114"/>
      <c r="AX565" s="115"/>
      <c r="AY565" s="116"/>
      <c r="AZ565" s="115"/>
      <c r="BA565" s="116"/>
      <c r="BB565" s="116"/>
      <c r="BC565" s="116"/>
      <c r="BP565" s="117"/>
      <c r="BQ565" s="117"/>
      <c r="BU565" s="117"/>
      <c r="BW565" s="118"/>
      <c r="BY565" s="119"/>
      <c r="BZ565" s="119"/>
      <c r="CA565" s="120"/>
      <c r="CU565" s="120"/>
      <c r="CV565" s="121"/>
      <c r="CW565" s="120"/>
      <c r="CX565" s="122"/>
    </row>
    <row r="566" ht="15.75" customHeight="1">
      <c r="B566" s="111"/>
      <c r="E566" s="112"/>
      <c r="AA566" s="113"/>
      <c r="AV566" s="114"/>
      <c r="AW566" s="114"/>
      <c r="AX566" s="115"/>
      <c r="AY566" s="116"/>
      <c r="AZ566" s="115"/>
      <c r="BA566" s="116"/>
      <c r="BB566" s="116"/>
      <c r="BC566" s="116"/>
      <c r="BP566" s="117"/>
      <c r="BQ566" s="117"/>
      <c r="BU566" s="117"/>
      <c r="BW566" s="118"/>
      <c r="BY566" s="119"/>
      <c r="BZ566" s="119"/>
      <c r="CA566" s="120"/>
      <c r="CU566" s="120"/>
      <c r="CV566" s="121"/>
      <c r="CW566" s="120"/>
      <c r="CX566" s="122"/>
    </row>
    <row r="567" ht="15.75" customHeight="1">
      <c r="B567" s="111"/>
      <c r="E567" s="112"/>
      <c r="AA567" s="113"/>
      <c r="AV567" s="114"/>
      <c r="AW567" s="114"/>
      <c r="AX567" s="115"/>
      <c r="AY567" s="116"/>
      <c r="AZ567" s="115"/>
      <c r="BA567" s="116"/>
      <c r="BB567" s="116"/>
      <c r="BC567" s="116"/>
      <c r="BP567" s="117"/>
      <c r="BQ567" s="117"/>
      <c r="BU567" s="117"/>
      <c r="BW567" s="118"/>
      <c r="BY567" s="119"/>
      <c r="BZ567" s="119"/>
      <c r="CA567" s="120"/>
      <c r="CU567" s="120"/>
      <c r="CV567" s="121"/>
      <c r="CW567" s="120"/>
      <c r="CX567" s="122"/>
    </row>
    <row r="568" ht="15.75" customHeight="1">
      <c r="B568" s="111"/>
      <c r="E568" s="112"/>
      <c r="AA568" s="113"/>
      <c r="AV568" s="114"/>
      <c r="AW568" s="114"/>
      <c r="AX568" s="115"/>
      <c r="AY568" s="116"/>
      <c r="AZ568" s="115"/>
      <c r="BA568" s="116"/>
      <c r="BB568" s="116"/>
      <c r="BC568" s="116"/>
      <c r="BP568" s="117"/>
      <c r="BQ568" s="117"/>
      <c r="BU568" s="117"/>
      <c r="BW568" s="118"/>
      <c r="BY568" s="119"/>
      <c r="BZ568" s="119"/>
      <c r="CA568" s="120"/>
      <c r="CU568" s="120"/>
      <c r="CV568" s="121"/>
      <c r="CW568" s="120"/>
      <c r="CX568" s="122"/>
    </row>
    <row r="569" ht="15.75" customHeight="1">
      <c r="B569" s="111"/>
      <c r="E569" s="112"/>
      <c r="AA569" s="113"/>
      <c r="AV569" s="114"/>
      <c r="AW569" s="114"/>
      <c r="AX569" s="115"/>
      <c r="AY569" s="116"/>
      <c r="AZ569" s="115"/>
      <c r="BA569" s="116"/>
      <c r="BB569" s="116"/>
      <c r="BC569" s="116"/>
      <c r="BP569" s="117"/>
      <c r="BQ569" s="117"/>
      <c r="BU569" s="117"/>
      <c r="BW569" s="118"/>
      <c r="BY569" s="119"/>
      <c r="BZ569" s="119"/>
      <c r="CA569" s="120"/>
      <c r="CU569" s="120"/>
      <c r="CV569" s="121"/>
      <c r="CW569" s="120"/>
      <c r="CX569" s="122"/>
    </row>
    <row r="570" ht="15.75" customHeight="1">
      <c r="B570" s="111"/>
      <c r="E570" s="112"/>
      <c r="AA570" s="113"/>
      <c r="AV570" s="114"/>
      <c r="AW570" s="114"/>
      <c r="AX570" s="115"/>
      <c r="AY570" s="116"/>
      <c r="AZ570" s="115"/>
      <c r="BA570" s="116"/>
      <c r="BB570" s="116"/>
      <c r="BC570" s="116"/>
      <c r="BP570" s="117"/>
      <c r="BQ570" s="117"/>
      <c r="BU570" s="117"/>
      <c r="BW570" s="118"/>
      <c r="BY570" s="119"/>
      <c r="BZ570" s="119"/>
      <c r="CA570" s="120"/>
      <c r="CU570" s="120"/>
      <c r="CV570" s="121"/>
      <c r="CW570" s="120"/>
      <c r="CX570" s="122"/>
    </row>
    <row r="571" ht="15.75" customHeight="1">
      <c r="B571" s="111"/>
      <c r="E571" s="112"/>
      <c r="AA571" s="113"/>
      <c r="AV571" s="114"/>
      <c r="AW571" s="114"/>
      <c r="AX571" s="115"/>
      <c r="AY571" s="116"/>
      <c r="AZ571" s="115"/>
      <c r="BA571" s="116"/>
      <c r="BB571" s="116"/>
      <c r="BC571" s="116"/>
      <c r="BP571" s="117"/>
      <c r="BQ571" s="117"/>
      <c r="BU571" s="117"/>
      <c r="BW571" s="118"/>
      <c r="BY571" s="119"/>
      <c r="BZ571" s="119"/>
      <c r="CA571" s="120"/>
      <c r="CU571" s="120"/>
      <c r="CV571" s="121"/>
      <c r="CW571" s="120"/>
      <c r="CX571" s="122"/>
    </row>
    <row r="572" ht="15.75" customHeight="1">
      <c r="B572" s="111"/>
      <c r="E572" s="112"/>
      <c r="AA572" s="113"/>
      <c r="AV572" s="114"/>
      <c r="AW572" s="114"/>
      <c r="AX572" s="115"/>
      <c r="AY572" s="116"/>
      <c r="AZ572" s="115"/>
      <c r="BA572" s="116"/>
      <c r="BB572" s="116"/>
      <c r="BC572" s="116"/>
      <c r="BP572" s="117"/>
      <c r="BQ572" s="117"/>
      <c r="BU572" s="117"/>
      <c r="BW572" s="118"/>
      <c r="BY572" s="119"/>
      <c r="BZ572" s="119"/>
      <c r="CA572" s="120"/>
      <c r="CU572" s="120"/>
      <c r="CV572" s="121"/>
      <c r="CW572" s="120"/>
      <c r="CX572" s="122"/>
    </row>
    <row r="573" ht="15.75" customHeight="1">
      <c r="B573" s="111"/>
      <c r="E573" s="112"/>
      <c r="AA573" s="113"/>
      <c r="AV573" s="114"/>
      <c r="AW573" s="114"/>
      <c r="AX573" s="115"/>
      <c r="AY573" s="116"/>
      <c r="AZ573" s="115"/>
      <c r="BA573" s="116"/>
      <c r="BB573" s="116"/>
      <c r="BC573" s="116"/>
      <c r="BP573" s="117"/>
      <c r="BQ573" s="117"/>
      <c r="BU573" s="117"/>
      <c r="BW573" s="118"/>
      <c r="BY573" s="119"/>
      <c r="BZ573" s="119"/>
      <c r="CA573" s="120"/>
      <c r="CU573" s="120"/>
      <c r="CV573" s="121"/>
      <c r="CW573" s="120"/>
      <c r="CX573" s="122"/>
    </row>
    <row r="574" ht="15.75" customHeight="1">
      <c r="B574" s="111"/>
      <c r="E574" s="112"/>
      <c r="AA574" s="113"/>
      <c r="AV574" s="114"/>
      <c r="AW574" s="114"/>
      <c r="AX574" s="115"/>
      <c r="AY574" s="116"/>
      <c r="AZ574" s="115"/>
      <c r="BA574" s="116"/>
      <c r="BB574" s="116"/>
      <c r="BC574" s="116"/>
      <c r="BP574" s="117"/>
      <c r="BQ574" s="117"/>
      <c r="BU574" s="117"/>
      <c r="BW574" s="118"/>
      <c r="BY574" s="119"/>
      <c r="BZ574" s="119"/>
      <c r="CA574" s="120"/>
      <c r="CU574" s="120"/>
      <c r="CV574" s="121"/>
      <c r="CW574" s="120"/>
      <c r="CX574" s="122"/>
    </row>
    <row r="575" ht="15.75" customHeight="1">
      <c r="B575" s="111"/>
      <c r="E575" s="112"/>
      <c r="AA575" s="113"/>
      <c r="AV575" s="114"/>
      <c r="AW575" s="114"/>
      <c r="AX575" s="115"/>
      <c r="AY575" s="116"/>
      <c r="AZ575" s="115"/>
      <c r="BA575" s="116"/>
      <c r="BB575" s="116"/>
      <c r="BC575" s="116"/>
      <c r="BP575" s="117"/>
      <c r="BQ575" s="117"/>
      <c r="BU575" s="117"/>
      <c r="BW575" s="118"/>
      <c r="BY575" s="119"/>
      <c r="BZ575" s="119"/>
      <c r="CA575" s="120"/>
      <c r="CU575" s="120"/>
      <c r="CV575" s="121"/>
      <c r="CW575" s="120"/>
      <c r="CX575" s="122"/>
    </row>
    <row r="576" ht="15.75" customHeight="1">
      <c r="B576" s="111"/>
      <c r="E576" s="112"/>
      <c r="AA576" s="113"/>
      <c r="AV576" s="114"/>
      <c r="AW576" s="114"/>
      <c r="AX576" s="115"/>
      <c r="AY576" s="116"/>
      <c r="AZ576" s="115"/>
      <c r="BA576" s="116"/>
      <c r="BB576" s="116"/>
      <c r="BC576" s="116"/>
      <c r="BP576" s="117"/>
      <c r="BQ576" s="117"/>
      <c r="BU576" s="117"/>
      <c r="BW576" s="118"/>
      <c r="BY576" s="119"/>
      <c r="BZ576" s="119"/>
      <c r="CA576" s="120"/>
      <c r="CU576" s="120"/>
      <c r="CV576" s="121"/>
      <c r="CW576" s="120"/>
      <c r="CX576" s="122"/>
    </row>
    <row r="577" ht="15.75" customHeight="1">
      <c r="B577" s="111"/>
      <c r="E577" s="112"/>
      <c r="AA577" s="113"/>
      <c r="AV577" s="114"/>
      <c r="AW577" s="114"/>
      <c r="AX577" s="115"/>
      <c r="AY577" s="116"/>
      <c r="AZ577" s="115"/>
      <c r="BA577" s="116"/>
      <c r="BB577" s="116"/>
      <c r="BC577" s="116"/>
      <c r="BP577" s="117"/>
      <c r="BQ577" s="117"/>
      <c r="BU577" s="117"/>
      <c r="BW577" s="118"/>
      <c r="BY577" s="119"/>
      <c r="BZ577" s="119"/>
      <c r="CA577" s="120"/>
      <c r="CU577" s="120"/>
      <c r="CV577" s="121"/>
      <c r="CW577" s="120"/>
      <c r="CX577" s="122"/>
    </row>
    <row r="578" ht="15.75" customHeight="1">
      <c r="B578" s="111"/>
      <c r="E578" s="112"/>
      <c r="AA578" s="113"/>
      <c r="AV578" s="114"/>
      <c r="AW578" s="114"/>
      <c r="AX578" s="115"/>
      <c r="AY578" s="116"/>
      <c r="AZ578" s="115"/>
      <c r="BA578" s="116"/>
      <c r="BB578" s="116"/>
      <c r="BC578" s="116"/>
      <c r="BP578" s="117"/>
      <c r="BQ578" s="117"/>
      <c r="BU578" s="117"/>
      <c r="BW578" s="118"/>
      <c r="BY578" s="119"/>
      <c r="BZ578" s="119"/>
      <c r="CA578" s="120"/>
      <c r="CU578" s="120"/>
      <c r="CV578" s="121"/>
      <c r="CW578" s="120"/>
      <c r="CX578" s="122"/>
    </row>
    <row r="579" ht="15.75" customHeight="1">
      <c r="B579" s="111"/>
      <c r="E579" s="112"/>
      <c r="AA579" s="113"/>
      <c r="AV579" s="114"/>
      <c r="AW579" s="114"/>
      <c r="AX579" s="115"/>
      <c r="AY579" s="116"/>
      <c r="AZ579" s="115"/>
      <c r="BA579" s="116"/>
      <c r="BB579" s="116"/>
      <c r="BC579" s="116"/>
      <c r="BP579" s="117"/>
      <c r="BQ579" s="117"/>
      <c r="BU579" s="117"/>
      <c r="BW579" s="118"/>
      <c r="BY579" s="119"/>
      <c r="BZ579" s="119"/>
      <c r="CA579" s="120"/>
      <c r="CU579" s="120"/>
      <c r="CV579" s="121"/>
      <c r="CW579" s="120"/>
      <c r="CX579" s="122"/>
    </row>
    <row r="580" ht="15.75" customHeight="1">
      <c r="B580" s="111"/>
      <c r="E580" s="112"/>
      <c r="AA580" s="113"/>
      <c r="AV580" s="114"/>
      <c r="AW580" s="114"/>
      <c r="AX580" s="115"/>
      <c r="AY580" s="116"/>
      <c r="AZ580" s="115"/>
      <c r="BA580" s="116"/>
      <c r="BB580" s="116"/>
      <c r="BC580" s="116"/>
      <c r="BP580" s="117"/>
      <c r="BQ580" s="117"/>
      <c r="BU580" s="117"/>
      <c r="BW580" s="118"/>
      <c r="BY580" s="119"/>
      <c r="BZ580" s="119"/>
      <c r="CA580" s="120"/>
      <c r="CU580" s="120"/>
      <c r="CV580" s="121"/>
      <c r="CW580" s="120"/>
      <c r="CX580" s="122"/>
    </row>
    <row r="581" ht="15.75" customHeight="1">
      <c r="B581" s="111"/>
      <c r="E581" s="112"/>
      <c r="AA581" s="113"/>
      <c r="AV581" s="114"/>
      <c r="AW581" s="114"/>
      <c r="AX581" s="115"/>
      <c r="AY581" s="116"/>
      <c r="AZ581" s="115"/>
      <c r="BA581" s="116"/>
      <c r="BB581" s="116"/>
      <c r="BC581" s="116"/>
      <c r="BP581" s="117"/>
      <c r="BQ581" s="117"/>
      <c r="BU581" s="117"/>
      <c r="BW581" s="118"/>
      <c r="BY581" s="119"/>
      <c r="BZ581" s="119"/>
      <c r="CA581" s="120"/>
      <c r="CU581" s="120"/>
      <c r="CV581" s="121"/>
      <c r="CW581" s="120"/>
      <c r="CX581" s="122"/>
    </row>
    <row r="582" ht="15.75" customHeight="1">
      <c r="B582" s="111"/>
      <c r="E582" s="112"/>
      <c r="AA582" s="113"/>
      <c r="AV582" s="114"/>
      <c r="AW582" s="114"/>
      <c r="AX582" s="115"/>
      <c r="AY582" s="116"/>
      <c r="AZ582" s="115"/>
      <c r="BA582" s="116"/>
      <c r="BB582" s="116"/>
      <c r="BC582" s="116"/>
      <c r="BP582" s="117"/>
      <c r="BQ582" s="117"/>
      <c r="BU582" s="117"/>
      <c r="BW582" s="118"/>
      <c r="BY582" s="119"/>
      <c r="BZ582" s="119"/>
      <c r="CA582" s="120"/>
      <c r="CU582" s="120"/>
      <c r="CV582" s="121"/>
      <c r="CW582" s="120"/>
      <c r="CX582" s="122"/>
    </row>
    <row r="583" ht="15.75" customHeight="1">
      <c r="B583" s="111"/>
      <c r="E583" s="112"/>
      <c r="AA583" s="113"/>
      <c r="AV583" s="114"/>
      <c r="AW583" s="114"/>
      <c r="AX583" s="115"/>
      <c r="AY583" s="116"/>
      <c r="AZ583" s="115"/>
      <c r="BA583" s="116"/>
      <c r="BB583" s="116"/>
      <c r="BC583" s="116"/>
      <c r="BP583" s="117"/>
      <c r="BQ583" s="117"/>
      <c r="BU583" s="117"/>
      <c r="BW583" s="118"/>
      <c r="BY583" s="119"/>
      <c r="BZ583" s="119"/>
      <c r="CA583" s="120"/>
      <c r="CU583" s="120"/>
      <c r="CV583" s="121"/>
      <c r="CW583" s="120"/>
      <c r="CX583" s="122"/>
    </row>
    <row r="584" ht="15.75" customHeight="1">
      <c r="B584" s="111"/>
      <c r="E584" s="112"/>
      <c r="AA584" s="113"/>
      <c r="AV584" s="114"/>
      <c r="AW584" s="114"/>
      <c r="AX584" s="115"/>
      <c r="AY584" s="116"/>
      <c r="AZ584" s="115"/>
      <c r="BA584" s="116"/>
      <c r="BB584" s="116"/>
      <c r="BC584" s="116"/>
      <c r="BP584" s="117"/>
      <c r="BQ584" s="117"/>
      <c r="BU584" s="117"/>
      <c r="BW584" s="118"/>
      <c r="BY584" s="119"/>
      <c r="BZ584" s="119"/>
      <c r="CA584" s="120"/>
      <c r="CU584" s="120"/>
      <c r="CV584" s="121"/>
      <c r="CW584" s="120"/>
      <c r="CX584" s="122"/>
    </row>
    <row r="585" ht="15.75" customHeight="1">
      <c r="B585" s="111"/>
      <c r="E585" s="112"/>
      <c r="AA585" s="113"/>
      <c r="AV585" s="114"/>
      <c r="AW585" s="114"/>
      <c r="AX585" s="115"/>
      <c r="AY585" s="116"/>
      <c r="AZ585" s="115"/>
      <c r="BA585" s="116"/>
      <c r="BB585" s="116"/>
      <c r="BC585" s="116"/>
      <c r="BP585" s="117"/>
      <c r="BQ585" s="117"/>
      <c r="BU585" s="117"/>
      <c r="BW585" s="118"/>
      <c r="BY585" s="119"/>
      <c r="BZ585" s="119"/>
      <c r="CA585" s="120"/>
      <c r="CU585" s="120"/>
      <c r="CV585" s="121"/>
      <c r="CW585" s="120"/>
      <c r="CX585" s="122"/>
    </row>
    <row r="586" ht="15.75" customHeight="1">
      <c r="B586" s="111"/>
      <c r="E586" s="112"/>
      <c r="AA586" s="113"/>
      <c r="AV586" s="114"/>
      <c r="AW586" s="114"/>
      <c r="AX586" s="115"/>
      <c r="AY586" s="116"/>
      <c r="AZ586" s="115"/>
      <c r="BA586" s="116"/>
      <c r="BB586" s="116"/>
      <c r="BC586" s="116"/>
      <c r="BP586" s="117"/>
      <c r="BQ586" s="117"/>
      <c r="BU586" s="117"/>
      <c r="BW586" s="118"/>
      <c r="BY586" s="119"/>
      <c r="BZ586" s="119"/>
      <c r="CA586" s="120"/>
      <c r="CU586" s="120"/>
      <c r="CV586" s="121"/>
      <c r="CW586" s="120"/>
      <c r="CX586" s="122"/>
    </row>
    <row r="587" ht="15.75" customHeight="1">
      <c r="B587" s="111"/>
      <c r="E587" s="112"/>
      <c r="AA587" s="113"/>
      <c r="AV587" s="114"/>
      <c r="AW587" s="114"/>
      <c r="AX587" s="115"/>
      <c r="AY587" s="116"/>
      <c r="AZ587" s="115"/>
      <c r="BA587" s="116"/>
      <c r="BB587" s="116"/>
      <c r="BC587" s="116"/>
      <c r="BP587" s="117"/>
      <c r="BQ587" s="117"/>
      <c r="BU587" s="117"/>
      <c r="BW587" s="118"/>
      <c r="BY587" s="119"/>
      <c r="BZ587" s="119"/>
      <c r="CA587" s="120"/>
      <c r="CU587" s="120"/>
      <c r="CV587" s="121"/>
      <c r="CW587" s="120"/>
      <c r="CX587" s="122"/>
    </row>
    <row r="588" ht="15.75" customHeight="1">
      <c r="B588" s="111"/>
      <c r="E588" s="112"/>
      <c r="AA588" s="113"/>
      <c r="AV588" s="114"/>
      <c r="AW588" s="114"/>
      <c r="AX588" s="115"/>
      <c r="AY588" s="116"/>
      <c r="AZ588" s="115"/>
      <c r="BA588" s="116"/>
      <c r="BB588" s="116"/>
      <c r="BC588" s="116"/>
      <c r="BP588" s="117"/>
      <c r="BQ588" s="117"/>
      <c r="BU588" s="117"/>
      <c r="BW588" s="118"/>
      <c r="BY588" s="119"/>
      <c r="BZ588" s="119"/>
      <c r="CA588" s="120"/>
      <c r="CU588" s="120"/>
      <c r="CV588" s="121"/>
      <c r="CW588" s="120"/>
      <c r="CX588" s="122"/>
    </row>
    <row r="589" ht="15.75" customHeight="1">
      <c r="B589" s="111"/>
      <c r="E589" s="112"/>
      <c r="AA589" s="113"/>
      <c r="AV589" s="114"/>
      <c r="AW589" s="114"/>
      <c r="AX589" s="115"/>
      <c r="AY589" s="116"/>
      <c r="AZ589" s="115"/>
      <c r="BA589" s="116"/>
      <c r="BB589" s="116"/>
      <c r="BC589" s="116"/>
      <c r="BP589" s="117"/>
      <c r="BQ589" s="117"/>
      <c r="BU589" s="117"/>
      <c r="BW589" s="118"/>
      <c r="BY589" s="119"/>
      <c r="BZ589" s="119"/>
      <c r="CA589" s="120"/>
      <c r="CU589" s="120"/>
      <c r="CV589" s="121"/>
      <c r="CW589" s="120"/>
      <c r="CX589" s="122"/>
    </row>
    <row r="590" ht="15.75" customHeight="1">
      <c r="B590" s="111"/>
      <c r="E590" s="112"/>
      <c r="AA590" s="113"/>
      <c r="AV590" s="114"/>
      <c r="AW590" s="114"/>
      <c r="AX590" s="115"/>
      <c r="AY590" s="116"/>
      <c r="AZ590" s="115"/>
      <c r="BA590" s="116"/>
      <c r="BB590" s="116"/>
      <c r="BC590" s="116"/>
      <c r="BP590" s="117"/>
      <c r="BQ590" s="117"/>
      <c r="BU590" s="117"/>
      <c r="BW590" s="118"/>
      <c r="BY590" s="119"/>
      <c r="BZ590" s="119"/>
      <c r="CA590" s="120"/>
      <c r="CU590" s="120"/>
      <c r="CV590" s="121"/>
      <c r="CW590" s="120"/>
      <c r="CX590" s="122"/>
    </row>
    <row r="591" ht="15.75" customHeight="1">
      <c r="B591" s="111"/>
      <c r="E591" s="112"/>
      <c r="AA591" s="113"/>
      <c r="AV591" s="114"/>
      <c r="AW591" s="114"/>
      <c r="AX591" s="115"/>
      <c r="AY591" s="116"/>
      <c r="AZ591" s="115"/>
      <c r="BA591" s="116"/>
      <c r="BB591" s="116"/>
      <c r="BC591" s="116"/>
      <c r="BP591" s="117"/>
      <c r="BQ591" s="117"/>
      <c r="BU591" s="117"/>
      <c r="BW591" s="118"/>
      <c r="BY591" s="119"/>
      <c r="BZ591" s="119"/>
      <c r="CA591" s="120"/>
      <c r="CU591" s="120"/>
      <c r="CV591" s="121"/>
      <c r="CW591" s="120"/>
      <c r="CX591" s="122"/>
    </row>
    <row r="592" ht="15.75" customHeight="1">
      <c r="B592" s="111"/>
      <c r="E592" s="112"/>
      <c r="AA592" s="113"/>
      <c r="AV592" s="114"/>
      <c r="AW592" s="114"/>
      <c r="AX592" s="115"/>
      <c r="AY592" s="116"/>
      <c r="AZ592" s="115"/>
      <c r="BA592" s="116"/>
      <c r="BB592" s="116"/>
      <c r="BC592" s="116"/>
      <c r="BP592" s="117"/>
      <c r="BQ592" s="117"/>
      <c r="BU592" s="117"/>
      <c r="BW592" s="118"/>
      <c r="BY592" s="119"/>
      <c r="BZ592" s="119"/>
      <c r="CA592" s="120"/>
      <c r="CU592" s="120"/>
      <c r="CV592" s="121"/>
      <c r="CW592" s="120"/>
      <c r="CX592" s="122"/>
    </row>
    <row r="593" ht="15.75" customHeight="1">
      <c r="B593" s="111"/>
      <c r="E593" s="112"/>
      <c r="AA593" s="113"/>
      <c r="AV593" s="114"/>
      <c r="AW593" s="114"/>
      <c r="AX593" s="115"/>
      <c r="AY593" s="116"/>
      <c r="AZ593" s="115"/>
      <c r="BA593" s="116"/>
      <c r="BB593" s="116"/>
      <c r="BC593" s="116"/>
      <c r="BP593" s="117"/>
      <c r="BQ593" s="117"/>
      <c r="BU593" s="117"/>
      <c r="BW593" s="118"/>
      <c r="BY593" s="119"/>
      <c r="BZ593" s="119"/>
      <c r="CA593" s="120"/>
      <c r="CU593" s="120"/>
      <c r="CV593" s="121"/>
      <c r="CW593" s="120"/>
      <c r="CX593" s="122"/>
    </row>
    <row r="594" ht="15.75" customHeight="1">
      <c r="B594" s="111"/>
      <c r="E594" s="112"/>
      <c r="AA594" s="113"/>
      <c r="AV594" s="114"/>
      <c r="AW594" s="114"/>
      <c r="AX594" s="115"/>
      <c r="AY594" s="116"/>
      <c r="AZ594" s="115"/>
      <c r="BA594" s="116"/>
      <c r="BB594" s="116"/>
      <c r="BC594" s="116"/>
      <c r="BP594" s="117"/>
      <c r="BQ594" s="117"/>
      <c r="BU594" s="117"/>
      <c r="BW594" s="118"/>
      <c r="BY594" s="119"/>
      <c r="BZ594" s="119"/>
      <c r="CA594" s="120"/>
      <c r="CU594" s="120"/>
      <c r="CV594" s="121"/>
      <c r="CW594" s="120"/>
      <c r="CX594" s="122"/>
    </row>
    <row r="595" ht="15.75" customHeight="1">
      <c r="B595" s="111"/>
      <c r="E595" s="112"/>
      <c r="AA595" s="113"/>
      <c r="AV595" s="114"/>
      <c r="AW595" s="114"/>
      <c r="AX595" s="115"/>
      <c r="AY595" s="116"/>
      <c r="AZ595" s="115"/>
      <c r="BA595" s="116"/>
      <c r="BB595" s="116"/>
      <c r="BC595" s="116"/>
      <c r="BP595" s="117"/>
      <c r="BQ595" s="117"/>
      <c r="BU595" s="117"/>
      <c r="BW595" s="118"/>
      <c r="BY595" s="119"/>
      <c r="BZ595" s="119"/>
      <c r="CA595" s="120"/>
      <c r="CU595" s="120"/>
      <c r="CV595" s="121"/>
      <c r="CW595" s="120"/>
      <c r="CX595" s="122"/>
    </row>
    <row r="596" ht="15.75" customHeight="1">
      <c r="B596" s="111"/>
      <c r="E596" s="112"/>
      <c r="AA596" s="113"/>
      <c r="AV596" s="114"/>
      <c r="AW596" s="114"/>
      <c r="AX596" s="115"/>
      <c r="AY596" s="116"/>
      <c r="AZ596" s="115"/>
      <c r="BA596" s="116"/>
      <c r="BB596" s="116"/>
      <c r="BC596" s="116"/>
      <c r="BP596" s="117"/>
      <c r="BQ596" s="117"/>
      <c r="BU596" s="117"/>
      <c r="BW596" s="118"/>
      <c r="BY596" s="119"/>
      <c r="BZ596" s="119"/>
      <c r="CA596" s="120"/>
      <c r="CU596" s="120"/>
      <c r="CV596" s="121"/>
      <c r="CW596" s="120"/>
      <c r="CX596" s="122"/>
    </row>
    <row r="597" ht="15.75" customHeight="1">
      <c r="B597" s="111"/>
      <c r="E597" s="112"/>
      <c r="AA597" s="113"/>
      <c r="AV597" s="114"/>
      <c r="AW597" s="114"/>
      <c r="AX597" s="115"/>
      <c r="AY597" s="116"/>
      <c r="AZ597" s="115"/>
      <c r="BA597" s="116"/>
      <c r="BB597" s="116"/>
      <c r="BC597" s="116"/>
      <c r="BP597" s="117"/>
      <c r="BQ597" s="117"/>
      <c r="BU597" s="117"/>
      <c r="BW597" s="118"/>
      <c r="BY597" s="119"/>
      <c r="BZ597" s="119"/>
      <c r="CA597" s="120"/>
      <c r="CU597" s="120"/>
      <c r="CV597" s="121"/>
      <c r="CW597" s="120"/>
      <c r="CX597" s="122"/>
    </row>
    <row r="598" ht="15.75" customHeight="1">
      <c r="B598" s="111"/>
      <c r="E598" s="112"/>
      <c r="AA598" s="113"/>
      <c r="AV598" s="114"/>
      <c r="AW598" s="114"/>
      <c r="AX598" s="115"/>
      <c r="AY598" s="116"/>
      <c r="AZ598" s="115"/>
      <c r="BA598" s="116"/>
      <c r="BB598" s="116"/>
      <c r="BC598" s="116"/>
      <c r="BP598" s="117"/>
      <c r="BQ598" s="117"/>
      <c r="BU598" s="117"/>
      <c r="BW598" s="118"/>
      <c r="BY598" s="119"/>
      <c r="BZ598" s="119"/>
      <c r="CA598" s="120"/>
      <c r="CU598" s="120"/>
      <c r="CV598" s="121"/>
      <c r="CW598" s="120"/>
      <c r="CX598" s="122"/>
    </row>
    <row r="599" ht="15.75" customHeight="1">
      <c r="B599" s="111"/>
      <c r="E599" s="112"/>
      <c r="AA599" s="113"/>
      <c r="AV599" s="114"/>
      <c r="AW599" s="114"/>
      <c r="AX599" s="115"/>
      <c r="AY599" s="116"/>
      <c r="AZ599" s="115"/>
      <c r="BA599" s="116"/>
      <c r="BB599" s="116"/>
      <c r="BC599" s="116"/>
      <c r="BP599" s="117"/>
      <c r="BQ599" s="117"/>
      <c r="BU599" s="117"/>
      <c r="BW599" s="118"/>
      <c r="BY599" s="119"/>
      <c r="BZ599" s="119"/>
      <c r="CA599" s="120"/>
      <c r="CU599" s="120"/>
      <c r="CV599" s="121"/>
      <c r="CW599" s="120"/>
      <c r="CX599" s="122"/>
    </row>
    <row r="600" ht="15.75" customHeight="1">
      <c r="B600" s="111"/>
      <c r="E600" s="112"/>
      <c r="AA600" s="113"/>
      <c r="AV600" s="114"/>
      <c r="AW600" s="114"/>
      <c r="AX600" s="115"/>
      <c r="AY600" s="116"/>
      <c r="AZ600" s="115"/>
      <c r="BA600" s="116"/>
      <c r="BB600" s="116"/>
      <c r="BC600" s="116"/>
      <c r="BP600" s="117"/>
      <c r="BQ600" s="117"/>
      <c r="BU600" s="117"/>
      <c r="BW600" s="118"/>
      <c r="BY600" s="119"/>
      <c r="BZ600" s="119"/>
      <c r="CA600" s="120"/>
      <c r="CU600" s="120"/>
      <c r="CV600" s="121"/>
      <c r="CW600" s="120"/>
      <c r="CX600" s="122"/>
    </row>
    <row r="601" ht="15.75" customHeight="1">
      <c r="B601" s="111"/>
      <c r="E601" s="112"/>
      <c r="AA601" s="113"/>
      <c r="AV601" s="114"/>
      <c r="AW601" s="114"/>
      <c r="AX601" s="115"/>
      <c r="AY601" s="116"/>
      <c r="AZ601" s="115"/>
      <c r="BA601" s="116"/>
      <c r="BB601" s="116"/>
      <c r="BC601" s="116"/>
      <c r="BP601" s="117"/>
      <c r="BQ601" s="117"/>
      <c r="BU601" s="117"/>
      <c r="BW601" s="118"/>
      <c r="BY601" s="119"/>
      <c r="BZ601" s="119"/>
      <c r="CA601" s="120"/>
      <c r="CU601" s="120"/>
      <c r="CV601" s="121"/>
      <c r="CW601" s="120"/>
      <c r="CX601" s="122"/>
    </row>
    <row r="602" ht="15.75" customHeight="1">
      <c r="B602" s="111"/>
      <c r="E602" s="112"/>
      <c r="AA602" s="113"/>
      <c r="AV602" s="114"/>
      <c r="AW602" s="114"/>
      <c r="AX602" s="115"/>
      <c r="AY602" s="116"/>
      <c r="AZ602" s="115"/>
      <c r="BA602" s="116"/>
      <c r="BB602" s="116"/>
      <c r="BC602" s="116"/>
      <c r="BP602" s="117"/>
      <c r="BQ602" s="117"/>
      <c r="BU602" s="117"/>
      <c r="BW602" s="118"/>
      <c r="BY602" s="119"/>
      <c r="BZ602" s="119"/>
      <c r="CA602" s="120"/>
      <c r="CU602" s="120"/>
      <c r="CV602" s="121"/>
      <c r="CW602" s="120"/>
      <c r="CX602" s="122"/>
    </row>
    <row r="603" ht="15.75" customHeight="1">
      <c r="B603" s="111"/>
      <c r="E603" s="112"/>
      <c r="AA603" s="113"/>
      <c r="AV603" s="114"/>
      <c r="AW603" s="114"/>
      <c r="AX603" s="115"/>
      <c r="AY603" s="116"/>
      <c r="AZ603" s="115"/>
      <c r="BA603" s="116"/>
      <c r="BB603" s="116"/>
      <c r="BC603" s="116"/>
      <c r="BP603" s="117"/>
      <c r="BQ603" s="117"/>
      <c r="BU603" s="117"/>
      <c r="BW603" s="118"/>
      <c r="BY603" s="119"/>
      <c r="BZ603" s="119"/>
      <c r="CA603" s="120"/>
      <c r="CU603" s="120"/>
      <c r="CV603" s="121"/>
      <c r="CW603" s="120"/>
      <c r="CX603" s="122"/>
    </row>
    <row r="604" ht="15.75" customHeight="1">
      <c r="B604" s="111"/>
      <c r="E604" s="112"/>
      <c r="AA604" s="113"/>
      <c r="AV604" s="114"/>
      <c r="AW604" s="114"/>
      <c r="AX604" s="115"/>
      <c r="AY604" s="116"/>
      <c r="AZ604" s="115"/>
      <c r="BA604" s="116"/>
      <c r="BB604" s="116"/>
      <c r="BC604" s="116"/>
      <c r="BP604" s="117"/>
      <c r="BQ604" s="117"/>
      <c r="BU604" s="117"/>
      <c r="BW604" s="118"/>
      <c r="BY604" s="119"/>
      <c r="BZ604" s="119"/>
      <c r="CA604" s="120"/>
      <c r="CU604" s="120"/>
      <c r="CV604" s="121"/>
      <c r="CW604" s="120"/>
      <c r="CX604" s="122"/>
    </row>
    <row r="605" ht="15.75" customHeight="1">
      <c r="B605" s="111"/>
      <c r="E605" s="112"/>
      <c r="AA605" s="113"/>
      <c r="AV605" s="114"/>
      <c r="AW605" s="114"/>
      <c r="AX605" s="115"/>
      <c r="AY605" s="116"/>
      <c r="AZ605" s="115"/>
      <c r="BA605" s="116"/>
      <c r="BB605" s="116"/>
      <c r="BC605" s="116"/>
      <c r="BP605" s="117"/>
      <c r="BQ605" s="117"/>
      <c r="BU605" s="117"/>
      <c r="BW605" s="118"/>
      <c r="BY605" s="119"/>
      <c r="BZ605" s="119"/>
      <c r="CA605" s="120"/>
      <c r="CU605" s="120"/>
      <c r="CV605" s="121"/>
      <c r="CW605" s="120"/>
      <c r="CX605" s="122"/>
    </row>
    <row r="606" ht="15.75" customHeight="1">
      <c r="B606" s="111"/>
      <c r="E606" s="112"/>
      <c r="AA606" s="113"/>
      <c r="AV606" s="114"/>
      <c r="AW606" s="114"/>
      <c r="AX606" s="115"/>
      <c r="AY606" s="116"/>
      <c r="AZ606" s="115"/>
      <c r="BA606" s="116"/>
      <c r="BB606" s="116"/>
      <c r="BC606" s="116"/>
      <c r="BP606" s="117"/>
      <c r="BQ606" s="117"/>
      <c r="BU606" s="117"/>
      <c r="BW606" s="118"/>
      <c r="BY606" s="119"/>
      <c r="BZ606" s="119"/>
      <c r="CA606" s="120"/>
      <c r="CU606" s="120"/>
      <c r="CV606" s="121"/>
      <c r="CW606" s="120"/>
      <c r="CX606" s="122"/>
    </row>
    <row r="607" ht="15.75" customHeight="1">
      <c r="B607" s="111"/>
      <c r="E607" s="112"/>
      <c r="AA607" s="113"/>
      <c r="AV607" s="114"/>
      <c r="AW607" s="114"/>
      <c r="AX607" s="115"/>
      <c r="AY607" s="116"/>
      <c r="AZ607" s="115"/>
      <c r="BA607" s="116"/>
      <c r="BB607" s="116"/>
      <c r="BC607" s="116"/>
      <c r="BP607" s="117"/>
      <c r="BQ607" s="117"/>
      <c r="BU607" s="117"/>
      <c r="BW607" s="118"/>
      <c r="BY607" s="119"/>
      <c r="BZ607" s="119"/>
      <c r="CA607" s="120"/>
      <c r="CU607" s="120"/>
      <c r="CV607" s="121"/>
      <c r="CW607" s="120"/>
      <c r="CX607" s="122"/>
    </row>
    <row r="608" ht="15.75" customHeight="1">
      <c r="B608" s="111"/>
      <c r="E608" s="112"/>
      <c r="AA608" s="113"/>
      <c r="AV608" s="114"/>
      <c r="AW608" s="114"/>
      <c r="AX608" s="115"/>
      <c r="AY608" s="116"/>
      <c r="AZ608" s="115"/>
      <c r="BA608" s="116"/>
      <c r="BB608" s="116"/>
      <c r="BC608" s="116"/>
      <c r="BP608" s="117"/>
      <c r="BQ608" s="117"/>
      <c r="BU608" s="117"/>
      <c r="BW608" s="118"/>
      <c r="BY608" s="119"/>
      <c r="BZ608" s="119"/>
      <c r="CA608" s="120"/>
      <c r="CU608" s="120"/>
      <c r="CV608" s="121"/>
      <c r="CW608" s="120"/>
      <c r="CX608" s="122"/>
    </row>
    <row r="609" ht="15.75" customHeight="1">
      <c r="B609" s="111"/>
      <c r="E609" s="112"/>
      <c r="AA609" s="113"/>
      <c r="AV609" s="114"/>
      <c r="AW609" s="114"/>
      <c r="AX609" s="115"/>
      <c r="AY609" s="116"/>
      <c r="AZ609" s="115"/>
      <c r="BA609" s="116"/>
      <c r="BB609" s="116"/>
      <c r="BC609" s="116"/>
      <c r="BP609" s="117"/>
      <c r="BQ609" s="117"/>
      <c r="BU609" s="117"/>
      <c r="BW609" s="118"/>
      <c r="BY609" s="119"/>
      <c r="BZ609" s="119"/>
      <c r="CA609" s="120"/>
      <c r="CU609" s="120"/>
      <c r="CV609" s="121"/>
      <c r="CW609" s="120"/>
      <c r="CX609" s="122"/>
    </row>
    <row r="610" ht="15.75" customHeight="1">
      <c r="B610" s="111"/>
      <c r="E610" s="112"/>
      <c r="AA610" s="113"/>
      <c r="AV610" s="114"/>
      <c r="AW610" s="114"/>
      <c r="AX610" s="115"/>
      <c r="AY610" s="116"/>
      <c r="AZ610" s="115"/>
      <c r="BA610" s="116"/>
      <c r="BB610" s="116"/>
      <c r="BC610" s="116"/>
      <c r="BP610" s="117"/>
      <c r="BQ610" s="117"/>
      <c r="BU610" s="117"/>
      <c r="BW610" s="118"/>
      <c r="BY610" s="119"/>
      <c r="BZ610" s="119"/>
      <c r="CA610" s="120"/>
      <c r="CU610" s="120"/>
      <c r="CV610" s="121"/>
      <c r="CW610" s="120"/>
      <c r="CX610" s="122"/>
    </row>
    <row r="611" ht="15.75" customHeight="1">
      <c r="B611" s="111"/>
      <c r="E611" s="112"/>
      <c r="AA611" s="113"/>
      <c r="AV611" s="114"/>
      <c r="AW611" s="114"/>
      <c r="AX611" s="115"/>
      <c r="AY611" s="116"/>
      <c r="AZ611" s="115"/>
      <c r="BA611" s="116"/>
      <c r="BB611" s="116"/>
      <c r="BC611" s="116"/>
      <c r="BP611" s="117"/>
      <c r="BQ611" s="117"/>
      <c r="BU611" s="117"/>
      <c r="BW611" s="118"/>
      <c r="BY611" s="119"/>
      <c r="BZ611" s="119"/>
      <c r="CA611" s="120"/>
      <c r="CU611" s="120"/>
      <c r="CV611" s="121"/>
      <c r="CW611" s="120"/>
      <c r="CX611" s="122"/>
    </row>
    <row r="612" ht="15.75" customHeight="1">
      <c r="B612" s="111"/>
      <c r="E612" s="112"/>
      <c r="AA612" s="113"/>
      <c r="AV612" s="114"/>
      <c r="AW612" s="114"/>
      <c r="AX612" s="115"/>
      <c r="AY612" s="116"/>
      <c r="AZ612" s="115"/>
      <c r="BA612" s="116"/>
      <c r="BB612" s="116"/>
      <c r="BC612" s="116"/>
      <c r="BP612" s="117"/>
      <c r="BQ612" s="117"/>
      <c r="BU612" s="117"/>
      <c r="BW612" s="118"/>
      <c r="BY612" s="119"/>
      <c r="BZ612" s="119"/>
      <c r="CA612" s="120"/>
      <c r="CU612" s="120"/>
      <c r="CV612" s="121"/>
      <c r="CW612" s="120"/>
      <c r="CX612" s="122"/>
    </row>
    <row r="613" ht="15.75" customHeight="1">
      <c r="B613" s="111"/>
      <c r="E613" s="112"/>
      <c r="AA613" s="113"/>
      <c r="AV613" s="114"/>
      <c r="AW613" s="114"/>
      <c r="AX613" s="115"/>
      <c r="AY613" s="116"/>
      <c r="AZ613" s="115"/>
      <c r="BA613" s="116"/>
      <c r="BB613" s="116"/>
      <c r="BC613" s="116"/>
      <c r="BP613" s="117"/>
      <c r="BQ613" s="117"/>
      <c r="BU613" s="117"/>
      <c r="BW613" s="118"/>
      <c r="BY613" s="119"/>
      <c r="BZ613" s="119"/>
      <c r="CA613" s="120"/>
      <c r="CU613" s="120"/>
      <c r="CV613" s="121"/>
      <c r="CW613" s="120"/>
      <c r="CX613" s="122"/>
    </row>
    <row r="614" ht="15.75" customHeight="1">
      <c r="B614" s="111"/>
      <c r="E614" s="112"/>
      <c r="AA614" s="113"/>
      <c r="AV614" s="114"/>
      <c r="AW614" s="114"/>
      <c r="AX614" s="115"/>
      <c r="AY614" s="116"/>
      <c r="AZ614" s="115"/>
      <c r="BA614" s="116"/>
      <c r="BB614" s="116"/>
      <c r="BC614" s="116"/>
      <c r="BP614" s="117"/>
      <c r="BQ614" s="117"/>
      <c r="BU614" s="117"/>
      <c r="BW614" s="118"/>
      <c r="BY614" s="119"/>
      <c r="BZ614" s="119"/>
      <c r="CA614" s="120"/>
      <c r="CU614" s="120"/>
      <c r="CV614" s="121"/>
      <c r="CW614" s="120"/>
      <c r="CX614" s="122"/>
    </row>
    <row r="615" ht="15.75" customHeight="1">
      <c r="B615" s="111"/>
      <c r="E615" s="112"/>
      <c r="AA615" s="113"/>
      <c r="AV615" s="114"/>
      <c r="AW615" s="114"/>
      <c r="AX615" s="115"/>
      <c r="AY615" s="116"/>
      <c r="AZ615" s="115"/>
      <c r="BA615" s="116"/>
      <c r="BB615" s="116"/>
      <c r="BC615" s="116"/>
      <c r="BP615" s="117"/>
      <c r="BQ615" s="117"/>
      <c r="BU615" s="117"/>
      <c r="BW615" s="118"/>
      <c r="BY615" s="119"/>
      <c r="BZ615" s="119"/>
      <c r="CA615" s="120"/>
      <c r="CU615" s="120"/>
      <c r="CV615" s="121"/>
      <c r="CW615" s="120"/>
      <c r="CX615" s="122"/>
    </row>
    <row r="616" ht="15.75" customHeight="1">
      <c r="B616" s="111"/>
      <c r="E616" s="112"/>
      <c r="AA616" s="113"/>
      <c r="AV616" s="114"/>
      <c r="AW616" s="114"/>
      <c r="AX616" s="115"/>
      <c r="AY616" s="116"/>
      <c r="AZ616" s="115"/>
      <c r="BA616" s="116"/>
      <c r="BB616" s="116"/>
      <c r="BC616" s="116"/>
      <c r="BP616" s="117"/>
      <c r="BQ616" s="117"/>
      <c r="BU616" s="117"/>
      <c r="BW616" s="118"/>
      <c r="BY616" s="119"/>
      <c r="BZ616" s="119"/>
      <c r="CA616" s="120"/>
      <c r="CU616" s="120"/>
      <c r="CV616" s="121"/>
      <c r="CW616" s="120"/>
      <c r="CX616" s="122"/>
    </row>
    <row r="617" ht="15.75" customHeight="1">
      <c r="B617" s="111"/>
      <c r="E617" s="112"/>
      <c r="AA617" s="113"/>
      <c r="AV617" s="114"/>
      <c r="AW617" s="114"/>
      <c r="AX617" s="115"/>
      <c r="AY617" s="116"/>
      <c r="AZ617" s="115"/>
      <c r="BA617" s="116"/>
      <c r="BB617" s="116"/>
      <c r="BC617" s="116"/>
      <c r="BP617" s="117"/>
      <c r="BQ617" s="117"/>
      <c r="BU617" s="117"/>
      <c r="BW617" s="118"/>
      <c r="BY617" s="119"/>
      <c r="BZ617" s="119"/>
      <c r="CA617" s="120"/>
      <c r="CU617" s="120"/>
      <c r="CV617" s="121"/>
      <c r="CW617" s="120"/>
      <c r="CX617" s="122"/>
    </row>
    <row r="618" ht="15.75" customHeight="1">
      <c r="B618" s="111"/>
      <c r="E618" s="112"/>
      <c r="AA618" s="113"/>
      <c r="AV618" s="114"/>
      <c r="AW618" s="114"/>
      <c r="AX618" s="115"/>
      <c r="AY618" s="116"/>
      <c r="AZ618" s="115"/>
      <c r="BA618" s="116"/>
      <c r="BB618" s="116"/>
      <c r="BC618" s="116"/>
      <c r="BP618" s="117"/>
      <c r="BQ618" s="117"/>
      <c r="BU618" s="117"/>
      <c r="BW618" s="118"/>
      <c r="BY618" s="119"/>
      <c r="BZ618" s="119"/>
      <c r="CA618" s="120"/>
      <c r="CU618" s="120"/>
      <c r="CV618" s="121"/>
      <c r="CW618" s="120"/>
      <c r="CX618" s="122"/>
    </row>
    <row r="619" ht="15.75" customHeight="1">
      <c r="B619" s="111"/>
      <c r="E619" s="112"/>
      <c r="AA619" s="113"/>
      <c r="AV619" s="114"/>
      <c r="AW619" s="114"/>
      <c r="AX619" s="115"/>
      <c r="AY619" s="116"/>
      <c r="AZ619" s="115"/>
      <c r="BA619" s="116"/>
      <c r="BB619" s="116"/>
      <c r="BC619" s="116"/>
      <c r="BP619" s="117"/>
      <c r="BQ619" s="117"/>
      <c r="BU619" s="117"/>
      <c r="BW619" s="118"/>
      <c r="BY619" s="119"/>
      <c r="BZ619" s="119"/>
      <c r="CA619" s="120"/>
      <c r="CU619" s="120"/>
      <c r="CV619" s="121"/>
      <c r="CW619" s="120"/>
      <c r="CX619" s="122"/>
    </row>
    <row r="620" ht="15.75" customHeight="1">
      <c r="B620" s="111"/>
      <c r="E620" s="112"/>
      <c r="AA620" s="113"/>
      <c r="AV620" s="114"/>
      <c r="AW620" s="114"/>
      <c r="AX620" s="115"/>
      <c r="AY620" s="116"/>
      <c r="AZ620" s="115"/>
      <c r="BA620" s="116"/>
      <c r="BB620" s="116"/>
      <c r="BC620" s="116"/>
      <c r="BP620" s="117"/>
      <c r="BQ620" s="117"/>
      <c r="BU620" s="117"/>
      <c r="BW620" s="118"/>
      <c r="BY620" s="119"/>
      <c r="BZ620" s="119"/>
      <c r="CA620" s="120"/>
      <c r="CU620" s="120"/>
      <c r="CV620" s="121"/>
      <c r="CW620" s="120"/>
      <c r="CX620" s="122"/>
    </row>
    <row r="621" ht="15.75" customHeight="1">
      <c r="B621" s="111"/>
      <c r="E621" s="112"/>
      <c r="AA621" s="113"/>
      <c r="AV621" s="114"/>
      <c r="AW621" s="114"/>
      <c r="AX621" s="115"/>
      <c r="AY621" s="116"/>
      <c r="AZ621" s="115"/>
      <c r="BA621" s="116"/>
      <c r="BB621" s="116"/>
      <c r="BC621" s="116"/>
      <c r="BP621" s="117"/>
      <c r="BQ621" s="117"/>
      <c r="BU621" s="117"/>
      <c r="BW621" s="118"/>
      <c r="BY621" s="119"/>
      <c r="BZ621" s="119"/>
      <c r="CA621" s="120"/>
      <c r="CU621" s="120"/>
      <c r="CV621" s="121"/>
      <c r="CW621" s="120"/>
      <c r="CX621" s="122"/>
    </row>
    <row r="622" ht="15.75" customHeight="1">
      <c r="B622" s="111"/>
      <c r="E622" s="112"/>
      <c r="AA622" s="113"/>
      <c r="AV622" s="114"/>
      <c r="AW622" s="114"/>
      <c r="AX622" s="115"/>
      <c r="AY622" s="116"/>
      <c r="AZ622" s="115"/>
      <c r="BA622" s="116"/>
      <c r="BB622" s="116"/>
      <c r="BC622" s="116"/>
      <c r="BP622" s="117"/>
      <c r="BQ622" s="117"/>
      <c r="BU622" s="117"/>
      <c r="BW622" s="118"/>
      <c r="BY622" s="119"/>
      <c r="BZ622" s="119"/>
      <c r="CA622" s="120"/>
      <c r="CU622" s="120"/>
      <c r="CV622" s="121"/>
      <c r="CW622" s="120"/>
      <c r="CX622" s="122"/>
    </row>
    <row r="623" ht="15.75" customHeight="1">
      <c r="B623" s="111"/>
      <c r="E623" s="112"/>
      <c r="AA623" s="113"/>
      <c r="AV623" s="114"/>
      <c r="AW623" s="114"/>
      <c r="AX623" s="115"/>
      <c r="AY623" s="116"/>
      <c r="AZ623" s="115"/>
      <c r="BA623" s="116"/>
      <c r="BB623" s="116"/>
      <c r="BC623" s="116"/>
      <c r="BP623" s="117"/>
      <c r="BQ623" s="117"/>
      <c r="BU623" s="117"/>
      <c r="BW623" s="118"/>
      <c r="BY623" s="119"/>
      <c r="BZ623" s="119"/>
      <c r="CA623" s="120"/>
      <c r="CU623" s="120"/>
      <c r="CV623" s="121"/>
      <c r="CW623" s="120"/>
      <c r="CX623" s="122"/>
    </row>
    <row r="624" ht="15.75" customHeight="1">
      <c r="B624" s="111"/>
      <c r="E624" s="112"/>
      <c r="AA624" s="113"/>
      <c r="AV624" s="114"/>
      <c r="AW624" s="114"/>
      <c r="AX624" s="115"/>
      <c r="AY624" s="116"/>
      <c r="AZ624" s="115"/>
      <c r="BA624" s="116"/>
      <c r="BB624" s="116"/>
      <c r="BC624" s="116"/>
      <c r="BP624" s="117"/>
      <c r="BQ624" s="117"/>
      <c r="BU624" s="117"/>
      <c r="BW624" s="118"/>
      <c r="BY624" s="119"/>
      <c r="BZ624" s="119"/>
      <c r="CA624" s="120"/>
      <c r="CU624" s="120"/>
      <c r="CV624" s="121"/>
      <c r="CW624" s="120"/>
      <c r="CX624" s="122"/>
    </row>
    <row r="625" ht="15.75" customHeight="1">
      <c r="B625" s="111"/>
      <c r="E625" s="112"/>
      <c r="AA625" s="113"/>
      <c r="AV625" s="114"/>
      <c r="AW625" s="114"/>
      <c r="AX625" s="115"/>
      <c r="AY625" s="116"/>
      <c r="AZ625" s="115"/>
      <c r="BA625" s="116"/>
      <c r="BB625" s="116"/>
      <c r="BC625" s="116"/>
      <c r="BP625" s="117"/>
      <c r="BQ625" s="117"/>
      <c r="BU625" s="117"/>
      <c r="BW625" s="118"/>
      <c r="BY625" s="119"/>
      <c r="BZ625" s="119"/>
      <c r="CA625" s="120"/>
      <c r="CU625" s="120"/>
      <c r="CV625" s="121"/>
      <c r="CW625" s="120"/>
      <c r="CX625" s="122"/>
    </row>
    <row r="626" ht="15.75" customHeight="1">
      <c r="B626" s="111"/>
      <c r="E626" s="112"/>
      <c r="AA626" s="113"/>
      <c r="AV626" s="114"/>
      <c r="AW626" s="114"/>
      <c r="AX626" s="115"/>
      <c r="AY626" s="116"/>
      <c r="AZ626" s="115"/>
      <c r="BA626" s="116"/>
      <c r="BB626" s="116"/>
      <c r="BC626" s="116"/>
      <c r="BP626" s="117"/>
      <c r="BQ626" s="117"/>
      <c r="BU626" s="117"/>
      <c r="BW626" s="118"/>
      <c r="BY626" s="119"/>
      <c r="BZ626" s="119"/>
      <c r="CA626" s="120"/>
      <c r="CU626" s="120"/>
      <c r="CV626" s="121"/>
      <c r="CW626" s="120"/>
      <c r="CX626" s="122"/>
    </row>
    <row r="627" ht="15.75" customHeight="1">
      <c r="B627" s="111"/>
      <c r="E627" s="112"/>
      <c r="AA627" s="113"/>
      <c r="AV627" s="114"/>
      <c r="AW627" s="114"/>
      <c r="AX627" s="115"/>
      <c r="AY627" s="116"/>
      <c r="AZ627" s="115"/>
      <c r="BA627" s="116"/>
      <c r="BB627" s="116"/>
      <c r="BC627" s="116"/>
      <c r="BP627" s="117"/>
      <c r="BQ627" s="117"/>
      <c r="BU627" s="117"/>
      <c r="BW627" s="118"/>
      <c r="BY627" s="119"/>
      <c r="BZ627" s="119"/>
      <c r="CA627" s="120"/>
      <c r="CU627" s="120"/>
      <c r="CV627" s="121"/>
      <c r="CW627" s="120"/>
      <c r="CX627" s="122"/>
    </row>
    <row r="628" ht="15.75" customHeight="1">
      <c r="B628" s="111"/>
      <c r="E628" s="112"/>
      <c r="AA628" s="113"/>
      <c r="AV628" s="114"/>
      <c r="AW628" s="114"/>
      <c r="AX628" s="115"/>
      <c r="AY628" s="116"/>
      <c r="AZ628" s="115"/>
      <c r="BA628" s="116"/>
      <c r="BB628" s="116"/>
      <c r="BC628" s="116"/>
      <c r="BP628" s="117"/>
      <c r="BQ628" s="117"/>
      <c r="BU628" s="117"/>
      <c r="BW628" s="118"/>
      <c r="BY628" s="119"/>
      <c r="BZ628" s="119"/>
      <c r="CA628" s="120"/>
      <c r="CU628" s="120"/>
      <c r="CV628" s="121"/>
      <c r="CW628" s="120"/>
      <c r="CX628" s="122"/>
    </row>
    <row r="629" ht="15.75" customHeight="1">
      <c r="B629" s="111"/>
      <c r="E629" s="112"/>
      <c r="AA629" s="113"/>
      <c r="AV629" s="114"/>
      <c r="AW629" s="114"/>
      <c r="AX629" s="115"/>
      <c r="AY629" s="116"/>
      <c r="AZ629" s="115"/>
      <c r="BA629" s="116"/>
      <c r="BB629" s="116"/>
      <c r="BC629" s="116"/>
      <c r="BP629" s="117"/>
      <c r="BQ629" s="117"/>
      <c r="BU629" s="117"/>
      <c r="BW629" s="118"/>
      <c r="BY629" s="119"/>
      <c r="BZ629" s="119"/>
      <c r="CA629" s="120"/>
      <c r="CU629" s="120"/>
      <c r="CV629" s="121"/>
      <c r="CW629" s="120"/>
      <c r="CX629" s="122"/>
    </row>
    <row r="630" ht="15.75" customHeight="1">
      <c r="B630" s="111"/>
      <c r="E630" s="112"/>
      <c r="AA630" s="113"/>
      <c r="AV630" s="114"/>
      <c r="AW630" s="114"/>
      <c r="AX630" s="115"/>
      <c r="AY630" s="116"/>
      <c r="AZ630" s="115"/>
      <c r="BA630" s="116"/>
      <c r="BB630" s="116"/>
      <c r="BC630" s="116"/>
      <c r="BP630" s="117"/>
      <c r="BQ630" s="117"/>
      <c r="BU630" s="117"/>
      <c r="BW630" s="118"/>
      <c r="BY630" s="119"/>
      <c r="BZ630" s="119"/>
      <c r="CA630" s="120"/>
      <c r="CU630" s="120"/>
      <c r="CV630" s="121"/>
      <c r="CW630" s="120"/>
      <c r="CX630" s="122"/>
    </row>
    <row r="631" ht="15.75" customHeight="1">
      <c r="B631" s="111"/>
      <c r="E631" s="112"/>
      <c r="AA631" s="113"/>
      <c r="AV631" s="114"/>
      <c r="AW631" s="114"/>
      <c r="AX631" s="115"/>
      <c r="AY631" s="116"/>
      <c r="AZ631" s="115"/>
      <c r="BA631" s="116"/>
      <c r="BB631" s="116"/>
      <c r="BC631" s="116"/>
      <c r="BP631" s="117"/>
      <c r="BQ631" s="117"/>
      <c r="BU631" s="117"/>
      <c r="BW631" s="118"/>
      <c r="BY631" s="119"/>
      <c r="BZ631" s="119"/>
      <c r="CA631" s="120"/>
      <c r="CU631" s="120"/>
      <c r="CV631" s="121"/>
      <c r="CW631" s="120"/>
      <c r="CX631" s="122"/>
    </row>
    <row r="632" ht="15.75" customHeight="1">
      <c r="B632" s="111"/>
      <c r="E632" s="112"/>
      <c r="AA632" s="113"/>
      <c r="AV632" s="114"/>
      <c r="AW632" s="114"/>
      <c r="AX632" s="115"/>
      <c r="AY632" s="116"/>
      <c r="AZ632" s="115"/>
      <c r="BA632" s="116"/>
      <c r="BB632" s="116"/>
      <c r="BC632" s="116"/>
      <c r="BP632" s="117"/>
      <c r="BQ632" s="117"/>
      <c r="BU632" s="117"/>
      <c r="BW632" s="118"/>
      <c r="BY632" s="119"/>
      <c r="BZ632" s="119"/>
      <c r="CA632" s="120"/>
      <c r="CU632" s="120"/>
      <c r="CV632" s="121"/>
      <c r="CW632" s="120"/>
      <c r="CX632" s="122"/>
    </row>
    <row r="633" ht="15.75" customHeight="1">
      <c r="B633" s="111"/>
      <c r="E633" s="112"/>
      <c r="AA633" s="113"/>
      <c r="AV633" s="114"/>
      <c r="AW633" s="114"/>
      <c r="AX633" s="115"/>
      <c r="AY633" s="116"/>
      <c r="AZ633" s="115"/>
      <c r="BA633" s="116"/>
      <c r="BB633" s="116"/>
      <c r="BC633" s="116"/>
      <c r="BP633" s="117"/>
      <c r="BQ633" s="117"/>
      <c r="BU633" s="117"/>
      <c r="BW633" s="118"/>
      <c r="BY633" s="119"/>
      <c r="BZ633" s="119"/>
      <c r="CA633" s="120"/>
      <c r="CU633" s="120"/>
      <c r="CV633" s="121"/>
      <c r="CW633" s="120"/>
      <c r="CX633" s="122"/>
    </row>
    <row r="634" ht="15.75" customHeight="1">
      <c r="B634" s="111"/>
      <c r="E634" s="112"/>
      <c r="AA634" s="113"/>
      <c r="AV634" s="114"/>
      <c r="AW634" s="114"/>
      <c r="AX634" s="115"/>
      <c r="AY634" s="116"/>
      <c r="AZ634" s="115"/>
      <c r="BA634" s="116"/>
      <c r="BB634" s="116"/>
      <c r="BC634" s="116"/>
      <c r="BP634" s="117"/>
      <c r="BQ634" s="117"/>
      <c r="BU634" s="117"/>
      <c r="BW634" s="118"/>
      <c r="BY634" s="119"/>
      <c r="BZ634" s="119"/>
      <c r="CA634" s="120"/>
      <c r="CU634" s="120"/>
      <c r="CV634" s="121"/>
      <c r="CW634" s="120"/>
      <c r="CX634" s="122"/>
    </row>
    <row r="635" ht="15.75" customHeight="1">
      <c r="B635" s="111"/>
      <c r="E635" s="112"/>
      <c r="AA635" s="113"/>
      <c r="AV635" s="114"/>
      <c r="AW635" s="114"/>
      <c r="AX635" s="115"/>
      <c r="AY635" s="116"/>
      <c r="AZ635" s="115"/>
      <c r="BA635" s="116"/>
      <c r="BB635" s="116"/>
      <c r="BC635" s="116"/>
      <c r="BP635" s="117"/>
      <c r="BQ635" s="117"/>
      <c r="BU635" s="117"/>
      <c r="BW635" s="118"/>
      <c r="BY635" s="119"/>
      <c r="BZ635" s="119"/>
      <c r="CA635" s="120"/>
      <c r="CU635" s="120"/>
      <c r="CV635" s="121"/>
      <c r="CW635" s="120"/>
      <c r="CX635" s="122"/>
    </row>
    <row r="636" ht="15.75" customHeight="1">
      <c r="B636" s="111"/>
      <c r="E636" s="112"/>
      <c r="AA636" s="113"/>
      <c r="AV636" s="114"/>
      <c r="AW636" s="114"/>
      <c r="AX636" s="115"/>
      <c r="AY636" s="116"/>
      <c r="AZ636" s="115"/>
      <c r="BA636" s="116"/>
      <c r="BB636" s="116"/>
      <c r="BC636" s="116"/>
      <c r="BP636" s="117"/>
      <c r="BQ636" s="117"/>
      <c r="BU636" s="117"/>
      <c r="BW636" s="118"/>
      <c r="BY636" s="119"/>
      <c r="BZ636" s="119"/>
      <c r="CA636" s="120"/>
      <c r="CU636" s="120"/>
      <c r="CV636" s="121"/>
      <c r="CW636" s="120"/>
      <c r="CX636" s="122"/>
    </row>
    <row r="637" ht="15.75" customHeight="1">
      <c r="B637" s="111"/>
      <c r="E637" s="112"/>
      <c r="AA637" s="113"/>
      <c r="AV637" s="114"/>
      <c r="AW637" s="114"/>
      <c r="AX637" s="115"/>
      <c r="AY637" s="116"/>
      <c r="AZ637" s="115"/>
      <c r="BA637" s="116"/>
      <c r="BB637" s="116"/>
      <c r="BC637" s="116"/>
      <c r="BP637" s="117"/>
      <c r="BQ637" s="117"/>
      <c r="BU637" s="117"/>
      <c r="BW637" s="118"/>
      <c r="BY637" s="119"/>
      <c r="BZ637" s="119"/>
      <c r="CA637" s="120"/>
      <c r="CU637" s="120"/>
      <c r="CV637" s="121"/>
      <c r="CW637" s="120"/>
      <c r="CX637" s="122"/>
    </row>
    <row r="638" ht="15.75" customHeight="1">
      <c r="B638" s="111"/>
      <c r="E638" s="112"/>
      <c r="AA638" s="113"/>
      <c r="AV638" s="114"/>
      <c r="AW638" s="114"/>
      <c r="AX638" s="115"/>
      <c r="AY638" s="116"/>
      <c r="AZ638" s="115"/>
      <c r="BA638" s="116"/>
      <c r="BB638" s="116"/>
      <c r="BC638" s="116"/>
      <c r="BP638" s="117"/>
      <c r="BQ638" s="117"/>
      <c r="BU638" s="117"/>
      <c r="BW638" s="118"/>
      <c r="BY638" s="119"/>
      <c r="BZ638" s="119"/>
      <c r="CA638" s="120"/>
      <c r="CU638" s="120"/>
      <c r="CV638" s="121"/>
      <c r="CW638" s="120"/>
      <c r="CX638" s="122"/>
    </row>
    <row r="639" ht="15.75" customHeight="1">
      <c r="B639" s="111"/>
      <c r="E639" s="112"/>
      <c r="AA639" s="113"/>
      <c r="AV639" s="114"/>
      <c r="AW639" s="114"/>
      <c r="AX639" s="115"/>
      <c r="AY639" s="116"/>
      <c r="AZ639" s="115"/>
      <c r="BA639" s="116"/>
      <c r="BB639" s="116"/>
      <c r="BC639" s="116"/>
      <c r="BP639" s="117"/>
      <c r="BQ639" s="117"/>
      <c r="BU639" s="117"/>
      <c r="BW639" s="118"/>
      <c r="BY639" s="119"/>
      <c r="BZ639" s="119"/>
      <c r="CA639" s="120"/>
      <c r="CU639" s="120"/>
      <c r="CV639" s="121"/>
      <c r="CW639" s="120"/>
      <c r="CX639" s="122"/>
    </row>
    <row r="640" ht="15.75" customHeight="1">
      <c r="B640" s="111"/>
      <c r="E640" s="112"/>
      <c r="AA640" s="113"/>
      <c r="AV640" s="114"/>
      <c r="AW640" s="114"/>
      <c r="AX640" s="115"/>
      <c r="AY640" s="116"/>
      <c r="AZ640" s="115"/>
      <c r="BA640" s="116"/>
      <c r="BB640" s="116"/>
      <c r="BC640" s="116"/>
      <c r="BP640" s="117"/>
      <c r="BQ640" s="117"/>
      <c r="BU640" s="117"/>
      <c r="BW640" s="118"/>
      <c r="BY640" s="119"/>
      <c r="BZ640" s="119"/>
      <c r="CA640" s="120"/>
      <c r="CU640" s="120"/>
      <c r="CV640" s="121"/>
      <c r="CW640" s="120"/>
      <c r="CX640" s="122"/>
    </row>
    <row r="641" ht="15.75" customHeight="1">
      <c r="B641" s="111"/>
      <c r="E641" s="112"/>
      <c r="AA641" s="113"/>
      <c r="AV641" s="114"/>
      <c r="AW641" s="114"/>
      <c r="AX641" s="115"/>
      <c r="AY641" s="116"/>
      <c r="AZ641" s="115"/>
      <c r="BA641" s="116"/>
      <c r="BB641" s="116"/>
      <c r="BC641" s="116"/>
      <c r="BP641" s="117"/>
      <c r="BQ641" s="117"/>
      <c r="BU641" s="117"/>
      <c r="BW641" s="118"/>
      <c r="BY641" s="119"/>
      <c r="BZ641" s="119"/>
      <c r="CA641" s="120"/>
      <c r="CU641" s="120"/>
      <c r="CV641" s="121"/>
      <c r="CW641" s="120"/>
      <c r="CX641" s="122"/>
    </row>
    <row r="642" ht="15.75" customHeight="1">
      <c r="B642" s="111"/>
      <c r="E642" s="112"/>
      <c r="AA642" s="113"/>
      <c r="AV642" s="114"/>
      <c r="AW642" s="114"/>
      <c r="AX642" s="115"/>
      <c r="AY642" s="116"/>
      <c r="AZ642" s="115"/>
      <c r="BA642" s="116"/>
      <c r="BB642" s="116"/>
      <c r="BC642" s="116"/>
      <c r="BP642" s="117"/>
      <c r="BQ642" s="117"/>
      <c r="BU642" s="117"/>
      <c r="BW642" s="118"/>
      <c r="BY642" s="119"/>
      <c r="BZ642" s="119"/>
      <c r="CA642" s="120"/>
      <c r="CU642" s="120"/>
      <c r="CV642" s="121"/>
      <c r="CW642" s="120"/>
      <c r="CX642" s="122"/>
    </row>
    <row r="643" ht="15.75" customHeight="1">
      <c r="B643" s="111"/>
      <c r="E643" s="112"/>
      <c r="AA643" s="113"/>
      <c r="AV643" s="114"/>
      <c r="AW643" s="114"/>
      <c r="AX643" s="115"/>
      <c r="AY643" s="116"/>
      <c r="AZ643" s="115"/>
      <c r="BA643" s="116"/>
      <c r="BB643" s="116"/>
      <c r="BC643" s="116"/>
      <c r="BP643" s="117"/>
      <c r="BQ643" s="117"/>
      <c r="BU643" s="117"/>
      <c r="BW643" s="118"/>
      <c r="BY643" s="119"/>
      <c r="BZ643" s="119"/>
      <c r="CA643" s="120"/>
      <c r="CU643" s="120"/>
      <c r="CV643" s="121"/>
      <c r="CW643" s="120"/>
      <c r="CX643" s="122"/>
    </row>
    <row r="644" ht="15.75" customHeight="1">
      <c r="B644" s="111"/>
      <c r="E644" s="112"/>
      <c r="AA644" s="113"/>
      <c r="AV644" s="114"/>
      <c r="AW644" s="114"/>
      <c r="AX644" s="115"/>
      <c r="AY644" s="116"/>
      <c r="AZ644" s="115"/>
      <c r="BA644" s="116"/>
      <c r="BB644" s="116"/>
      <c r="BC644" s="116"/>
      <c r="BP644" s="117"/>
      <c r="BQ644" s="117"/>
      <c r="BU644" s="117"/>
      <c r="BW644" s="118"/>
      <c r="BY644" s="119"/>
      <c r="BZ644" s="119"/>
      <c r="CA644" s="120"/>
      <c r="CU644" s="120"/>
      <c r="CV644" s="121"/>
      <c r="CW644" s="120"/>
      <c r="CX644" s="122"/>
    </row>
    <row r="645" ht="15.75" customHeight="1">
      <c r="B645" s="111"/>
      <c r="E645" s="112"/>
      <c r="AA645" s="113"/>
      <c r="AV645" s="114"/>
      <c r="AW645" s="114"/>
      <c r="AX645" s="115"/>
      <c r="AY645" s="116"/>
      <c r="AZ645" s="115"/>
      <c r="BA645" s="116"/>
      <c r="BB645" s="116"/>
      <c r="BC645" s="116"/>
      <c r="BP645" s="117"/>
      <c r="BQ645" s="117"/>
      <c r="BU645" s="117"/>
      <c r="BW645" s="118"/>
      <c r="BY645" s="119"/>
      <c r="BZ645" s="119"/>
      <c r="CA645" s="120"/>
      <c r="CU645" s="120"/>
      <c r="CV645" s="121"/>
      <c r="CW645" s="120"/>
      <c r="CX645" s="122"/>
    </row>
    <row r="646" ht="15.75" customHeight="1">
      <c r="B646" s="111"/>
      <c r="E646" s="112"/>
      <c r="AA646" s="113"/>
      <c r="AV646" s="114"/>
      <c r="AW646" s="114"/>
      <c r="AX646" s="115"/>
      <c r="AY646" s="116"/>
      <c r="AZ646" s="115"/>
      <c r="BA646" s="116"/>
      <c r="BB646" s="116"/>
      <c r="BC646" s="116"/>
      <c r="BP646" s="117"/>
      <c r="BQ646" s="117"/>
      <c r="BU646" s="117"/>
      <c r="BW646" s="118"/>
      <c r="BY646" s="119"/>
      <c r="BZ646" s="119"/>
      <c r="CA646" s="120"/>
      <c r="CU646" s="120"/>
      <c r="CV646" s="121"/>
      <c r="CW646" s="120"/>
      <c r="CX646" s="122"/>
    </row>
    <row r="647" ht="15.75" customHeight="1">
      <c r="B647" s="111"/>
      <c r="E647" s="112"/>
      <c r="AA647" s="113"/>
      <c r="AV647" s="114"/>
      <c r="AW647" s="114"/>
      <c r="AX647" s="115"/>
      <c r="AY647" s="116"/>
      <c r="AZ647" s="115"/>
      <c r="BA647" s="116"/>
      <c r="BB647" s="116"/>
      <c r="BC647" s="116"/>
      <c r="BP647" s="117"/>
      <c r="BQ647" s="117"/>
      <c r="BU647" s="117"/>
      <c r="BW647" s="118"/>
      <c r="BY647" s="119"/>
      <c r="BZ647" s="119"/>
      <c r="CA647" s="120"/>
      <c r="CU647" s="120"/>
      <c r="CV647" s="121"/>
      <c r="CW647" s="120"/>
      <c r="CX647" s="122"/>
    </row>
    <row r="648" ht="15.75" customHeight="1">
      <c r="B648" s="111"/>
      <c r="E648" s="112"/>
      <c r="AA648" s="113"/>
      <c r="AV648" s="114"/>
      <c r="AW648" s="114"/>
      <c r="AX648" s="115"/>
      <c r="AY648" s="116"/>
      <c r="AZ648" s="115"/>
      <c r="BA648" s="116"/>
      <c r="BB648" s="116"/>
      <c r="BC648" s="116"/>
      <c r="BP648" s="117"/>
      <c r="BQ648" s="117"/>
      <c r="BU648" s="117"/>
      <c r="BW648" s="118"/>
      <c r="BY648" s="119"/>
      <c r="BZ648" s="119"/>
      <c r="CA648" s="120"/>
      <c r="CU648" s="120"/>
      <c r="CV648" s="121"/>
      <c r="CW648" s="120"/>
      <c r="CX648" s="122"/>
    </row>
    <row r="649" ht="15.75" customHeight="1">
      <c r="B649" s="111"/>
      <c r="E649" s="112"/>
      <c r="AA649" s="113"/>
      <c r="AV649" s="114"/>
      <c r="AW649" s="114"/>
      <c r="AX649" s="115"/>
      <c r="AY649" s="116"/>
      <c r="AZ649" s="115"/>
      <c r="BA649" s="116"/>
      <c r="BB649" s="116"/>
      <c r="BC649" s="116"/>
      <c r="BP649" s="117"/>
      <c r="BQ649" s="117"/>
      <c r="BU649" s="117"/>
      <c r="BW649" s="118"/>
      <c r="BY649" s="119"/>
      <c r="BZ649" s="119"/>
      <c r="CA649" s="120"/>
      <c r="CU649" s="120"/>
      <c r="CV649" s="121"/>
      <c r="CW649" s="120"/>
      <c r="CX649" s="122"/>
    </row>
    <row r="650" ht="15.75" customHeight="1">
      <c r="B650" s="111"/>
      <c r="E650" s="112"/>
      <c r="AA650" s="113"/>
      <c r="AV650" s="114"/>
      <c r="AW650" s="114"/>
      <c r="AX650" s="115"/>
      <c r="AY650" s="116"/>
      <c r="AZ650" s="115"/>
      <c r="BA650" s="116"/>
      <c r="BB650" s="116"/>
      <c r="BC650" s="116"/>
      <c r="BP650" s="117"/>
      <c r="BQ650" s="117"/>
      <c r="BU650" s="117"/>
      <c r="BW650" s="118"/>
      <c r="BY650" s="119"/>
      <c r="BZ650" s="119"/>
      <c r="CA650" s="120"/>
      <c r="CU650" s="120"/>
      <c r="CV650" s="121"/>
      <c r="CW650" s="120"/>
      <c r="CX650" s="122"/>
    </row>
    <row r="651" ht="15.75" customHeight="1">
      <c r="B651" s="111"/>
      <c r="E651" s="112"/>
      <c r="AA651" s="113"/>
      <c r="AV651" s="114"/>
      <c r="AW651" s="114"/>
      <c r="AX651" s="115"/>
      <c r="AY651" s="116"/>
      <c r="AZ651" s="115"/>
      <c r="BA651" s="116"/>
      <c r="BB651" s="116"/>
      <c r="BC651" s="116"/>
      <c r="BP651" s="117"/>
      <c r="BQ651" s="117"/>
      <c r="BU651" s="117"/>
      <c r="BW651" s="118"/>
      <c r="BY651" s="119"/>
      <c r="BZ651" s="119"/>
      <c r="CA651" s="120"/>
      <c r="CU651" s="120"/>
      <c r="CV651" s="121"/>
      <c r="CW651" s="120"/>
      <c r="CX651" s="122"/>
    </row>
    <row r="652" ht="15.75" customHeight="1">
      <c r="B652" s="111"/>
      <c r="E652" s="112"/>
      <c r="AA652" s="113"/>
      <c r="AV652" s="114"/>
      <c r="AW652" s="114"/>
      <c r="AX652" s="115"/>
      <c r="AY652" s="116"/>
      <c r="AZ652" s="115"/>
      <c r="BA652" s="116"/>
      <c r="BB652" s="116"/>
      <c r="BC652" s="116"/>
      <c r="BP652" s="117"/>
      <c r="BQ652" s="117"/>
      <c r="BU652" s="117"/>
      <c r="BW652" s="118"/>
      <c r="BY652" s="119"/>
      <c r="BZ652" s="119"/>
      <c r="CA652" s="120"/>
      <c r="CU652" s="120"/>
      <c r="CV652" s="121"/>
      <c r="CW652" s="120"/>
      <c r="CX652" s="122"/>
    </row>
    <row r="653" ht="15.75" customHeight="1">
      <c r="B653" s="111"/>
      <c r="E653" s="112"/>
      <c r="AA653" s="113"/>
      <c r="AV653" s="114"/>
      <c r="AW653" s="114"/>
      <c r="AX653" s="115"/>
      <c r="AY653" s="116"/>
      <c r="AZ653" s="115"/>
      <c r="BA653" s="116"/>
      <c r="BB653" s="116"/>
      <c r="BC653" s="116"/>
      <c r="BP653" s="117"/>
      <c r="BQ653" s="117"/>
      <c r="BU653" s="117"/>
      <c r="BW653" s="118"/>
      <c r="BY653" s="119"/>
      <c r="BZ653" s="119"/>
      <c r="CA653" s="120"/>
      <c r="CU653" s="120"/>
      <c r="CV653" s="121"/>
      <c r="CW653" s="120"/>
      <c r="CX653" s="122"/>
    </row>
    <row r="654" ht="15.75" customHeight="1">
      <c r="B654" s="111"/>
      <c r="E654" s="112"/>
      <c r="AA654" s="113"/>
      <c r="AV654" s="114"/>
      <c r="AW654" s="114"/>
      <c r="AX654" s="115"/>
      <c r="AY654" s="116"/>
      <c r="AZ654" s="115"/>
      <c r="BA654" s="116"/>
      <c r="BB654" s="116"/>
      <c r="BC654" s="116"/>
      <c r="BP654" s="117"/>
      <c r="BQ654" s="117"/>
      <c r="BU654" s="117"/>
      <c r="BW654" s="118"/>
      <c r="BY654" s="119"/>
      <c r="BZ654" s="119"/>
      <c r="CA654" s="120"/>
      <c r="CU654" s="120"/>
      <c r="CV654" s="121"/>
      <c r="CW654" s="120"/>
      <c r="CX654" s="122"/>
    </row>
    <row r="655" ht="15.75" customHeight="1">
      <c r="B655" s="111"/>
      <c r="E655" s="112"/>
      <c r="AA655" s="113"/>
      <c r="AV655" s="114"/>
      <c r="AW655" s="114"/>
      <c r="AX655" s="115"/>
      <c r="AY655" s="116"/>
      <c r="AZ655" s="115"/>
      <c r="BA655" s="116"/>
      <c r="BB655" s="116"/>
      <c r="BC655" s="116"/>
      <c r="BP655" s="117"/>
      <c r="BQ655" s="117"/>
      <c r="BU655" s="117"/>
      <c r="BW655" s="118"/>
      <c r="BY655" s="119"/>
      <c r="BZ655" s="119"/>
      <c r="CA655" s="120"/>
      <c r="CU655" s="120"/>
      <c r="CV655" s="121"/>
      <c r="CW655" s="120"/>
      <c r="CX655" s="122"/>
    </row>
    <row r="656" ht="15.75" customHeight="1">
      <c r="B656" s="111"/>
      <c r="E656" s="112"/>
      <c r="AA656" s="113"/>
      <c r="AV656" s="114"/>
      <c r="AW656" s="114"/>
      <c r="AX656" s="115"/>
      <c r="AY656" s="116"/>
      <c r="AZ656" s="115"/>
      <c r="BA656" s="116"/>
      <c r="BB656" s="116"/>
      <c r="BC656" s="116"/>
      <c r="BP656" s="117"/>
      <c r="BQ656" s="117"/>
      <c r="BU656" s="117"/>
      <c r="BW656" s="118"/>
      <c r="BY656" s="119"/>
      <c r="BZ656" s="119"/>
      <c r="CA656" s="120"/>
      <c r="CU656" s="120"/>
      <c r="CV656" s="121"/>
      <c r="CW656" s="120"/>
      <c r="CX656" s="122"/>
    </row>
    <row r="657" ht="15.75" customHeight="1">
      <c r="B657" s="111"/>
      <c r="E657" s="112"/>
      <c r="AA657" s="113"/>
      <c r="AV657" s="114"/>
      <c r="AW657" s="114"/>
      <c r="AX657" s="115"/>
      <c r="AY657" s="116"/>
      <c r="AZ657" s="115"/>
      <c r="BA657" s="116"/>
      <c r="BB657" s="116"/>
      <c r="BC657" s="116"/>
      <c r="BP657" s="117"/>
      <c r="BQ657" s="117"/>
      <c r="BU657" s="117"/>
      <c r="BW657" s="118"/>
      <c r="BY657" s="119"/>
      <c r="BZ657" s="119"/>
      <c r="CA657" s="120"/>
      <c r="CU657" s="120"/>
      <c r="CV657" s="121"/>
      <c r="CW657" s="120"/>
      <c r="CX657" s="122"/>
    </row>
    <row r="658" ht="15.75" customHeight="1">
      <c r="B658" s="111"/>
      <c r="E658" s="112"/>
      <c r="AA658" s="113"/>
      <c r="AV658" s="114"/>
      <c r="AW658" s="114"/>
      <c r="AX658" s="115"/>
      <c r="AY658" s="116"/>
      <c r="AZ658" s="115"/>
      <c r="BA658" s="116"/>
      <c r="BB658" s="116"/>
      <c r="BC658" s="116"/>
      <c r="BP658" s="117"/>
      <c r="BQ658" s="117"/>
      <c r="BU658" s="117"/>
      <c r="BW658" s="118"/>
      <c r="BY658" s="119"/>
      <c r="BZ658" s="119"/>
      <c r="CA658" s="120"/>
      <c r="CU658" s="120"/>
      <c r="CV658" s="121"/>
      <c r="CW658" s="120"/>
      <c r="CX658" s="122"/>
    </row>
    <row r="659" ht="15.75" customHeight="1">
      <c r="B659" s="111"/>
      <c r="E659" s="112"/>
      <c r="AA659" s="113"/>
      <c r="AV659" s="114"/>
      <c r="AW659" s="114"/>
      <c r="AX659" s="115"/>
      <c r="AY659" s="116"/>
      <c r="AZ659" s="115"/>
      <c r="BA659" s="116"/>
      <c r="BB659" s="116"/>
      <c r="BC659" s="116"/>
      <c r="BP659" s="117"/>
      <c r="BQ659" s="117"/>
      <c r="BU659" s="117"/>
      <c r="BW659" s="118"/>
      <c r="BY659" s="119"/>
      <c r="BZ659" s="119"/>
      <c r="CA659" s="120"/>
      <c r="CU659" s="120"/>
      <c r="CV659" s="121"/>
      <c r="CW659" s="120"/>
      <c r="CX659" s="122"/>
    </row>
    <row r="660" ht="15.75" customHeight="1">
      <c r="B660" s="111"/>
      <c r="E660" s="112"/>
      <c r="AA660" s="113"/>
      <c r="AV660" s="114"/>
      <c r="AW660" s="114"/>
      <c r="AX660" s="115"/>
      <c r="AY660" s="116"/>
      <c r="AZ660" s="115"/>
      <c r="BA660" s="116"/>
      <c r="BB660" s="116"/>
      <c r="BC660" s="116"/>
      <c r="BP660" s="117"/>
      <c r="BQ660" s="117"/>
      <c r="BU660" s="117"/>
      <c r="BW660" s="118"/>
      <c r="BY660" s="119"/>
      <c r="BZ660" s="119"/>
      <c r="CA660" s="120"/>
      <c r="CU660" s="120"/>
      <c r="CV660" s="121"/>
      <c r="CW660" s="120"/>
      <c r="CX660" s="122"/>
    </row>
    <row r="661" ht="15.75" customHeight="1">
      <c r="B661" s="111"/>
      <c r="E661" s="112"/>
      <c r="AA661" s="113"/>
      <c r="AV661" s="114"/>
      <c r="AW661" s="114"/>
      <c r="AX661" s="115"/>
      <c r="AY661" s="116"/>
      <c r="AZ661" s="115"/>
      <c r="BA661" s="116"/>
      <c r="BB661" s="116"/>
      <c r="BC661" s="116"/>
      <c r="BP661" s="117"/>
      <c r="BQ661" s="117"/>
      <c r="BU661" s="117"/>
      <c r="BW661" s="118"/>
      <c r="BY661" s="119"/>
      <c r="BZ661" s="119"/>
      <c r="CA661" s="120"/>
      <c r="CU661" s="120"/>
      <c r="CV661" s="121"/>
      <c r="CW661" s="120"/>
      <c r="CX661" s="122"/>
    </row>
    <row r="662" ht="15.75" customHeight="1">
      <c r="B662" s="111"/>
      <c r="E662" s="112"/>
      <c r="AA662" s="113"/>
      <c r="AV662" s="114"/>
      <c r="AW662" s="114"/>
      <c r="AX662" s="115"/>
      <c r="AY662" s="116"/>
      <c r="AZ662" s="115"/>
      <c r="BA662" s="116"/>
      <c r="BB662" s="116"/>
      <c r="BC662" s="116"/>
      <c r="BP662" s="117"/>
      <c r="BQ662" s="117"/>
      <c r="BU662" s="117"/>
      <c r="BW662" s="118"/>
      <c r="BY662" s="119"/>
      <c r="BZ662" s="119"/>
      <c r="CA662" s="120"/>
      <c r="CU662" s="120"/>
      <c r="CV662" s="121"/>
      <c r="CW662" s="120"/>
      <c r="CX662" s="122"/>
    </row>
    <row r="663" ht="15.75" customHeight="1">
      <c r="B663" s="111"/>
      <c r="E663" s="112"/>
      <c r="AA663" s="113"/>
      <c r="AV663" s="114"/>
      <c r="AW663" s="114"/>
      <c r="AX663" s="115"/>
      <c r="AY663" s="116"/>
      <c r="AZ663" s="115"/>
      <c r="BA663" s="116"/>
      <c r="BB663" s="116"/>
      <c r="BC663" s="116"/>
      <c r="BP663" s="117"/>
      <c r="BQ663" s="117"/>
      <c r="BU663" s="117"/>
      <c r="BW663" s="118"/>
      <c r="BY663" s="119"/>
      <c r="BZ663" s="119"/>
      <c r="CA663" s="120"/>
      <c r="CU663" s="120"/>
      <c r="CV663" s="121"/>
      <c r="CW663" s="120"/>
      <c r="CX663" s="122"/>
    </row>
    <row r="664" ht="15.75" customHeight="1">
      <c r="B664" s="111"/>
      <c r="E664" s="112"/>
      <c r="AA664" s="113"/>
      <c r="AV664" s="114"/>
      <c r="AW664" s="114"/>
      <c r="AX664" s="115"/>
      <c r="AY664" s="116"/>
      <c r="AZ664" s="115"/>
      <c r="BA664" s="116"/>
      <c r="BB664" s="116"/>
      <c r="BC664" s="116"/>
      <c r="BP664" s="117"/>
      <c r="BQ664" s="117"/>
      <c r="BU664" s="117"/>
      <c r="BW664" s="118"/>
      <c r="BY664" s="119"/>
      <c r="BZ664" s="119"/>
      <c r="CA664" s="120"/>
      <c r="CU664" s="120"/>
      <c r="CV664" s="121"/>
      <c r="CW664" s="120"/>
      <c r="CX664" s="122"/>
    </row>
    <row r="665" ht="15.75" customHeight="1">
      <c r="B665" s="111"/>
      <c r="E665" s="112"/>
      <c r="AA665" s="113"/>
      <c r="AV665" s="114"/>
      <c r="AW665" s="114"/>
      <c r="AX665" s="115"/>
      <c r="AY665" s="116"/>
      <c r="AZ665" s="115"/>
      <c r="BA665" s="116"/>
      <c r="BB665" s="116"/>
      <c r="BC665" s="116"/>
      <c r="BP665" s="117"/>
      <c r="BQ665" s="117"/>
      <c r="BU665" s="117"/>
      <c r="BW665" s="118"/>
      <c r="BY665" s="119"/>
      <c r="BZ665" s="119"/>
      <c r="CA665" s="120"/>
      <c r="CU665" s="120"/>
      <c r="CV665" s="121"/>
      <c r="CW665" s="120"/>
      <c r="CX665" s="122"/>
    </row>
    <row r="666" ht="15.75" customHeight="1">
      <c r="B666" s="111"/>
      <c r="E666" s="112"/>
      <c r="AA666" s="113"/>
      <c r="AV666" s="114"/>
      <c r="AW666" s="114"/>
      <c r="AX666" s="115"/>
      <c r="AY666" s="116"/>
      <c r="AZ666" s="115"/>
      <c r="BA666" s="116"/>
      <c r="BB666" s="116"/>
      <c r="BC666" s="116"/>
      <c r="BP666" s="117"/>
      <c r="BQ666" s="117"/>
      <c r="BU666" s="117"/>
      <c r="BW666" s="118"/>
      <c r="BY666" s="119"/>
      <c r="BZ666" s="119"/>
      <c r="CA666" s="120"/>
      <c r="CU666" s="120"/>
      <c r="CV666" s="121"/>
      <c r="CW666" s="120"/>
      <c r="CX666" s="122"/>
    </row>
    <row r="667" ht="15.75" customHeight="1">
      <c r="B667" s="111"/>
      <c r="E667" s="112"/>
      <c r="AA667" s="113"/>
      <c r="AV667" s="114"/>
      <c r="AW667" s="114"/>
      <c r="AX667" s="115"/>
      <c r="AY667" s="116"/>
      <c r="AZ667" s="115"/>
      <c r="BA667" s="116"/>
      <c r="BB667" s="116"/>
      <c r="BC667" s="116"/>
      <c r="BP667" s="117"/>
      <c r="BQ667" s="117"/>
      <c r="BU667" s="117"/>
      <c r="BW667" s="118"/>
      <c r="BY667" s="119"/>
      <c r="BZ667" s="119"/>
      <c r="CA667" s="120"/>
      <c r="CU667" s="120"/>
      <c r="CV667" s="121"/>
      <c r="CW667" s="120"/>
      <c r="CX667" s="122"/>
    </row>
    <row r="668" ht="15.75" customHeight="1">
      <c r="B668" s="111"/>
      <c r="E668" s="112"/>
      <c r="AA668" s="113"/>
      <c r="AV668" s="114"/>
      <c r="AW668" s="114"/>
      <c r="AX668" s="115"/>
      <c r="AY668" s="116"/>
      <c r="AZ668" s="115"/>
      <c r="BA668" s="116"/>
      <c r="BB668" s="116"/>
      <c r="BC668" s="116"/>
      <c r="BP668" s="117"/>
      <c r="BQ668" s="117"/>
      <c r="BU668" s="117"/>
      <c r="BW668" s="118"/>
      <c r="BY668" s="119"/>
      <c r="BZ668" s="119"/>
      <c r="CA668" s="120"/>
      <c r="CU668" s="120"/>
      <c r="CV668" s="121"/>
      <c r="CW668" s="120"/>
      <c r="CX668" s="122"/>
    </row>
    <row r="669" ht="15.75" customHeight="1">
      <c r="B669" s="111"/>
      <c r="E669" s="112"/>
      <c r="AA669" s="113"/>
      <c r="AV669" s="114"/>
      <c r="AW669" s="114"/>
      <c r="AX669" s="115"/>
      <c r="AY669" s="116"/>
      <c r="AZ669" s="115"/>
      <c r="BA669" s="116"/>
      <c r="BB669" s="116"/>
      <c r="BC669" s="116"/>
      <c r="BP669" s="117"/>
      <c r="BQ669" s="117"/>
      <c r="BU669" s="117"/>
      <c r="BW669" s="118"/>
      <c r="BY669" s="119"/>
      <c r="BZ669" s="119"/>
      <c r="CA669" s="120"/>
      <c r="CU669" s="120"/>
      <c r="CV669" s="121"/>
      <c r="CW669" s="120"/>
      <c r="CX669" s="122"/>
    </row>
    <row r="670" ht="15.75" customHeight="1">
      <c r="B670" s="111"/>
      <c r="E670" s="112"/>
      <c r="AA670" s="113"/>
      <c r="AV670" s="114"/>
      <c r="AW670" s="114"/>
      <c r="AX670" s="115"/>
      <c r="AY670" s="116"/>
      <c r="AZ670" s="115"/>
      <c r="BA670" s="116"/>
      <c r="BB670" s="116"/>
      <c r="BC670" s="116"/>
      <c r="BP670" s="117"/>
      <c r="BQ670" s="117"/>
      <c r="BU670" s="117"/>
      <c r="BW670" s="118"/>
      <c r="BY670" s="119"/>
      <c r="BZ670" s="119"/>
      <c r="CA670" s="120"/>
      <c r="CU670" s="120"/>
      <c r="CV670" s="121"/>
      <c r="CW670" s="120"/>
      <c r="CX670" s="122"/>
    </row>
    <row r="671" ht="15.75" customHeight="1">
      <c r="B671" s="111"/>
      <c r="E671" s="112"/>
      <c r="AA671" s="113"/>
      <c r="AV671" s="114"/>
      <c r="AW671" s="114"/>
      <c r="AX671" s="115"/>
      <c r="AY671" s="116"/>
      <c r="AZ671" s="115"/>
      <c r="BA671" s="116"/>
      <c r="BB671" s="116"/>
      <c r="BC671" s="116"/>
      <c r="BP671" s="117"/>
      <c r="BQ671" s="117"/>
      <c r="BU671" s="117"/>
      <c r="BW671" s="118"/>
      <c r="BY671" s="119"/>
      <c r="BZ671" s="119"/>
      <c r="CA671" s="120"/>
      <c r="CU671" s="120"/>
      <c r="CV671" s="121"/>
      <c r="CW671" s="120"/>
      <c r="CX671" s="122"/>
    </row>
    <row r="672" ht="15.75" customHeight="1">
      <c r="B672" s="111"/>
      <c r="E672" s="112"/>
      <c r="AA672" s="113"/>
      <c r="AV672" s="114"/>
      <c r="AW672" s="114"/>
      <c r="AX672" s="115"/>
      <c r="AY672" s="116"/>
      <c r="AZ672" s="115"/>
      <c r="BA672" s="116"/>
      <c r="BB672" s="116"/>
      <c r="BC672" s="116"/>
      <c r="BP672" s="117"/>
      <c r="BQ672" s="117"/>
      <c r="BU672" s="117"/>
      <c r="BW672" s="118"/>
      <c r="BY672" s="119"/>
      <c r="BZ672" s="119"/>
      <c r="CA672" s="120"/>
      <c r="CU672" s="120"/>
      <c r="CV672" s="121"/>
      <c r="CW672" s="120"/>
      <c r="CX672" s="122"/>
    </row>
    <row r="673" ht="15.75" customHeight="1">
      <c r="B673" s="111"/>
      <c r="E673" s="112"/>
      <c r="AA673" s="113"/>
      <c r="AV673" s="114"/>
      <c r="AW673" s="114"/>
      <c r="AX673" s="115"/>
      <c r="AY673" s="116"/>
      <c r="AZ673" s="115"/>
      <c r="BA673" s="116"/>
      <c r="BB673" s="116"/>
      <c r="BC673" s="116"/>
      <c r="BP673" s="117"/>
      <c r="BQ673" s="117"/>
      <c r="BU673" s="117"/>
      <c r="BW673" s="118"/>
      <c r="BY673" s="119"/>
      <c r="BZ673" s="119"/>
      <c r="CA673" s="120"/>
      <c r="CU673" s="120"/>
      <c r="CV673" s="121"/>
      <c r="CW673" s="120"/>
      <c r="CX673" s="122"/>
    </row>
    <row r="674" ht="15.75" customHeight="1">
      <c r="B674" s="111"/>
      <c r="E674" s="112"/>
      <c r="AA674" s="113"/>
      <c r="AV674" s="114"/>
      <c r="AW674" s="114"/>
      <c r="AX674" s="115"/>
      <c r="AY674" s="116"/>
      <c r="AZ674" s="115"/>
      <c r="BA674" s="116"/>
      <c r="BB674" s="116"/>
      <c r="BC674" s="116"/>
      <c r="BP674" s="117"/>
      <c r="BQ674" s="117"/>
      <c r="BU674" s="117"/>
      <c r="BW674" s="118"/>
      <c r="BY674" s="119"/>
      <c r="BZ674" s="119"/>
      <c r="CA674" s="120"/>
      <c r="CU674" s="120"/>
      <c r="CV674" s="121"/>
      <c r="CW674" s="120"/>
      <c r="CX674" s="122"/>
    </row>
    <row r="675" ht="15.75" customHeight="1">
      <c r="B675" s="111"/>
      <c r="E675" s="112"/>
      <c r="AA675" s="113"/>
      <c r="AV675" s="114"/>
      <c r="AW675" s="114"/>
      <c r="AX675" s="115"/>
      <c r="AY675" s="116"/>
      <c r="AZ675" s="115"/>
      <c r="BA675" s="116"/>
      <c r="BB675" s="116"/>
      <c r="BC675" s="116"/>
      <c r="BP675" s="117"/>
      <c r="BQ675" s="117"/>
      <c r="BU675" s="117"/>
      <c r="BW675" s="118"/>
      <c r="BY675" s="119"/>
      <c r="BZ675" s="119"/>
      <c r="CA675" s="120"/>
      <c r="CU675" s="120"/>
      <c r="CV675" s="121"/>
      <c r="CW675" s="120"/>
      <c r="CX675" s="122"/>
    </row>
    <row r="676" ht="15.75" customHeight="1">
      <c r="B676" s="111"/>
      <c r="E676" s="112"/>
      <c r="AA676" s="113"/>
      <c r="AV676" s="114"/>
      <c r="AW676" s="114"/>
      <c r="AX676" s="115"/>
      <c r="AY676" s="116"/>
      <c r="AZ676" s="115"/>
      <c r="BA676" s="116"/>
      <c r="BB676" s="116"/>
      <c r="BC676" s="116"/>
      <c r="BP676" s="117"/>
      <c r="BQ676" s="117"/>
      <c r="BU676" s="117"/>
      <c r="BW676" s="118"/>
      <c r="BY676" s="119"/>
      <c r="BZ676" s="119"/>
      <c r="CA676" s="120"/>
      <c r="CU676" s="120"/>
      <c r="CV676" s="121"/>
      <c r="CW676" s="120"/>
      <c r="CX676" s="122"/>
    </row>
    <row r="677" ht="15.75" customHeight="1">
      <c r="B677" s="111"/>
      <c r="E677" s="112"/>
      <c r="AA677" s="113"/>
      <c r="AV677" s="114"/>
      <c r="AW677" s="114"/>
      <c r="AX677" s="115"/>
      <c r="AY677" s="116"/>
      <c r="AZ677" s="115"/>
      <c r="BA677" s="116"/>
      <c r="BB677" s="116"/>
      <c r="BC677" s="116"/>
      <c r="BP677" s="117"/>
      <c r="BQ677" s="117"/>
      <c r="BU677" s="117"/>
      <c r="BW677" s="118"/>
      <c r="BY677" s="119"/>
      <c r="BZ677" s="119"/>
      <c r="CA677" s="120"/>
      <c r="CU677" s="120"/>
      <c r="CV677" s="121"/>
      <c r="CW677" s="120"/>
      <c r="CX677" s="122"/>
    </row>
    <row r="678" ht="15.75" customHeight="1">
      <c r="B678" s="111"/>
      <c r="E678" s="112"/>
      <c r="AA678" s="113"/>
      <c r="AV678" s="114"/>
      <c r="AW678" s="114"/>
      <c r="AX678" s="115"/>
      <c r="AY678" s="116"/>
      <c r="AZ678" s="115"/>
      <c r="BA678" s="116"/>
      <c r="BB678" s="116"/>
      <c r="BC678" s="116"/>
      <c r="BP678" s="117"/>
      <c r="BQ678" s="117"/>
      <c r="BU678" s="117"/>
      <c r="BW678" s="118"/>
      <c r="BY678" s="119"/>
      <c r="BZ678" s="119"/>
      <c r="CA678" s="120"/>
      <c r="CU678" s="120"/>
      <c r="CV678" s="121"/>
      <c r="CW678" s="120"/>
      <c r="CX678" s="122"/>
    </row>
    <row r="679" ht="15.75" customHeight="1">
      <c r="B679" s="111"/>
      <c r="E679" s="112"/>
      <c r="AA679" s="113"/>
      <c r="AV679" s="114"/>
      <c r="AW679" s="114"/>
      <c r="AX679" s="115"/>
      <c r="AY679" s="116"/>
      <c r="AZ679" s="115"/>
      <c r="BA679" s="116"/>
      <c r="BB679" s="116"/>
      <c r="BC679" s="116"/>
      <c r="BP679" s="117"/>
      <c r="BQ679" s="117"/>
      <c r="BU679" s="117"/>
      <c r="BW679" s="118"/>
      <c r="BY679" s="119"/>
      <c r="BZ679" s="119"/>
      <c r="CA679" s="120"/>
      <c r="CU679" s="120"/>
      <c r="CV679" s="121"/>
      <c r="CW679" s="120"/>
      <c r="CX679" s="122"/>
    </row>
    <row r="680" ht="15.75" customHeight="1">
      <c r="B680" s="111"/>
      <c r="E680" s="112"/>
      <c r="AA680" s="113"/>
      <c r="AV680" s="114"/>
      <c r="AW680" s="114"/>
      <c r="AX680" s="115"/>
      <c r="AY680" s="116"/>
      <c r="AZ680" s="115"/>
      <c r="BA680" s="116"/>
      <c r="BB680" s="116"/>
      <c r="BC680" s="116"/>
      <c r="BP680" s="117"/>
      <c r="BQ680" s="117"/>
      <c r="BU680" s="117"/>
      <c r="BW680" s="118"/>
      <c r="BY680" s="119"/>
      <c r="BZ680" s="119"/>
      <c r="CA680" s="120"/>
      <c r="CU680" s="120"/>
      <c r="CV680" s="121"/>
      <c r="CW680" s="120"/>
      <c r="CX680" s="122"/>
    </row>
    <row r="681" ht="15.75" customHeight="1">
      <c r="B681" s="111"/>
      <c r="E681" s="112"/>
      <c r="AA681" s="113"/>
      <c r="AV681" s="114"/>
      <c r="AW681" s="114"/>
      <c r="AX681" s="115"/>
      <c r="AY681" s="116"/>
      <c r="AZ681" s="115"/>
      <c r="BA681" s="116"/>
      <c r="BB681" s="116"/>
      <c r="BC681" s="116"/>
      <c r="BP681" s="117"/>
      <c r="BQ681" s="117"/>
      <c r="BU681" s="117"/>
      <c r="BW681" s="118"/>
      <c r="BY681" s="119"/>
      <c r="BZ681" s="119"/>
      <c r="CA681" s="120"/>
      <c r="CU681" s="120"/>
      <c r="CV681" s="121"/>
      <c r="CW681" s="120"/>
      <c r="CX681" s="122"/>
    </row>
    <row r="682" ht="15.75" customHeight="1">
      <c r="B682" s="111"/>
      <c r="E682" s="112"/>
      <c r="AA682" s="113"/>
      <c r="AV682" s="114"/>
      <c r="AW682" s="114"/>
      <c r="AX682" s="115"/>
      <c r="AY682" s="116"/>
      <c r="AZ682" s="115"/>
      <c r="BA682" s="116"/>
      <c r="BB682" s="116"/>
      <c r="BC682" s="116"/>
      <c r="BP682" s="117"/>
      <c r="BQ682" s="117"/>
      <c r="BU682" s="117"/>
      <c r="BW682" s="118"/>
      <c r="BY682" s="119"/>
      <c r="BZ682" s="119"/>
      <c r="CA682" s="120"/>
      <c r="CU682" s="120"/>
      <c r="CV682" s="121"/>
      <c r="CW682" s="120"/>
      <c r="CX682" s="122"/>
    </row>
    <row r="683" ht="15.75" customHeight="1">
      <c r="B683" s="111"/>
      <c r="E683" s="112"/>
      <c r="AA683" s="113"/>
      <c r="AV683" s="114"/>
      <c r="AW683" s="114"/>
      <c r="AX683" s="115"/>
      <c r="AY683" s="116"/>
      <c r="AZ683" s="115"/>
      <c r="BA683" s="116"/>
      <c r="BB683" s="116"/>
      <c r="BC683" s="116"/>
      <c r="BP683" s="117"/>
      <c r="BQ683" s="117"/>
      <c r="BU683" s="117"/>
      <c r="BW683" s="118"/>
      <c r="BY683" s="119"/>
      <c r="BZ683" s="119"/>
      <c r="CA683" s="120"/>
      <c r="CU683" s="120"/>
      <c r="CV683" s="121"/>
      <c r="CW683" s="120"/>
      <c r="CX683" s="122"/>
    </row>
    <row r="684" ht="15.75" customHeight="1">
      <c r="B684" s="111"/>
      <c r="E684" s="112"/>
      <c r="AA684" s="113"/>
      <c r="AV684" s="114"/>
      <c r="AW684" s="114"/>
      <c r="AX684" s="115"/>
      <c r="AY684" s="116"/>
      <c r="AZ684" s="115"/>
      <c r="BA684" s="116"/>
      <c r="BB684" s="116"/>
      <c r="BC684" s="116"/>
      <c r="BP684" s="117"/>
      <c r="BQ684" s="117"/>
      <c r="BU684" s="117"/>
      <c r="BW684" s="118"/>
      <c r="BY684" s="119"/>
      <c r="BZ684" s="119"/>
      <c r="CA684" s="120"/>
      <c r="CU684" s="120"/>
      <c r="CV684" s="121"/>
      <c r="CW684" s="120"/>
      <c r="CX684" s="122"/>
    </row>
    <row r="685" ht="15.75" customHeight="1">
      <c r="B685" s="111"/>
      <c r="E685" s="112"/>
      <c r="AA685" s="113"/>
      <c r="AV685" s="114"/>
      <c r="AW685" s="114"/>
      <c r="AX685" s="115"/>
      <c r="AY685" s="116"/>
      <c r="AZ685" s="115"/>
      <c r="BA685" s="116"/>
      <c r="BB685" s="116"/>
      <c r="BC685" s="116"/>
      <c r="BP685" s="117"/>
      <c r="BQ685" s="117"/>
      <c r="BU685" s="117"/>
      <c r="BW685" s="118"/>
      <c r="BY685" s="119"/>
      <c r="BZ685" s="119"/>
      <c r="CA685" s="120"/>
      <c r="CU685" s="120"/>
      <c r="CV685" s="121"/>
      <c r="CW685" s="120"/>
      <c r="CX685" s="122"/>
    </row>
    <row r="686" ht="15.75" customHeight="1">
      <c r="B686" s="111"/>
      <c r="E686" s="112"/>
      <c r="AA686" s="113"/>
      <c r="AV686" s="114"/>
      <c r="AW686" s="114"/>
      <c r="AX686" s="115"/>
      <c r="AY686" s="116"/>
      <c r="AZ686" s="115"/>
      <c r="BA686" s="116"/>
      <c r="BB686" s="116"/>
      <c r="BC686" s="116"/>
      <c r="BP686" s="117"/>
      <c r="BQ686" s="117"/>
      <c r="BU686" s="117"/>
      <c r="BW686" s="118"/>
      <c r="BY686" s="119"/>
      <c r="BZ686" s="119"/>
      <c r="CA686" s="120"/>
      <c r="CU686" s="120"/>
      <c r="CV686" s="121"/>
      <c r="CW686" s="120"/>
      <c r="CX686" s="122"/>
    </row>
    <row r="687" ht="15.75" customHeight="1">
      <c r="B687" s="111"/>
      <c r="E687" s="112"/>
      <c r="AA687" s="113"/>
      <c r="AV687" s="114"/>
      <c r="AW687" s="114"/>
      <c r="AX687" s="115"/>
      <c r="AY687" s="116"/>
      <c r="AZ687" s="115"/>
      <c r="BA687" s="116"/>
      <c r="BB687" s="116"/>
      <c r="BC687" s="116"/>
      <c r="BP687" s="117"/>
      <c r="BQ687" s="117"/>
      <c r="BU687" s="117"/>
      <c r="BW687" s="118"/>
      <c r="BY687" s="119"/>
      <c r="BZ687" s="119"/>
      <c r="CA687" s="120"/>
      <c r="CU687" s="120"/>
      <c r="CV687" s="121"/>
      <c r="CW687" s="120"/>
      <c r="CX687" s="122"/>
    </row>
    <row r="688" ht="15.75" customHeight="1">
      <c r="B688" s="111"/>
      <c r="E688" s="112"/>
      <c r="AA688" s="113"/>
      <c r="AV688" s="114"/>
      <c r="AW688" s="114"/>
      <c r="AX688" s="115"/>
      <c r="AY688" s="116"/>
      <c r="AZ688" s="115"/>
      <c r="BA688" s="116"/>
      <c r="BB688" s="116"/>
      <c r="BC688" s="116"/>
      <c r="BP688" s="117"/>
      <c r="BQ688" s="117"/>
      <c r="BU688" s="117"/>
      <c r="BW688" s="118"/>
      <c r="BY688" s="119"/>
      <c r="BZ688" s="119"/>
      <c r="CA688" s="120"/>
      <c r="CU688" s="120"/>
      <c r="CV688" s="121"/>
      <c r="CW688" s="120"/>
      <c r="CX688" s="122"/>
    </row>
    <row r="689" ht="15.75" customHeight="1">
      <c r="B689" s="111"/>
      <c r="E689" s="112"/>
      <c r="AA689" s="113"/>
      <c r="AV689" s="114"/>
      <c r="AW689" s="114"/>
      <c r="AX689" s="115"/>
      <c r="AY689" s="116"/>
      <c r="AZ689" s="115"/>
      <c r="BA689" s="116"/>
      <c r="BB689" s="116"/>
      <c r="BC689" s="116"/>
      <c r="BP689" s="117"/>
      <c r="BQ689" s="117"/>
      <c r="BU689" s="117"/>
      <c r="BW689" s="118"/>
      <c r="BY689" s="119"/>
      <c r="BZ689" s="119"/>
      <c r="CA689" s="120"/>
      <c r="CU689" s="120"/>
      <c r="CV689" s="121"/>
      <c r="CW689" s="120"/>
      <c r="CX689" s="122"/>
    </row>
    <row r="690" ht="15.75" customHeight="1">
      <c r="B690" s="111"/>
      <c r="E690" s="112"/>
      <c r="AA690" s="113"/>
      <c r="AV690" s="114"/>
      <c r="AW690" s="114"/>
      <c r="AX690" s="115"/>
      <c r="AY690" s="116"/>
      <c r="AZ690" s="115"/>
      <c r="BA690" s="116"/>
      <c r="BB690" s="116"/>
      <c r="BC690" s="116"/>
      <c r="BP690" s="117"/>
      <c r="BQ690" s="117"/>
      <c r="BU690" s="117"/>
      <c r="BW690" s="118"/>
      <c r="BY690" s="119"/>
      <c r="BZ690" s="119"/>
      <c r="CA690" s="120"/>
      <c r="CU690" s="120"/>
      <c r="CV690" s="121"/>
      <c r="CW690" s="120"/>
      <c r="CX690" s="122"/>
    </row>
    <row r="691" ht="15.75" customHeight="1">
      <c r="B691" s="111"/>
      <c r="E691" s="112"/>
      <c r="AA691" s="113"/>
      <c r="AV691" s="114"/>
      <c r="AW691" s="114"/>
      <c r="AX691" s="115"/>
      <c r="AY691" s="116"/>
      <c r="AZ691" s="115"/>
      <c r="BA691" s="116"/>
      <c r="BB691" s="116"/>
      <c r="BC691" s="116"/>
      <c r="BP691" s="117"/>
      <c r="BQ691" s="117"/>
      <c r="BU691" s="117"/>
      <c r="BW691" s="118"/>
      <c r="BY691" s="119"/>
      <c r="BZ691" s="119"/>
      <c r="CA691" s="120"/>
      <c r="CU691" s="120"/>
      <c r="CV691" s="121"/>
      <c r="CW691" s="120"/>
      <c r="CX691" s="122"/>
    </row>
    <row r="692" ht="15.75" customHeight="1">
      <c r="B692" s="111"/>
      <c r="E692" s="112"/>
      <c r="AA692" s="113"/>
      <c r="AV692" s="114"/>
      <c r="AW692" s="114"/>
      <c r="AX692" s="115"/>
      <c r="AY692" s="116"/>
      <c r="AZ692" s="115"/>
      <c r="BA692" s="116"/>
      <c r="BB692" s="116"/>
      <c r="BC692" s="116"/>
      <c r="BP692" s="117"/>
      <c r="BQ692" s="117"/>
      <c r="BU692" s="117"/>
      <c r="BW692" s="118"/>
      <c r="BY692" s="119"/>
      <c r="BZ692" s="119"/>
      <c r="CA692" s="120"/>
      <c r="CU692" s="120"/>
      <c r="CV692" s="121"/>
      <c r="CW692" s="120"/>
      <c r="CX692" s="122"/>
    </row>
    <row r="693" ht="15.75" customHeight="1">
      <c r="B693" s="111"/>
      <c r="E693" s="112"/>
      <c r="AA693" s="113"/>
      <c r="AV693" s="114"/>
      <c r="AW693" s="114"/>
      <c r="AX693" s="115"/>
      <c r="AY693" s="116"/>
      <c r="AZ693" s="115"/>
      <c r="BA693" s="116"/>
      <c r="BB693" s="116"/>
      <c r="BC693" s="116"/>
      <c r="BP693" s="117"/>
      <c r="BQ693" s="117"/>
      <c r="BU693" s="117"/>
      <c r="BW693" s="118"/>
      <c r="BY693" s="119"/>
      <c r="BZ693" s="119"/>
      <c r="CA693" s="120"/>
      <c r="CU693" s="120"/>
      <c r="CV693" s="121"/>
      <c r="CW693" s="120"/>
      <c r="CX693" s="122"/>
    </row>
    <row r="694" ht="15.75" customHeight="1">
      <c r="B694" s="111"/>
      <c r="E694" s="112"/>
      <c r="AA694" s="113"/>
      <c r="AV694" s="114"/>
      <c r="AW694" s="114"/>
      <c r="AX694" s="115"/>
      <c r="AY694" s="116"/>
      <c r="AZ694" s="115"/>
      <c r="BA694" s="116"/>
      <c r="BB694" s="116"/>
      <c r="BC694" s="116"/>
      <c r="BP694" s="117"/>
      <c r="BQ694" s="117"/>
      <c r="BU694" s="117"/>
      <c r="BW694" s="118"/>
      <c r="BY694" s="119"/>
      <c r="BZ694" s="119"/>
      <c r="CA694" s="120"/>
      <c r="CU694" s="120"/>
      <c r="CV694" s="121"/>
      <c r="CW694" s="120"/>
      <c r="CX694" s="122"/>
    </row>
    <row r="695" ht="15.75" customHeight="1">
      <c r="B695" s="111"/>
      <c r="E695" s="112"/>
      <c r="AA695" s="113"/>
      <c r="AV695" s="114"/>
      <c r="AW695" s="114"/>
      <c r="AX695" s="115"/>
      <c r="AY695" s="116"/>
      <c r="AZ695" s="115"/>
      <c r="BA695" s="116"/>
      <c r="BB695" s="116"/>
      <c r="BC695" s="116"/>
      <c r="BP695" s="117"/>
      <c r="BQ695" s="117"/>
      <c r="BU695" s="117"/>
      <c r="BW695" s="118"/>
      <c r="BY695" s="119"/>
      <c r="BZ695" s="119"/>
      <c r="CA695" s="120"/>
      <c r="CU695" s="120"/>
      <c r="CV695" s="121"/>
      <c r="CW695" s="120"/>
      <c r="CX695" s="122"/>
    </row>
    <row r="696" ht="15.75" customHeight="1">
      <c r="B696" s="111"/>
      <c r="E696" s="112"/>
      <c r="AA696" s="113"/>
      <c r="AV696" s="114"/>
      <c r="AW696" s="114"/>
      <c r="AX696" s="115"/>
      <c r="AY696" s="116"/>
      <c r="AZ696" s="115"/>
      <c r="BA696" s="116"/>
      <c r="BB696" s="116"/>
      <c r="BC696" s="116"/>
      <c r="BP696" s="117"/>
      <c r="BQ696" s="117"/>
      <c r="BU696" s="117"/>
      <c r="BW696" s="118"/>
      <c r="BY696" s="119"/>
      <c r="BZ696" s="119"/>
      <c r="CA696" s="120"/>
      <c r="CU696" s="120"/>
      <c r="CV696" s="121"/>
      <c r="CW696" s="120"/>
      <c r="CX696" s="122"/>
    </row>
    <row r="697" ht="15.75" customHeight="1">
      <c r="B697" s="111"/>
      <c r="E697" s="112"/>
      <c r="AA697" s="113"/>
      <c r="AV697" s="114"/>
      <c r="AW697" s="114"/>
      <c r="AX697" s="115"/>
      <c r="AY697" s="116"/>
      <c r="AZ697" s="115"/>
      <c r="BA697" s="116"/>
      <c r="BB697" s="116"/>
      <c r="BC697" s="116"/>
      <c r="BP697" s="117"/>
      <c r="BQ697" s="117"/>
      <c r="BU697" s="117"/>
      <c r="BW697" s="118"/>
      <c r="BY697" s="119"/>
      <c r="BZ697" s="119"/>
      <c r="CA697" s="120"/>
      <c r="CU697" s="120"/>
      <c r="CV697" s="121"/>
      <c r="CW697" s="120"/>
      <c r="CX697" s="122"/>
    </row>
    <row r="698" ht="15.75" customHeight="1">
      <c r="B698" s="111"/>
      <c r="E698" s="112"/>
      <c r="AA698" s="113"/>
      <c r="AV698" s="114"/>
      <c r="AW698" s="114"/>
      <c r="AX698" s="115"/>
      <c r="AY698" s="116"/>
      <c r="AZ698" s="115"/>
      <c r="BA698" s="116"/>
      <c r="BB698" s="116"/>
      <c r="BC698" s="116"/>
      <c r="BP698" s="117"/>
      <c r="BQ698" s="117"/>
      <c r="BU698" s="117"/>
      <c r="BW698" s="118"/>
      <c r="BY698" s="119"/>
      <c r="BZ698" s="119"/>
      <c r="CA698" s="120"/>
      <c r="CU698" s="120"/>
      <c r="CV698" s="121"/>
      <c r="CW698" s="120"/>
      <c r="CX698" s="122"/>
    </row>
    <row r="699" ht="15.75" customHeight="1">
      <c r="B699" s="111"/>
      <c r="E699" s="112"/>
      <c r="AA699" s="113"/>
      <c r="AV699" s="114"/>
      <c r="AW699" s="114"/>
      <c r="AX699" s="115"/>
      <c r="AY699" s="116"/>
      <c r="AZ699" s="115"/>
      <c r="BA699" s="116"/>
      <c r="BB699" s="116"/>
      <c r="BC699" s="116"/>
      <c r="BP699" s="117"/>
      <c r="BQ699" s="117"/>
      <c r="BU699" s="117"/>
      <c r="BW699" s="118"/>
      <c r="BY699" s="119"/>
      <c r="BZ699" s="119"/>
      <c r="CA699" s="120"/>
      <c r="CU699" s="120"/>
      <c r="CV699" s="121"/>
      <c r="CW699" s="120"/>
      <c r="CX699" s="122"/>
    </row>
    <row r="700" ht="15.75" customHeight="1">
      <c r="B700" s="111"/>
      <c r="E700" s="112"/>
      <c r="AA700" s="113"/>
      <c r="AV700" s="114"/>
      <c r="AW700" s="114"/>
      <c r="AX700" s="115"/>
      <c r="AY700" s="116"/>
      <c r="AZ700" s="115"/>
      <c r="BA700" s="116"/>
      <c r="BB700" s="116"/>
      <c r="BC700" s="116"/>
      <c r="BP700" s="117"/>
      <c r="BQ700" s="117"/>
      <c r="BU700" s="117"/>
      <c r="BW700" s="118"/>
      <c r="BY700" s="119"/>
      <c r="BZ700" s="119"/>
      <c r="CA700" s="120"/>
      <c r="CU700" s="120"/>
      <c r="CV700" s="121"/>
      <c r="CW700" s="120"/>
      <c r="CX700" s="122"/>
    </row>
    <row r="701" ht="15.75" customHeight="1">
      <c r="B701" s="111"/>
      <c r="E701" s="112"/>
      <c r="AA701" s="113"/>
      <c r="AV701" s="114"/>
      <c r="AW701" s="114"/>
      <c r="AX701" s="115"/>
      <c r="AY701" s="116"/>
      <c r="AZ701" s="115"/>
      <c r="BA701" s="116"/>
      <c r="BB701" s="116"/>
      <c r="BC701" s="116"/>
      <c r="BP701" s="117"/>
      <c r="BQ701" s="117"/>
      <c r="BU701" s="117"/>
      <c r="BW701" s="118"/>
      <c r="BY701" s="119"/>
      <c r="BZ701" s="119"/>
      <c r="CA701" s="120"/>
      <c r="CU701" s="120"/>
      <c r="CV701" s="121"/>
      <c r="CW701" s="120"/>
      <c r="CX701" s="122"/>
    </row>
    <row r="702" ht="15.75" customHeight="1">
      <c r="B702" s="111"/>
      <c r="E702" s="112"/>
      <c r="AA702" s="113"/>
      <c r="AV702" s="114"/>
      <c r="AW702" s="114"/>
      <c r="AX702" s="115"/>
      <c r="AY702" s="116"/>
      <c r="AZ702" s="115"/>
      <c r="BA702" s="116"/>
      <c r="BB702" s="116"/>
      <c r="BC702" s="116"/>
      <c r="BP702" s="117"/>
      <c r="BQ702" s="117"/>
      <c r="BU702" s="117"/>
      <c r="BW702" s="118"/>
      <c r="BY702" s="119"/>
      <c r="BZ702" s="119"/>
      <c r="CA702" s="120"/>
      <c r="CU702" s="120"/>
      <c r="CV702" s="121"/>
      <c r="CW702" s="120"/>
      <c r="CX702" s="122"/>
    </row>
    <row r="703" ht="15.75" customHeight="1">
      <c r="B703" s="111"/>
      <c r="E703" s="112"/>
      <c r="AA703" s="113"/>
      <c r="AV703" s="114"/>
      <c r="AW703" s="114"/>
      <c r="AX703" s="115"/>
      <c r="AY703" s="116"/>
      <c r="AZ703" s="115"/>
      <c r="BA703" s="116"/>
      <c r="BB703" s="116"/>
      <c r="BC703" s="116"/>
      <c r="BP703" s="117"/>
      <c r="BQ703" s="117"/>
      <c r="BU703" s="117"/>
      <c r="BW703" s="118"/>
      <c r="BY703" s="119"/>
      <c r="BZ703" s="119"/>
      <c r="CA703" s="120"/>
      <c r="CU703" s="120"/>
      <c r="CV703" s="121"/>
      <c r="CW703" s="120"/>
      <c r="CX703" s="122"/>
    </row>
    <row r="704" ht="15.75" customHeight="1">
      <c r="B704" s="111"/>
      <c r="E704" s="112"/>
      <c r="AA704" s="113"/>
      <c r="AV704" s="114"/>
      <c r="AW704" s="114"/>
      <c r="AX704" s="115"/>
      <c r="AY704" s="116"/>
      <c r="AZ704" s="115"/>
      <c r="BA704" s="116"/>
      <c r="BB704" s="116"/>
      <c r="BC704" s="116"/>
      <c r="BP704" s="117"/>
      <c r="BQ704" s="117"/>
      <c r="BU704" s="117"/>
      <c r="BW704" s="118"/>
      <c r="BY704" s="119"/>
      <c r="BZ704" s="119"/>
      <c r="CA704" s="120"/>
      <c r="CU704" s="120"/>
      <c r="CV704" s="121"/>
      <c r="CW704" s="120"/>
      <c r="CX704" s="122"/>
    </row>
    <row r="705" ht="15.75" customHeight="1">
      <c r="B705" s="111"/>
      <c r="E705" s="112"/>
      <c r="AA705" s="113"/>
      <c r="AV705" s="114"/>
      <c r="AW705" s="114"/>
      <c r="AX705" s="115"/>
      <c r="AY705" s="116"/>
      <c r="AZ705" s="115"/>
      <c r="BA705" s="116"/>
      <c r="BB705" s="116"/>
      <c r="BC705" s="116"/>
      <c r="BP705" s="117"/>
      <c r="BQ705" s="117"/>
      <c r="BU705" s="117"/>
      <c r="BW705" s="118"/>
      <c r="BY705" s="119"/>
      <c r="BZ705" s="119"/>
      <c r="CA705" s="120"/>
      <c r="CU705" s="120"/>
      <c r="CV705" s="121"/>
      <c r="CW705" s="120"/>
      <c r="CX705" s="122"/>
    </row>
    <row r="706" ht="15.75" customHeight="1">
      <c r="B706" s="111"/>
      <c r="E706" s="112"/>
      <c r="AA706" s="113"/>
      <c r="AV706" s="114"/>
      <c r="AW706" s="114"/>
      <c r="AX706" s="115"/>
      <c r="AY706" s="116"/>
      <c r="AZ706" s="115"/>
      <c r="BA706" s="116"/>
      <c r="BB706" s="116"/>
      <c r="BC706" s="116"/>
      <c r="BP706" s="117"/>
      <c r="BQ706" s="117"/>
      <c r="BU706" s="117"/>
      <c r="BW706" s="118"/>
      <c r="BY706" s="119"/>
      <c r="BZ706" s="119"/>
      <c r="CA706" s="120"/>
      <c r="CU706" s="120"/>
      <c r="CV706" s="121"/>
      <c r="CW706" s="120"/>
      <c r="CX706" s="122"/>
    </row>
    <row r="707" ht="15.75" customHeight="1">
      <c r="B707" s="111"/>
      <c r="E707" s="112"/>
      <c r="AA707" s="113"/>
      <c r="AV707" s="114"/>
      <c r="AW707" s="114"/>
      <c r="AX707" s="115"/>
      <c r="AY707" s="116"/>
      <c r="AZ707" s="115"/>
      <c r="BA707" s="116"/>
      <c r="BB707" s="116"/>
      <c r="BC707" s="116"/>
      <c r="BP707" s="117"/>
      <c r="BQ707" s="117"/>
      <c r="BU707" s="117"/>
      <c r="BW707" s="118"/>
      <c r="BY707" s="119"/>
      <c r="BZ707" s="119"/>
      <c r="CA707" s="120"/>
      <c r="CU707" s="120"/>
      <c r="CV707" s="121"/>
      <c r="CW707" s="120"/>
      <c r="CX707" s="122"/>
    </row>
    <row r="708" ht="15.75" customHeight="1">
      <c r="B708" s="111"/>
      <c r="E708" s="112"/>
      <c r="AA708" s="113"/>
      <c r="AV708" s="114"/>
      <c r="AW708" s="114"/>
      <c r="AX708" s="115"/>
      <c r="AY708" s="116"/>
      <c r="AZ708" s="115"/>
      <c r="BA708" s="116"/>
      <c r="BB708" s="116"/>
      <c r="BC708" s="116"/>
      <c r="BP708" s="117"/>
      <c r="BQ708" s="117"/>
      <c r="BU708" s="117"/>
      <c r="BW708" s="118"/>
      <c r="BY708" s="119"/>
      <c r="BZ708" s="119"/>
      <c r="CA708" s="120"/>
      <c r="CU708" s="120"/>
      <c r="CV708" s="121"/>
      <c r="CW708" s="120"/>
      <c r="CX708" s="122"/>
    </row>
    <row r="709" ht="15.75" customHeight="1">
      <c r="B709" s="111"/>
      <c r="E709" s="112"/>
      <c r="AA709" s="113"/>
      <c r="AV709" s="114"/>
      <c r="AW709" s="114"/>
      <c r="AX709" s="115"/>
      <c r="AY709" s="116"/>
      <c r="AZ709" s="115"/>
      <c r="BA709" s="116"/>
      <c r="BB709" s="116"/>
      <c r="BC709" s="116"/>
      <c r="BP709" s="117"/>
      <c r="BQ709" s="117"/>
      <c r="BU709" s="117"/>
      <c r="BW709" s="118"/>
      <c r="BY709" s="119"/>
      <c r="BZ709" s="119"/>
      <c r="CA709" s="120"/>
      <c r="CU709" s="120"/>
      <c r="CV709" s="121"/>
      <c r="CW709" s="120"/>
      <c r="CX709" s="122"/>
    </row>
    <row r="710" ht="15.75" customHeight="1">
      <c r="B710" s="111"/>
      <c r="E710" s="112"/>
      <c r="AA710" s="113"/>
      <c r="AV710" s="114"/>
      <c r="AW710" s="114"/>
      <c r="AX710" s="115"/>
      <c r="AY710" s="116"/>
      <c r="AZ710" s="115"/>
      <c r="BA710" s="116"/>
      <c r="BB710" s="116"/>
      <c r="BC710" s="116"/>
      <c r="BP710" s="117"/>
      <c r="BQ710" s="117"/>
      <c r="BU710" s="117"/>
      <c r="BW710" s="118"/>
      <c r="BY710" s="119"/>
      <c r="BZ710" s="119"/>
      <c r="CA710" s="120"/>
      <c r="CU710" s="120"/>
      <c r="CV710" s="121"/>
      <c r="CW710" s="120"/>
      <c r="CX710" s="122"/>
    </row>
    <row r="711" ht="15.75" customHeight="1">
      <c r="B711" s="111"/>
      <c r="E711" s="112"/>
      <c r="AA711" s="113"/>
      <c r="AV711" s="114"/>
      <c r="AW711" s="114"/>
      <c r="AX711" s="115"/>
      <c r="AY711" s="116"/>
      <c r="AZ711" s="115"/>
      <c r="BA711" s="116"/>
      <c r="BB711" s="116"/>
      <c r="BC711" s="116"/>
      <c r="BP711" s="117"/>
      <c r="BQ711" s="117"/>
      <c r="BU711" s="117"/>
      <c r="BW711" s="118"/>
      <c r="BY711" s="119"/>
      <c r="BZ711" s="119"/>
      <c r="CA711" s="120"/>
      <c r="CU711" s="120"/>
      <c r="CV711" s="121"/>
      <c r="CW711" s="120"/>
      <c r="CX711" s="122"/>
    </row>
    <row r="712" ht="15.75" customHeight="1">
      <c r="B712" s="111"/>
      <c r="E712" s="112"/>
      <c r="AA712" s="113"/>
      <c r="AV712" s="114"/>
      <c r="AW712" s="114"/>
      <c r="AX712" s="115"/>
      <c r="AY712" s="116"/>
      <c r="AZ712" s="115"/>
      <c r="BA712" s="116"/>
      <c r="BB712" s="116"/>
      <c r="BC712" s="116"/>
      <c r="BP712" s="117"/>
      <c r="BQ712" s="117"/>
      <c r="BU712" s="117"/>
      <c r="BW712" s="118"/>
      <c r="BY712" s="119"/>
      <c r="BZ712" s="119"/>
      <c r="CA712" s="120"/>
      <c r="CU712" s="120"/>
      <c r="CV712" s="121"/>
      <c r="CW712" s="120"/>
      <c r="CX712" s="122"/>
    </row>
    <row r="713" ht="15.75" customHeight="1">
      <c r="B713" s="111"/>
      <c r="E713" s="112"/>
      <c r="AA713" s="113"/>
      <c r="AV713" s="114"/>
      <c r="AW713" s="114"/>
      <c r="AX713" s="115"/>
      <c r="AY713" s="116"/>
      <c r="AZ713" s="115"/>
      <c r="BA713" s="116"/>
      <c r="BB713" s="116"/>
      <c r="BC713" s="116"/>
      <c r="BP713" s="117"/>
      <c r="BQ713" s="117"/>
      <c r="BU713" s="117"/>
      <c r="BW713" s="118"/>
      <c r="BY713" s="119"/>
      <c r="BZ713" s="119"/>
      <c r="CA713" s="120"/>
      <c r="CU713" s="120"/>
      <c r="CV713" s="121"/>
      <c r="CW713" s="120"/>
      <c r="CX713" s="122"/>
    </row>
    <row r="714" ht="15.75" customHeight="1">
      <c r="B714" s="111"/>
      <c r="E714" s="112"/>
      <c r="AA714" s="113"/>
      <c r="AV714" s="114"/>
      <c r="AW714" s="114"/>
      <c r="AX714" s="115"/>
      <c r="AY714" s="116"/>
      <c r="AZ714" s="115"/>
      <c r="BA714" s="116"/>
      <c r="BB714" s="116"/>
      <c r="BC714" s="116"/>
      <c r="BP714" s="117"/>
      <c r="BQ714" s="117"/>
      <c r="BU714" s="117"/>
      <c r="BW714" s="118"/>
      <c r="BY714" s="119"/>
      <c r="BZ714" s="119"/>
      <c r="CA714" s="120"/>
      <c r="CU714" s="120"/>
      <c r="CV714" s="121"/>
      <c r="CW714" s="120"/>
      <c r="CX714" s="122"/>
    </row>
    <row r="715" ht="15.75" customHeight="1">
      <c r="B715" s="111"/>
      <c r="E715" s="112"/>
      <c r="AA715" s="113"/>
      <c r="AV715" s="114"/>
      <c r="AW715" s="114"/>
      <c r="AX715" s="115"/>
      <c r="AY715" s="116"/>
      <c r="AZ715" s="115"/>
      <c r="BA715" s="116"/>
      <c r="BB715" s="116"/>
      <c r="BC715" s="116"/>
      <c r="BP715" s="117"/>
      <c r="BQ715" s="117"/>
      <c r="BU715" s="117"/>
      <c r="BW715" s="118"/>
      <c r="BY715" s="119"/>
      <c r="BZ715" s="119"/>
      <c r="CA715" s="120"/>
      <c r="CU715" s="120"/>
      <c r="CV715" s="121"/>
      <c r="CW715" s="120"/>
      <c r="CX715" s="122"/>
    </row>
    <row r="716" ht="15.75" customHeight="1">
      <c r="B716" s="111"/>
      <c r="E716" s="112"/>
      <c r="AA716" s="113"/>
      <c r="AV716" s="114"/>
      <c r="AW716" s="114"/>
      <c r="AX716" s="115"/>
      <c r="AY716" s="116"/>
      <c r="AZ716" s="115"/>
      <c r="BA716" s="116"/>
      <c r="BB716" s="116"/>
      <c r="BC716" s="116"/>
      <c r="BP716" s="117"/>
      <c r="BQ716" s="117"/>
      <c r="BU716" s="117"/>
      <c r="BW716" s="118"/>
      <c r="BY716" s="119"/>
      <c r="BZ716" s="119"/>
      <c r="CA716" s="120"/>
      <c r="CU716" s="120"/>
      <c r="CV716" s="121"/>
      <c r="CW716" s="120"/>
      <c r="CX716" s="122"/>
    </row>
    <row r="717" ht="15.75" customHeight="1">
      <c r="B717" s="111"/>
      <c r="E717" s="112"/>
      <c r="AA717" s="113"/>
      <c r="AV717" s="114"/>
      <c r="AW717" s="114"/>
      <c r="AX717" s="115"/>
      <c r="AY717" s="116"/>
      <c r="AZ717" s="115"/>
      <c r="BA717" s="116"/>
      <c r="BB717" s="116"/>
      <c r="BC717" s="116"/>
      <c r="BP717" s="117"/>
      <c r="BQ717" s="117"/>
      <c r="BU717" s="117"/>
      <c r="BW717" s="118"/>
      <c r="BY717" s="119"/>
      <c r="BZ717" s="119"/>
      <c r="CA717" s="120"/>
      <c r="CU717" s="120"/>
      <c r="CV717" s="121"/>
      <c r="CW717" s="120"/>
      <c r="CX717" s="122"/>
    </row>
    <row r="718" ht="15.75" customHeight="1">
      <c r="B718" s="111"/>
      <c r="E718" s="112"/>
      <c r="AA718" s="113"/>
      <c r="AV718" s="114"/>
      <c r="AW718" s="114"/>
      <c r="AX718" s="115"/>
      <c r="AY718" s="116"/>
      <c r="AZ718" s="115"/>
      <c r="BA718" s="116"/>
      <c r="BB718" s="116"/>
      <c r="BC718" s="116"/>
      <c r="BP718" s="117"/>
      <c r="BQ718" s="117"/>
      <c r="BU718" s="117"/>
      <c r="BW718" s="118"/>
      <c r="BY718" s="119"/>
      <c r="BZ718" s="119"/>
      <c r="CA718" s="120"/>
      <c r="CU718" s="120"/>
      <c r="CV718" s="121"/>
      <c r="CW718" s="120"/>
      <c r="CX718" s="122"/>
    </row>
    <row r="719" ht="15.75" customHeight="1">
      <c r="B719" s="111"/>
      <c r="E719" s="112"/>
      <c r="AA719" s="113"/>
      <c r="AV719" s="114"/>
      <c r="AW719" s="114"/>
      <c r="AX719" s="115"/>
      <c r="AY719" s="116"/>
      <c r="AZ719" s="115"/>
      <c r="BA719" s="116"/>
      <c r="BB719" s="116"/>
      <c r="BC719" s="116"/>
      <c r="BP719" s="117"/>
      <c r="BQ719" s="117"/>
      <c r="BU719" s="117"/>
      <c r="BW719" s="118"/>
      <c r="BY719" s="119"/>
      <c r="BZ719" s="119"/>
      <c r="CA719" s="120"/>
      <c r="CU719" s="120"/>
      <c r="CV719" s="121"/>
      <c r="CW719" s="120"/>
      <c r="CX719" s="122"/>
    </row>
    <row r="720" ht="15.75" customHeight="1">
      <c r="B720" s="111"/>
      <c r="E720" s="112"/>
      <c r="AA720" s="113"/>
      <c r="AV720" s="114"/>
      <c r="AW720" s="114"/>
      <c r="AX720" s="115"/>
      <c r="AY720" s="116"/>
      <c r="AZ720" s="115"/>
      <c r="BA720" s="116"/>
      <c r="BB720" s="116"/>
      <c r="BC720" s="116"/>
      <c r="BP720" s="117"/>
      <c r="BQ720" s="117"/>
      <c r="BU720" s="117"/>
      <c r="BW720" s="118"/>
      <c r="BY720" s="119"/>
      <c r="BZ720" s="119"/>
      <c r="CA720" s="120"/>
      <c r="CU720" s="120"/>
      <c r="CV720" s="121"/>
      <c r="CW720" s="120"/>
      <c r="CX720" s="122"/>
    </row>
    <row r="721" ht="15.75" customHeight="1">
      <c r="B721" s="111"/>
      <c r="E721" s="112"/>
      <c r="AA721" s="113"/>
      <c r="AV721" s="114"/>
      <c r="AW721" s="114"/>
      <c r="AX721" s="115"/>
      <c r="AY721" s="116"/>
      <c r="AZ721" s="115"/>
      <c r="BA721" s="116"/>
      <c r="BB721" s="116"/>
      <c r="BC721" s="116"/>
      <c r="BP721" s="117"/>
      <c r="BQ721" s="117"/>
      <c r="BU721" s="117"/>
      <c r="BW721" s="118"/>
      <c r="BY721" s="119"/>
      <c r="BZ721" s="119"/>
      <c r="CA721" s="120"/>
      <c r="CU721" s="120"/>
      <c r="CV721" s="121"/>
      <c r="CW721" s="120"/>
      <c r="CX721" s="122"/>
    </row>
    <row r="722" ht="15.75" customHeight="1">
      <c r="B722" s="111"/>
      <c r="E722" s="112"/>
      <c r="AA722" s="113"/>
      <c r="AV722" s="114"/>
      <c r="AW722" s="114"/>
      <c r="AX722" s="115"/>
      <c r="AY722" s="116"/>
      <c r="AZ722" s="115"/>
      <c r="BA722" s="116"/>
      <c r="BB722" s="116"/>
      <c r="BC722" s="116"/>
      <c r="BP722" s="117"/>
      <c r="BQ722" s="117"/>
      <c r="BU722" s="117"/>
      <c r="BW722" s="118"/>
      <c r="BY722" s="119"/>
      <c r="BZ722" s="119"/>
      <c r="CA722" s="120"/>
      <c r="CU722" s="120"/>
      <c r="CV722" s="121"/>
      <c r="CW722" s="120"/>
      <c r="CX722" s="122"/>
    </row>
    <row r="723" ht="15.75" customHeight="1">
      <c r="B723" s="111"/>
      <c r="E723" s="112"/>
      <c r="AA723" s="113"/>
      <c r="AV723" s="114"/>
      <c r="AW723" s="114"/>
      <c r="AX723" s="115"/>
      <c r="AY723" s="116"/>
      <c r="AZ723" s="115"/>
      <c r="BA723" s="116"/>
      <c r="BB723" s="116"/>
      <c r="BC723" s="116"/>
      <c r="BP723" s="117"/>
      <c r="BQ723" s="117"/>
      <c r="BU723" s="117"/>
      <c r="BW723" s="118"/>
      <c r="BY723" s="119"/>
      <c r="BZ723" s="119"/>
      <c r="CA723" s="120"/>
      <c r="CU723" s="120"/>
      <c r="CV723" s="121"/>
      <c r="CW723" s="120"/>
      <c r="CX723" s="122"/>
    </row>
    <row r="724" ht="15.75" customHeight="1">
      <c r="B724" s="111"/>
      <c r="E724" s="112"/>
      <c r="AA724" s="113"/>
      <c r="AV724" s="114"/>
      <c r="AW724" s="114"/>
      <c r="AX724" s="115"/>
      <c r="AY724" s="116"/>
      <c r="AZ724" s="115"/>
      <c r="BA724" s="116"/>
      <c r="BB724" s="116"/>
      <c r="BC724" s="116"/>
      <c r="BP724" s="117"/>
      <c r="BQ724" s="117"/>
      <c r="BU724" s="117"/>
      <c r="BW724" s="118"/>
      <c r="BY724" s="119"/>
      <c r="BZ724" s="119"/>
      <c r="CA724" s="120"/>
      <c r="CU724" s="120"/>
      <c r="CV724" s="121"/>
      <c r="CW724" s="120"/>
      <c r="CX724" s="122"/>
    </row>
    <row r="725" ht="15.75" customHeight="1">
      <c r="B725" s="111"/>
      <c r="E725" s="112"/>
      <c r="AA725" s="113"/>
      <c r="AV725" s="114"/>
      <c r="AW725" s="114"/>
      <c r="AX725" s="115"/>
      <c r="AY725" s="116"/>
      <c r="AZ725" s="115"/>
      <c r="BA725" s="116"/>
      <c r="BB725" s="116"/>
      <c r="BC725" s="116"/>
      <c r="BP725" s="117"/>
      <c r="BQ725" s="117"/>
      <c r="BU725" s="117"/>
      <c r="BW725" s="118"/>
      <c r="BY725" s="119"/>
      <c r="BZ725" s="119"/>
      <c r="CA725" s="120"/>
      <c r="CU725" s="120"/>
      <c r="CV725" s="121"/>
      <c r="CW725" s="120"/>
      <c r="CX725" s="122"/>
    </row>
    <row r="726" ht="15.75" customHeight="1">
      <c r="B726" s="111"/>
      <c r="E726" s="112"/>
      <c r="AA726" s="113"/>
      <c r="AV726" s="114"/>
      <c r="AW726" s="114"/>
      <c r="AX726" s="115"/>
      <c r="AY726" s="116"/>
      <c r="AZ726" s="115"/>
      <c r="BA726" s="116"/>
      <c r="BB726" s="116"/>
      <c r="BC726" s="116"/>
      <c r="BP726" s="117"/>
      <c r="BQ726" s="117"/>
      <c r="BU726" s="117"/>
      <c r="BW726" s="118"/>
      <c r="BY726" s="119"/>
      <c r="BZ726" s="119"/>
      <c r="CA726" s="120"/>
      <c r="CU726" s="120"/>
      <c r="CV726" s="121"/>
      <c r="CW726" s="120"/>
      <c r="CX726" s="122"/>
    </row>
    <row r="727" ht="15.75" customHeight="1">
      <c r="B727" s="111"/>
      <c r="E727" s="112"/>
      <c r="AA727" s="113"/>
      <c r="AV727" s="114"/>
      <c r="AW727" s="114"/>
      <c r="AX727" s="115"/>
      <c r="AY727" s="116"/>
      <c r="AZ727" s="115"/>
      <c r="BA727" s="116"/>
      <c r="BB727" s="116"/>
      <c r="BC727" s="116"/>
      <c r="BP727" s="117"/>
      <c r="BQ727" s="117"/>
      <c r="BU727" s="117"/>
      <c r="BW727" s="118"/>
      <c r="BY727" s="119"/>
      <c r="BZ727" s="119"/>
      <c r="CA727" s="120"/>
      <c r="CU727" s="120"/>
      <c r="CV727" s="121"/>
      <c r="CW727" s="120"/>
      <c r="CX727" s="122"/>
    </row>
    <row r="728" ht="15.75" customHeight="1">
      <c r="B728" s="111"/>
      <c r="E728" s="112"/>
      <c r="AA728" s="113"/>
      <c r="AV728" s="114"/>
      <c r="AW728" s="114"/>
      <c r="AX728" s="115"/>
      <c r="AY728" s="116"/>
      <c r="AZ728" s="115"/>
      <c r="BA728" s="116"/>
      <c r="BB728" s="116"/>
      <c r="BC728" s="116"/>
      <c r="BP728" s="117"/>
      <c r="BQ728" s="117"/>
      <c r="BU728" s="117"/>
      <c r="BW728" s="118"/>
      <c r="BY728" s="119"/>
      <c r="BZ728" s="119"/>
      <c r="CA728" s="120"/>
      <c r="CU728" s="120"/>
      <c r="CV728" s="121"/>
      <c r="CW728" s="120"/>
      <c r="CX728" s="122"/>
    </row>
    <row r="729" ht="15.75" customHeight="1">
      <c r="B729" s="111"/>
      <c r="E729" s="112"/>
      <c r="AA729" s="113"/>
      <c r="AV729" s="114"/>
      <c r="AW729" s="114"/>
      <c r="AX729" s="115"/>
      <c r="AY729" s="116"/>
      <c r="AZ729" s="115"/>
      <c r="BA729" s="116"/>
      <c r="BB729" s="116"/>
      <c r="BC729" s="116"/>
      <c r="BP729" s="117"/>
      <c r="BQ729" s="117"/>
      <c r="BU729" s="117"/>
      <c r="BW729" s="118"/>
      <c r="BY729" s="119"/>
      <c r="BZ729" s="119"/>
      <c r="CA729" s="120"/>
      <c r="CU729" s="120"/>
      <c r="CV729" s="121"/>
      <c r="CW729" s="120"/>
      <c r="CX729" s="122"/>
    </row>
    <row r="730" ht="15.75" customHeight="1">
      <c r="B730" s="111"/>
      <c r="E730" s="112"/>
      <c r="AA730" s="113"/>
      <c r="AV730" s="114"/>
      <c r="AW730" s="114"/>
      <c r="AX730" s="115"/>
      <c r="AY730" s="116"/>
      <c r="AZ730" s="115"/>
      <c r="BA730" s="116"/>
      <c r="BB730" s="116"/>
      <c r="BC730" s="116"/>
      <c r="BP730" s="117"/>
      <c r="BQ730" s="117"/>
      <c r="BU730" s="117"/>
      <c r="BW730" s="118"/>
      <c r="BY730" s="119"/>
      <c r="BZ730" s="119"/>
      <c r="CA730" s="120"/>
      <c r="CU730" s="120"/>
      <c r="CV730" s="121"/>
      <c r="CW730" s="120"/>
      <c r="CX730" s="122"/>
    </row>
    <row r="731" ht="15.75" customHeight="1">
      <c r="B731" s="111"/>
      <c r="E731" s="112"/>
      <c r="AA731" s="113"/>
      <c r="AV731" s="114"/>
      <c r="AW731" s="114"/>
      <c r="AX731" s="115"/>
      <c r="AY731" s="116"/>
      <c r="AZ731" s="115"/>
      <c r="BA731" s="116"/>
      <c r="BB731" s="116"/>
      <c r="BC731" s="116"/>
      <c r="BP731" s="117"/>
      <c r="BQ731" s="117"/>
      <c r="BU731" s="117"/>
      <c r="BW731" s="118"/>
      <c r="BY731" s="119"/>
      <c r="BZ731" s="119"/>
      <c r="CA731" s="120"/>
      <c r="CU731" s="120"/>
      <c r="CV731" s="121"/>
      <c r="CW731" s="120"/>
      <c r="CX731" s="122"/>
    </row>
    <row r="732" ht="15.75" customHeight="1">
      <c r="B732" s="111"/>
      <c r="E732" s="112"/>
      <c r="AA732" s="113"/>
      <c r="AV732" s="114"/>
      <c r="AW732" s="114"/>
      <c r="AX732" s="115"/>
      <c r="AY732" s="116"/>
      <c r="AZ732" s="115"/>
      <c r="BA732" s="116"/>
      <c r="BB732" s="116"/>
      <c r="BC732" s="116"/>
      <c r="BP732" s="117"/>
      <c r="BQ732" s="117"/>
      <c r="BU732" s="117"/>
      <c r="BW732" s="118"/>
      <c r="BY732" s="119"/>
      <c r="BZ732" s="119"/>
      <c r="CA732" s="120"/>
      <c r="CU732" s="120"/>
      <c r="CV732" s="121"/>
      <c r="CW732" s="120"/>
      <c r="CX732" s="122"/>
    </row>
    <row r="733" ht="15.75" customHeight="1">
      <c r="B733" s="111"/>
      <c r="E733" s="112"/>
      <c r="AA733" s="113"/>
      <c r="AV733" s="114"/>
      <c r="AW733" s="114"/>
      <c r="AX733" s="115"/>
      <c r="AY733" s="116"/>
      <c r="AZ733" s="115"/>
      <c r="BA733" s="116"/>
      <c r="BB733" s="116"/>
      <c r="BC733" s="116"/>
      <c r="BP733" s="117"/>
      <c r="BQ733" s="117"/>
      <c r="BU733" s="117"/>
      <c r="BW733" s="118"/>
      <c r="BY733" s="119"/>
      <c r="BZ733" s="119"/>
      <c r="CA733" s="120"/>
      <c r="CU733" s="120"/>
      <c r="CV733" s="121"/>
      <c r="CW733" s="120"/>
      <c r="CX733" s="122"/>
    </row>
    <row r="734" ht="15.75" customHeight="1">
      <c r="B734" s="111"/>
      <c r="E734" s="112"/>
      <c r="AA734" s="113"/>
      <c r="AV734" s="114"/>
      <c r="AW734" s="114"/>
      <c r="AX734" s="115"/>
      <c r="AY734" s="116"/>
      <c r="AZ734" s="115"/>
      <c r="BA734" s="116"/>
      <c r="BB734" s="116"/>
      <c r="BC734" s="116"/>
      <c r="BP734" s="117"/>
      <c r="BQ734" s="117"/>
      <c r="BU734" s="117"/>
      <c r="BW734" s="118"/>
      <c r="BY734" s="119"/>
      <c r="BZ734" s="119"/>
      <c r="CA734" s="120"/>
      <c r="CU734" s="120"/>
      <c r="CV734" s="121"/>
      <c r="CW734" s="120"/>
      <c r="CX734" s="122"/>
    </row>
    <row r="735" ht="15.75" customHeight="1">
      <c r="B735" s="111"/>
      <c r="E735" s="112"/>
      <c r="AA735" s="113"/>
      <c r="AV735" s="114"/>
      <c r="AW735" s="114"/>
      <c r="AX735" s="115"/>
      <c r="AY735" s="116"/>
      <c r="AZ735" s="115"/>
      <c r="BA735" s="116"/>
      <c r="BB735" s="116"/>
      <c r="BC735" s="116"/>
      <c r="BP735" s="117"/>
      <c r="BQ735" s="117"/>
      <c r="BU735" s="117"/>
      <c r="BW735" s="118"/>
      <c r="BY735" s="119"/>
      <c r="BZ735" s="119"/>
      <c r="CA735" s="120"/>
      <c r="CU735" s="120"/>
      <c r="CV735" s="121"/>
      <c r="CW735" s="120"/>
      <c r="CX735" s="122"/>
    </row>
    <row r="736" ht="15.75" customHeight="1">
      <c r="B736" s="111"/>
      <c r="E736" s="112"/>
      <c r="AA736" s="113"/>
      <c r="AV736" s="114"/>
      <c r="AW736" s="114"/>
      <c r="AX736" s="115"/>
      <c r="AY736" s="116"/>
      <c r="AZ736" s="115"/>
      <c r="BA736" s="116"/>
      <c r="BB736" s="116"/>
      <c r="BC736" s="116"/>
      <c r="BP736" s="117"/>
      <c r="BQ736" s="117"/>
      <c r="BU736" s="117"/>
      <c r="BW736" s="118"/>
      <c r="BY736" s="119"/>
      <c r="BZ736" s="119"/>
      <c r="CA736" s="120"/>
      <c r="CU736" s="120"/>
      <c r="CV736" s="121"/>
      <c r="CW736" s="120"/>
      <c r="CX736" s="122"/>
    </row>
    <row r="737" ht="15.75" customHeight="1">
      <c r="B737" s="111"/>
      <c r="E737" s="112"/>
      <c r="AA737" s="113"/>
      <c r="AV737" s="114"/>
      <c r="AW737" s="114"/>
      <c r="AX737" s="115"/>
      <c r="AY737" s="116"/>
      <c r="AZ737" s="115"/>
      <c r="BA737" s="116"/>
      <c r="BB737" s="116"/>
      <c r="BC737" s="116"/>
      <c r="BP737" s="117"/>
      <c r="BQ737" s="117"/>
      <c r="BU737" s="117"/>
      <c r="BW737" s="118"/>
      <c r="BY737" s="119"/>
      <c r="BZ737" s="119"/>
      <c r="CA737" s="120"/>
      <c r="CU737" s="120"/>
      <c r="CV737" s="121"/>
      <c r="CW737" s="120"/>
      <c r="CX737" s="122"/>
    </row>
    <row r="738" ht="15.75" customHeight="1">
      <c r="B738" s="111"/>
      <c r="E738" s="112"/>
      <c r="AA738" s="113"/>
      <c r="AV738" s="114"/>
      <c r="AW738" s="114"/>
      <c r="AX738" s="115"/>
      <c r="AY738" s="116"/>
      <c r="AZ738" s="115"/>
      <c r="BA738" s="116"/>
      <c r="BB738" s="116"/>
      <c r="BC738" s="116"/>
      <c r="BP738" s="117"/>
      <c r="BQ738" s="117"/>
      <c r="BU738" s="117"/>
      <c r="BW738" s="118"/>
      <c r="BY738" s="119"/>
      <c r="BZ738" s="119"/>
      <c r="CA738" s="120"/>
      <c r="CU738" s="120"/>
      <c r="CV738" s="121"/>
      <c r="CW738" s="120"/>
      <c r="CX738" s="122"/>
    </row>
    <row r="739" ht="15.75" customHeight="1">
      <c r="B739" s="111"/>
      <c r="E739" s="112"/>
      <c r="AA739" s="113"/>
      <c r="AV739" s="114"/>
      <c r="AW739" s="114"/>
      <c r="AX739" s="115"/>
      <c r="AY739" s="116"/>
      <c r="AZ739" s="115"/>
      <c r="BA739" s="116"/>
      <c r="BB739" s="116"/>
      <c r="BC739" s="116"/>
      <c r="BP739" s="117"/>
      <c r="BQ739" s="117"/>
      <c r="BU739" s="117"/>
      <c r="BW739" s="118"/>
      <c r="BY739" s="119"/>
      <c r="BZ739" s="119"/>
      <c r="CA739" s="120"/>
      <c r="CU739" s="120"/>
      <c r="CV739" s="121"/>
      <c r="CW739" s="120"/>
      <c r="CX739" s="122"/>
    </row>
    <row r="740" ht="15.75" customHeight="1">
      <c r="B740" s="111"/>
      <c r="E740" s="112"/>
      <c r="AA740" s="113"/>
      <c r="AV740" s="114"/>
      <c r="AW740" s="114"/>
      <c r="AX740" s="115"/>
      <c r="AY740" s="116"/>
      <c r="AZ740" s="115"/>
      <c r="BA740" s="116"/>
      <c r="BB740" s="116"/>
      <c r="BC740" s="116"/>
      <c r="BP740" s="117"/>
      <c r="BQ740" s="117"/>
      <c r="BU740" s="117"/>
      <c r="BW740" s="118"/>
      <c r="BY740" s="119"/>
      <c r="BZ740" s="119"/>
      <c r="CA740" s="120"/>
      <c r="CU740" s="120"/>
      <c r="CV740" s="121"/>
      <c r="CW740" s="120"/>
      <c r="CX740" s="122"/>
    </row>
    <row r="741" ht="15.75" customHeight="1">
      <c r="B741" s="111"/>
      <c r="E741" s="112"/>
      <c r="AA741" s="113"/>
      <c r="AV741" s="114"/>
      <c r="AW741" s="114"/>
      <c r="AX741" s="115"/>
      <c r="AY741" s="116"/>
      <c r="AZ741" s="115"/>
      <c r="BA741" s="116"/>
      <c r="BB741" s="116"/>
      <c r="BC741" s="116"/>
      <c r="BP741" s="117"/>
      <c r="BQ741" s="117"/>
      <c r="BU741" s="117"/>
      <c r="BW741" s="118"/>
      <c r="BY741" s="119"/>
      <c r="BZ741" s="119"/>
      <c r="CA741" s="120"/>
      <c r="CU741" s="120"/>
      <c r="CV741" s="121"/>
      <c r="CW741" s="120"/>
      <c r="CX741" s="122"/>
    </row>
    <row r="742" ht="15.75" customHeight="1">
      <c r="B742" s="111"/>
      <c r="E742" s="112"/>
      <c r="AA742" s="113"/>
      <c r="AV742" s="114"/>
      <c r="AW742" s="114"/>
      <c r="AX742" s="115"/>
      <c r="AY742" s="116"/>
      <c r="AZ742" s="115"/>
      <c r="BA742" s="116"/>
      <c r="BB742" s="116"/>
      <c r="BC742" s="116"/>
      <c r="BP742" s="117"/>
      <c r="BQ742" s="117"/>
      <c r="BU742" s="117"/>
      <c r="BW742" s="118"/>
      <c r="BY742" s="119"/>
      <c r="BZ742" s="119"/>
      <c r="CA742" s="120"/>
      <c r="CU742" s="120"/>
      <c r="CV742" s="121"/>
      <c r="CW742" s="120"/>
      <c r="CX742" s="122"/>
    </row>
    <row r="743" ht="15.75" customHeight="1">
      <c r="B743" s="111"/>
      <c r="E743" s="112"/>
      <c r="AA743" s="113"/>
      <c r="AV743" s="114"/>
      <c r="AW743" s="114"/>
      <c r="AX743" s="115"/>
      <c r="AY743" s="116"/>
      <c r="AZ743" s="115"/>
      <c r="BA743" s="116"/>
      <c r="BB743" s="116"/>
      <c r="BC743" s="116"/>
      <c r="BP743" s="117"/>
      <c r="BQ743" s="117"/>
      <c r="BU743" s="117"/>
      <c r="BW743" s="118"/>
      <c r="BY743" s="119"/>
      <c r="BZ743" s="119"/>
      <c r="CA743" s="120"/>
      <c r="CU743" s="120"/>
      <c r="CV743" s="121"/>
      <c r="CW743" s="120"/>
      <c r="CX743" s="122"/>
    </row>
    <row r="744" ht="15.75" customHeight="1">
      <c r="B744" s="111"/>
      <c r="E744" s="112"/>
      <c r="AA744" s="113"/>
      <c r="AV744" s="114"/>
      <c r="AW744" s="114"/>
      <c r="AX744" s="115"/>
      <c r="AY744" s="116"/>
      <c r="AZ744" s="115"/>
      <c r="BA744" s="116"/>
      <c r="BB744" s="116"/>
      <c r="BC744" s="116"/>
      <c r="BP744" s="117"/>
      <c r="BQ744" s="117"/>
      <c r="BU744" s="117"/>
      <c r="BW744" s="118"/>
      <c r="BY744" s="119"/>
      <c r="BZ744" s="119"/>
      <c r="CA744" s="120"/>
      <c r="CU744" s="120"/>
      <c r="CV744" s="121"/>
      <c r="CW744" s="120"/>
      <c r="CX744" s="122"/>
    </row>
    <row r="745" ht="15.75" customHeight="1">
      <c r="B745" s="111"/>
      <c r="E745" s="112"/>
      <c r="AA745" s="113"/>
      <c r="AV745" s="114"/>
      <c r="AW745" s="114"/>
      <c r="AX745" s="115"/>
      <c r="AY745" s="116"/>
      <c r="AZ745" s="115"/>
      <c r="BA745" s="116"/>
      <c r="BB745" s="116"/>
      <c r="BC745" s="116"/>
      <c r="BP745" s="117"/>
      <c r="BQ745" s="117"/>
      <c r="BU745" s="117"/>
      <c r="BW745" s="118"/>
      <c r="BY745" s="119"/>
      <c r="BZ745" s="119"/>
      <c r="CA745" s="120"/>
      <c r="CU745" s="120"/>
      <c r="CV745" s="121"/>
      <c r="CW745" s="120"/>
      <c r="CX745" s="122"/>
    </row>
    <row r="746" ht="15.75" customHeight="1">
      <c r="B746" s="111"/>
      <c r="E746" s="112"/>
      <c r="AA746" s="113"/>
      <c r="AV746" s="114"/>
      <c r="AW746" s="114"/>
      <c r="AX746" s="115"/>
      <c r="AY746" s="116"/>
      <c r="AZ746" s="115"/>
      <c r="BA746" s="116"/>
      <c r="BB746" s="116"/>
      <c r="BC746" s="116"/>
      <c r="BP746" s="117"/>
      <c r="BQ746" s="117"/>
      <c r="BU746" s="117"/>
      <c r="BW746" s="118"/>
      <c r="BY746" s="119"/>
      <c r="BZ746" s="119"/>
      <c r="CA746" s="120"/>
      <c r="CU746" s="120"/>
      <c r="CV746" s="121"/>
      <c r="CW746" s="120"/>
      <c r="CX746" s="122"/>
    </row>
    <row r="747" ht="15.75" customHeight="1">
      <c r="B747" s="111"/>
      <c r="E747" s="112"/>
      <c r="AA747" s="113"/>
      <c r="AV747" s="114"/>
      <c r="AW747" s="114"/>
      <c r="AX747" s="115"/>
      <c r="AY747" s="116"/>
      <c r="AZ747" s="115"/>
      <c r="BA747" s="116"/>
      <c r="BB747" s="116"/>
      <c r="BC747" s="116"/>
      <c r="BP747" s="117"/>
      <c r="BQ747" s="117"/>
      <c r="BU747" s="117"/>
      <c r="BW747" s="118"/>
      <c r="BY747" s="119"/>
      <c r="BZ747" s="119"/>
      <c r="CA747" s="120"/>
      <c r="CU747" s="120"/>
      <c r="CV747" s="121"/>
      <c r="CW747" s="120"/>
      <c r="CX747" s="122"/>
    </row>
    <row r="748" ht="15.75" customHeight="1">
      <c r="B748" s="111"/>
      <c r="E748" s="112"/>
      <c r="AA748" s="113"/>
      <c r="AV748" s="114"/>
      <c r="AW748" s="114"/>
      <c r="AX748" s="115"/>
      <c r="AY748" s="116"/>
      <c r="AZ748" s="115"/>
      <c r="BA748" s="116"/>
      <c r="BB748" s="116"/>
      <c r="BC748" s="116"/>
      <c r="BP748" s="117"/>
      <c r="BQ748" s="117"/>
      <c r="BU748" s="117"/>
      <c r="BW748" s="118"/>
      <c r="BY748" s="119"/>
      <c r="BZ748" s="119"/>
      <c r="CA748" s="120"/>
      <c r="CU748" s="120"/>
      <c r="CV748" s="121"/>
      <c r="CW748" s="120"/>
      <c r="CX748" s="122"/>
    </row>
    <row r="749" ht="15.75" customHeight="1">
      <c r="B749" s="111"/>
      <c r="E749" s="112"/>
      <c r="AA749" s="113"/>
      <c r="AV749" s="114"/>
      <c r="AW749" s="114"/>
      <c r="AX749" s="115"/>
      <c r="AY749" s="116"/>
      <c r="AZ749" s="115"/>
      <c r="BA749" s="116"/>
      <c r="BB749" s="116"/>
      <c r="BC749" s="116"/>
      <c r="BP749" s="117"/>
      <c r="BQ749" s="117"/>
      <c r="BU749" s="117"/>
      <c r="BW749" s="118"/>
      <c r="BY749" s="119"/>
      <c r="BZ749" s="119"/>
      <c r="CA749" s="120"/>
      <c r="CU749" s="120"/>
      <c r="CV749" s="121"/>
      <c r="CW749" s="120"/>
      <c r="CX749" s="122"/>
    </row>
    <row r="750" ht="15.75" customHeight="1">
      <c r="B750" s="111"/>
      <c r="E750" s="112"/>
      <c r="AA750" s="113"/>
      <c r="AV750" s="114"/>
      <c r="AW750" s="114"/>
      <c r="AX750" s="115"/>
      <c r="AY750" s="116"/>
      <c r="AZ750" s="115"/>
      <c r="BA750" s="116"/>
      <c r="BB750" s="116"/>
      <c r="BC750" s="116"/>
      <c r="BP750" s="117"/>
      <c r="BQ750" s="117"/>
      <c r="BU750" s="117"/>
      <c r="BW750" s="118"/>
      <c r="BY750" s="119"/>
      <c r="BZ750" s="119"/>
      <c r="CA750" s="120"/>
      <c r="CU750" s="120"/>
      <c r="CV750" s="121"/>
      <c r="CW750" s="120"/>
      <c r="CX750" s="122"/>
    </row>
    <row r="751" ht="15.75" customHeight="1">
      <c r="B751" s="111"/>
      <c r="E751" s="112"/>
      <c r="AA751" s="113"/>
      <c r="AV751" s="114"/>
      <c r="AW751" s="114"/>
      <c r="AX751" s="115"/>
      <c r="AY751" s="116"/>
      <c r="AZ751" s="115"/>
      <c r="BA751" s="116"/>
      <c r="BB751" s="116"/>
      <c r="BC751" s="116"/>
      <c r="BP751" s="117"/>
      <c r="BQ751" s="117"/>
      <c r="BU751" s="117"/>
      <c r="BW751" s="118"/>
      <c r="BY751" s="119"/>
      <c r="BZ751" s="119"/>
      <c r="CA751" s="120"/>
      <c r="CU751" s="120"/>
      <c r="CV751" s="121"/>
      <c r="CW751" s="120"/>
      <c r="CX751" s="122"/>
    </row>
    <row r="752" ht="15.75" customHeight="1">
      <c r="B752" s="111"/>
      <c r="E752" s="112"/>
      <c r="AA752" s="113"/>
      <c r="AV752" s="114"/>
      <c r="AW752" s="114"/>
      <c r="AX752" s="115"/>
      <c r="AY752" s="116"/>
      <c r="AZ752" s="115"/>
      <c r="BA752" s="116"/>
      <c r="BB752" s="116"/>
      <c r="BC752" s="116"/>
      <c r="BP752" s="117"/>
      <c r="BQ752" s="117"/>
      <c r="BU752" s="117"/>
      <c r="BW752" s="118"/>
      <c r="BY752" s="119"/>
      <c r="BZ752" s="119"/>
      <c r="CA752" s="120"/>
      <c r="CU752" s="120"/>
      <c r="CV752" s="121"/>
      <c r="CW752" s="120"/>
      <c r="CX752" s="122"/>
    </row>
    <row r="753" ht="15.75" customHeight="1">
      <c r="B753" s="111"/>
      <c r="E753" s="112"/>
      <c r="AA753" s="113"/>
      <c r="AV753" s="114"/>
      <c r="AW753" s="114"/>
      <c r="AX753" s="115"/>
      <c r="AY753" s="116"/>
      <c r="AZ753" s="115"/>
      <c r="BA753" s="116"/>
      <c r="BB753" s="116"/>
      <c r="BC753" s="116"/>
      <c r="BP753" s="117"/>
      <c r="BQ753" s="117"/>
      <c r="BU753" s="117"/>
      <c r="BW753" s="118"/>
      <c r="BY753" s="119"/>
      <c r="BZ753" s="119"/>
      <c r="CA753" s="120"/>
      <c r="CU753" s="120"/>
      <c r="CV753" s="121"/>
      <c r="CW753" s="120"/>
      <c r="CX753" s="122"/>
    </row>
    <row r="754" ht="15.75" customHeight="1">
      <c r="B754" s="111"/>
      <c r="E754" s="112"/>
      <c r="AA754" s="113"/>
      <c r="AV754" s="114"/>
      <c r="AW754" s="114"/>
      <c r="AX754" s="115"/>
      <c r="AY754" s="116"/>
      <c r="AZ754" s="115"/>
      <c r="BA754" s="116"/>
      <c r="BB754" s="116"/>
      <c r="BC754" s="116"/>
      <c r="BP754" s="117"/>
      <c r="BQ754" s="117"/>
      <c r="BU754" s="117"/>
      <c r="BW754" s="118"/>
      <c r="BY754" s="119"/>
      <c r="BZ754" s="119"/>
      <c r="CA754" s="120"/>
      <c r="CU754" s="120"/>
      <c r="CV754" s="121"/>
      <c r="CW754" s="120"/>
      <c r="CX754" s="122"/>
    </row>
    <row r="755" ht="15.75" customHeight="1">
      <c r="B755" s="111"/>
      <c r="E755" s="112"/>
      <c r="AA755" s="113"/>
      <c r="AV755" s="114"/>
      <c r="AW755" s="114"/>
      <c r="AX755" s="115"/>
      <c r="AY755" s="116"/>
      <c r="AZ755" s="115"/>
      <c r="BA755" s="116"/>
      <c r="BB755" s="116"/>
      <c r="BC755" s="116"/>
      <c r="BP755" s="117"/>
      <c r="BQ755" s="117"/>
      <c r="BU755" s="117"/>
      <c r="BW755" s="118"/>
      <c r="BY755" s="119"/>
      <c r="BZ755" s="119"/>
      <c r="CA755" s="120"/>
      <c r="CU755" s="120"/>
      <c r="CV755" s="121"/>
      <c r="CW755" s="120"/>
      <c r="CX755" s="122"/>
    </row>
    <row r="756" ht="15.75" customHeight="1">
      <c r="B756" s="111"/>
      <c r="E756" s="112"/>
      <c r="AA756" s="113"/>
      <c r="AV756" s="114"/>
      <c r="AW756" s="114"/>
      <c r="AX756" s="115"/>
      <c r="AY756" s="116"/>
      <c r="AZ756" s="115"/>
      <c r="BA756" s="116"/>
      <c r="BB756" s="116"/>
      <c r="BC756" s="116"/>
      <c r="BP756" s="117"/>
      <c r="BQ756" s="117"/>
      <c r="BU756" s="117"/>
      <c r="BW756" s="118"/>
      <c r="BY756" s="119"/>
      <c r="BZ756" s="119"/>
      <c r="CA756" s="120"/>
      <c r="CU756" s="120"/>
      <c r="CV756" s="121"/>
      <c r="CW756" s="120"/>
      <c r="CX756" s="122"/>
    </row>
    <row r="757" ht="15.75" customHeight="1">
      <c r="B757" s="111"/>
      <c r="E757" s="112"/>
      <c r="AA757" s="113"/>
      <c r="AV757" s="114"/>
      <c r="AW757" s="114"/>
      <c r="AX757" s="115"/>
      <c r="AY757" s="116"/>
      <c r="AZ757" s="115"/>
      <c r="BA757" s="116"/>
      <c r="BB757" s="116"/>
      <c r="BC757" s="116"/>
      <c r="BP757" s="117"/>
      <c r="BQ757" s="117"/>
      <c r="BU757" s="117"/>
      <c r="BW757" s="118"/>
      <c r="BY757" s="119"/>
      <c r="BZ757" s="119"/>
      <c r="CA757" s="120"/>
      <c r="CU757" s="120"/>
      <c r="CV757" s="121"/>
      <c r="CW757" s="120"/>
      <c r="CX757" s="122"/>
    </row>
    <row r="758" ht="15.75" customHeight="1">
      <c r="B758" s="111"/>
      <c r="E758" s="112"/>
      <c r="AA758" s="113"/>
      <c r="AV758" s="114"/>
      <c r="AW758" s="114"/>
      <c r="AX758" s="115"/>
      <c r="AY758" s="116"/>
      <c r="AZ758" s="115"/>
      <c r="BA758" s="116"/>
      <c r="BB758" s="116"/>
      <c r="BC758" s="116"/>
      <c r="BP758" s="117"/>
      <c r="BQ758" s="117"/>
      <c r="BU758" s="117"/>
      <c r="BW758" s="118"/>
      <c r="BY758" s="119"/>
      <c r="BZ758" s="119"/>
      <c r="CA758" s="120"/>
      <c r="CU758" s="120"/>
      <c r="CV758" s="121"/>
      <c r="CW758" s="120"/>
      <c r="CX758" s="122"/>
    </row>
    <row r="759" ht="15.75" customHeight="1">
      <c r="B759" s="111"/>
      <c r="E759" s="112"/>
      <c r="AA759" s="113"/>
      <c r="AV759" s="114"/>
      <c r="AW759" s="114"/>
      <c r="AX759" s="115"/>
      <c r="AY759" s="116"/>
      <c r="AZ759" s="115"/>
      <c r="BA759" s="116"/>
      <c r="BB759" s="116"/>
      <c r="BC759" s="116"/>
      <c r="BP759" s="117"/>
      <c r="BQ759" s="117"/>
      <c r="BU759" s="117"/>
      <c r="BW759" s="118"/>
      <c r="BY759" s="119"/>
      <c r="BZ759" s="119"/>
      <c r="CA759" s="120"/>
      <c r="CU759" s="120"/>
      <c r="CV759" s="121"/>
      <c r="CW759" s="120"/>
      <c r="CX759" s="122"/>
    </row>
    <row r="760" ht="15.75" customHeight="1">
      <c r="B760" s="111"/>
      <c r="E760" s="112"/>
      <c r="AA760" s="113"/>
      <c r="AV760" s="114"/>
      <c r="AW760" s="114"/>
      <c r="AX760" s="115"/>
      <c r="AY760" s="116"/>
      <c r="AZ760" s="115"/>
      <c r="BA760" s="116"/>
      <c r="BB760" s="116"/>
      <c r="BC760" s="116"/>
      <c r="BP760" s="117"/>
      <c r="BQ760" s="117"/>
      <c r="BU760" s="117"/>
      <c r="BW760" s="118"/>
      <c r="BY760" s="119"/>
      <c r="BZ760" s="119"/>
      <c r="CA760" s="120"/>
      <c r="CU760" s="120"/>
      <c r="CV760" s="121"/>
      <c r="CW760" s="120"/>
      <c r="CX760" s="122"/>
    </row>
    <row r="761" ht="15.75" customHeight="1">
      <c r="B761" s="111"/>
      <c r="E761" s="112"/>
      <c r="AA761" s="113"/>
      <c r="AV761" s="114"/>
      <c r="AW761" s="114"/>
      <c r="AX761" s="115"/>
      <c r="AY761" s="116"/>
      <c r="AZ761" s="115"/>
      <c r="BA761" s="116"/>
      <c r="BB761" s="116"/>
      <c r="BC761" s="116"/>
      <c r="BP761" s="117"/>
      <c r="BQ761" s="117"/>
      <c r="BU761" s="117"/>
      <c r="BW761" s="118"/>
      <c r="BY761" s="119"/>
      <c r="BZ761" s="119"/>
      <c r="CA761" s="120"/>
      <c r="CU761" s="120"/>
      <c r="CV761" s="121"/>
      <c r="CW761" s="120"/>
      <c r="CX761" s="122"/>
    </row>
    <row r="762" ht="15.75" customHeight="1">
      <c r="B762" s="111"/>
      <c r="E762" s="112"/>
      <c r="AA762" s="113"/>
      <c r="AV762" s="114"/>
      <c r="AW762" s="114"/>
      <c r="AX762" s="115"/>
      <c r="AY762" s="116"/>
      <c r="AZ762" s="115"/>
      <c r="BA762" s="116"/>
      <c r="BB762" s="116"/>
      <c r="BC762" s="116"/>
      <c r="BP762" s="117"/>
      <c r="BQ762" s="117"/>
      <c r="BU762" s="117"/>
      <c r="BW762" s="118"/>
      <c r="BY762" s="119"/>
      <c r="BZ762" s="119"/>
      <c r="CA762" s="120"/>
      <c r="CU762" s="120"/>
      <c r="CV762" s="121"/>
      <c r="CW762" s="120"/>
      <c r="CX762" s="122"/>
    </row>
    <row r="763" ht="15.75" customHeight="1">
      <c r="B763" s="111"/>
      <c r="E763" s="112"/>
      <c r="AA763" s="113"/>
      <c r="AV763" s="114"/>
      <c r="AW763" s="114"/>
      <c r="AX763" s="115"/>
      <c r="AY763" s="116"/>
      <c r="AZ763" s="115"/>
      <c r="BA763" s="116"/>
      <c r="BB763" s="116"/>
      <c r="BC763" s="116"/>
      <c r="BP763" s="117"/>
      <c r="BQ763" s="117"/>
      <c r="BU763" s="117"/>
      <c r="BW763" s="118"/>
      <c r="BY763" s="119"/>
      <c r="BZ763" s="119"/>
      <c r="CA763" s="120"/>
      <c r="CU763" s="120"/>
      <c r="CV763" s="121"/>
      <c r="CW763" s="120"/>
      <c r="CX763" s="122"/>
    </row>
    <row r="764" ht="15.75" customHeight="1">
      <c r="B764" s="111"/>
      <c r="E764" s="112"/>
      <c r="AA764" s="113"/>
      <c r="AV764" s="114"/>
      <c r="AW764" s="114"/>
      <c r="AX764" s="115"/>
      <c r="AY764" s="116"/>
      <c r="AZ764" s="115"/>
      <c r="BA764" s="116"/>
      <c r="BB764" s="116"/>
      <c r="BC764" s="116"/>
      <c r="BP764" s="117"/>
      <c r="BQ764" s="117"/>
      <c r="BU764" s="117"/>
      <c r="BW764" s="118"/>
      <c r="BY764" s="119"/>
      <c r="BZ764" s="119"/>
      <c r="CA764" s="120"/>
      <c r="CU764" s="120"/>
      <c r="CV764" s="121"/>
      <c r="CW764" s="120"/>
      <c r="CX764" s="122"/>
    </row>
    <row r="765" ht="15.75" customHeight="1">
      <c r="B765" s="111"/>
      <c r="E765" s="112"/>
      <c r="AA765" s="113"/>
      <c r="AV765" s="114"/>
      <c r="AW765" s="114"/>
      <c r="AX765" s="115"/>
      <c r="AY765" s="116"/>
      <c r="AZ765" s="115"/>
      <c r="BA765" s="116"/>
      <c r="BB765" s="116"/>
      <c r="BC765" s="116"/>
      <c r="BP765" s="117"/>
      <c r="BQ765" s="117"/>
      <c r="BU765" s="117"/>
      <c r="BW765" s="118"/>
      <c r="BY765" s="119"/>
      <c r="BZ765" s="119"/>
      <c r="CA765" s="120"/>
      <c r="CU765" s="120"/>
      <c r="CV765" s="121"/>
      <c r="CW765" s="120"/>
      <c r="CX765" s="122"/>
    </row>
    <row r="766" ht="15.75" customHeight="1">
      <c r="B766" s="111"/>
      <c r="E766" s="112"/>
      <c r="AA766" s="113"/>
      <c r="AV766" s="114"/>
      <c r="AW766" s="114"/>
      <c r="AX766" s="115"/>
      <c r="AY766" s="116"/>
      <c r="AZ766" s="115"/>
      <c r="BA766" s="116"/>
      <c r="BB766" s="116"/>
      <c r="BC766" s="116"/>
      <c r="BP766" s="117"/>
      <c r="BQ766" s="117"/>
      <c r="BU766" s="117"/>
      <c r="BW766" s="118"/>
      <c r="BY766" s="119"/>
      <c r="BZ766" s="119"/>
      <c r="CA766" s="120"/>
      <c r="CU766" s="120"/>
      <c r="CV766" s="121"/>
      <c r="CW766" s="120"/>
      <c r="CX766" s="122"/>
    </row>
    <row r="767" ht="15.75" customHeight="1">
      <c r="B767" s="111"/>
      <c r="E767" s="112"/>
      <c r="AA767" s="113"/>
      <c r="AV767" s="114"/>
      <c r="AW767" s="114"/>
      <c r="AX767" s="115"/>
      <c r="AY767" s="116"/>
      <c r="AZ767" s="115"/>
      <c r="BA767" s="116"/>
      <c r="BB767" s="116"/>
      <c r="BC767" s="116"/>
      <c r="BP767" s="117"/>
      <c r="BQ767" s="117"/>
      <c r="BU767" s="117"/>
      <c r="BW767" s="118"/>
      <c r="BY767" s="119"/>
      <c r="BZ767" s="119"/>
      <c r="CA767" s="120"/>
      <c r="CU767" s="120"/>
      <c r="CV767" s="121"/>
      <c r="CW767" s="120"/>
      <c r="CX767" s="122"/>
    </row>
    <row r="768" ht="15.75" customHeight="1">
      <c r="B768" s="111"/>
      <c r="E768" s="112"/>
      <c r="AA768" s="113"/>
      <c r="AV768" s="114"/>
      <c r="AW768" s="114"/>
      <c r="AX768" s="115"/>
      <c r="AY768" s="116"/>
      <c r="AZ768" s="115"/>
      <c r="BA768" s="116"/>
      <c r="BB768" s="116"/>
      <c r="BC768" s="116"/>
      <c r="BP768" s="117"/>
      <c r="BQ768" s="117"/>
      <c r="BU768" s="117"/>
      <c r="BW768" s="118"/>
      <c r="BY768" s="119"/>
      <c r="BZ768" s="119"/>
      <c r="CA768" s="120"/>
      <c r="CU768" s="120"/>
      <c r="CV768" s="121"/>
      <c r="CW768" s="120"/>
      <c r="CX768" s="122"/>
    </row>
    <row r="769" ht="15.75" customHeight="1">
      <c r="B769" s="111"/>
      <c r="E769" s="112"/>
      <c r="AA769" s="113"/>
      <c r="AV769" s="114"/>
      <c r="AW769" s="114"/>
      <c r="AX769" s="115"/>
      <c r="AY769" s="116"/>
      <c r="AZ769" s="115"/>
      <c r="BA769" s="116"/>
      <c r="BB769" s="116"/>
      <c r="BC769" s="116"/>
      <c r="BP769" s="117"/>
      <c r="BQ769" s="117"/>
      <c r="BU769" s="117"/>
      <c r="BW769" s="118"/>
      <c r="BY769" s="119"/>
      <c r="BZ769" s="119"/>
      <c r="CA769" s="120"/>
      <c r="CU769" s="120"/>
      <c r="CV769" s="121"/>
      <c r="CW769" s="120"/>
      <c r="CX769" s="122"/>
    </row>
    <row r="770" ht="15.75" customHeight="1">
      <c r="B770" s="111"/>
      <c r="E770" s="112"/>
      <c r="AA770" s="113"/>
      <c r="AV770" s="114"/>
      <c r="AW770" s="114"/>
      <c r="AX770" s="115"/>
      <c r="AY770" s="116"/>
      <c r="AZ770" s="115"/>
      <c r="BA770" s="116"/>
      <c r="BB770" s="116"/>
      <c r="BC770" s="116"/>
      <c r="BP770" s="117"/>
      <c r="BQ770" s="117"/>
      <c r="BU770" s="117"/>
      <c r="BW770" s="118"/>
      <c r="BY770" s="119"/>
      <c r="BZ770" s="119"/>
      <c r="CA770" s="120"/>
      <c r="CU770" s="120"/>
      <c r="CV770" s="121"/>
      <c r="CW770" s="120"/>
      <c r="CX770" s="122"/>
    </row>
    <row r="771" ht="15.75" customHeight="1">
      <c r="B771" s="111"/>
      <c r="E771" s="112"/>
      <c r="AA771" s="113"/>
      <c r="AV771" s="114"/>
      <c r="AW771" s="114"/>
      <c r="AX771" s="115"/>
      <c r="AY771" s="116"/>
      <c r="AZ771" s="115"/>
      <c r="BA771" s="116"/>
      <c r="BB771" s="116"/>
      <c r="BC771" s="116"/>
      <c r="BP771" s="117"/>
      <c r="BQ771" s="117"/>
      <c r="BU771" s="117"/>
      <c r="BW771" s="118"/>
      <c r="BY771" s="119"/>
      <c r="BZ771" s="119"/>
      <c r="CA771" s="120"/>
      <c r="CU771" s="120"/>
      <c r="CV771" s="121"/>
      <c r="CW771" s="120"/>
      <c r="CX771" s="122"/>
    </row>
    <row r="772" ht="15.75" customHeight="1">
      <c r="B772" s="111"/>
      <c r="E772" s="112"/>
      <c r="AA772" s="113"/>
      <c r="AV772" s="114"/>
      <c r="AW772" s="114"/>
      <c r="AX772" s="115"/>
      <c r="AY772" s="116"/>
      <c r="AZ772" s="115"/>
      <c r="BA772" s="116"/>
      <c r="BB772" s="116"/>
      <c r="BC772" s="116"/>
      <c r="BP772" s="117"/>
      <c r="BQ772" s="117"/>
      <c r="BU772" s="117"/>
      <c r="BW772" s="118"/>
      <c r="BY772" s="119"/>
      <c r="BZ772" s="119"/>
      <c r="CA772" s="120"/>
      <c r="CU772" s="120"/>
      <c r="CV772" s="121"/>
      <c r="CW772" s="120"/>
      <c r="CX772" s="122"/>
    </row>
    <row r="773" ht="15.75" customHeight="1">
      <c r="B773" s="111"/>
      <c r="E773" s="112"/>
      <c r="AA773" s="113"/>
      <c r="AV773" s="114"/>
      <c r="AW773" s="114"/>
      <c r="AX773" s="115"/>
      <c r="AY773" s="116"/>
      <c r="AZ773" s="115"/>
      <c r="BA773" s="116"/>
      <c r="BB773" s="116"/>
      <c r="BC773" s="116"/>
      <c r="BP773" s="117"/>
      <c r="BQ773" s="117"/>
      <c r="BU773" s="117"/>
      <c r="BW773" s="118"/>
      <c r="BY773" s="119"/>
      <c r="BZ773" s="119"/>
      <c r="CA773" s="120"/>
      <c r="CU773" s="120"/>
      <c r="CV773" s="121"/>
      <c r="CW773" s="120"/>
      <c r="CX773" s="122"/>
    </row>
    <row r="774" ht="15.75" customHeight="1">
      <c r="B774" s="111"/>
      <c r="E774" s="112"/>
      <c r="AA774" s="113"/>
      <c r="AV774" s="114"/>
      <c r="AW774" s="114"/>
      <c r="AX774" s="115"/>
      <c r="AY774" s="116"/>
      <c r="AZ774" s="115"/>
      <c r="BA774" s="116"/>
      <c r="BB774" s="116"/>
      <c r="BC774" s="116"/>
      <c r="BP774" s="117"/>
      <c r="BQ774" s="117"/>
      <c r="BU774" s="117"/>
      <c r="BW774" s="118"/>
      <c r="BY774" s="119"/>
      <c r="BZ774" s="119"/>
      <c r="CA774" s="120"/>
      <c r="CU774" s="120"/>
      <c r="CV774" s="121"/>
      <c r="CW774" s="120"/>
      <c r="CX774" s="122"/>
    </row>
    <row r="775" ht="15.75" customHeight="1">
      <c r="B775" s="111"/>
      <c r="E775" s="112"/>
      <c r="AA775" s="113"/>
      <c r="AV775" s="114"/>
      <c r="AW775" s="114"/>
      <c r="AX775" s="115"/>
      <c r="AY775" s="116"/>
      <c r="AZ775" s="115"/>
      <c r="BA775" s="116"/>
      <c r="BB775" s="116"/>
      <c r="BC775" s="116"/>
      <c r="BP775" s="117"/>
      <c r="BQ775" s="117"/>
      <c r="BU775" s="117"/>
      <c r="BW775" s="118"/>
      <c r="BY775" s="119"/>
      <c r="BZ775" s="119"/>
      <c r="CA775" s="120"/>
      <c r="CU775" s="120"/>
      <c r="CV775" s="121"/>
      <c r="CW775" s="120"/>
      <c r="CX775" s="122"/>
    </row>
    <row r="776" ht="15.75" customHeight="1">
      <c r="B776" s="111"/>
      <c r="E776" s="112"/>
      <c r="AA776" s="113"/>
      <c r="AV776" s="114"/>
      <c r="AW776" s="114"/>
      <c r="AX776" s="115"/>
      <c r="AY776" s="116"/>
      <c r="AZ776" s="115"/>
      <c r="BA776" s="116"/>
      <c r="BB776" s="116"/>
      <c r="BC776" s="116"/>
      <c r="BP776" s="117"/>
      <c r="BQ776" s="117"/>
      <c r="BU776" s="117"/>
      <c r="BW776" s="118"/>
      <c r="BY776" s="119"/>
      <c r="BZ776" s="119"/>
      <c r="CA776" s="120"/>
      <c r="CU776" s="120"/>
      <c r="CV776" s="121"/>
      <c r="CW776" s="120"/>
      <c r="CX776" s="122"/>
    </row>
    <row r="777" ht="15.75" customHeight="1">
      <c r="B777" s="111"/>
      <c r="E777" s="112"/>
      <c r="AA777" s="113"/>
      <c r="AV777" s="114"/>
      <c r="AW777" s="114"/>
      <c r="AX777" s="115"/>
      <c r="AY777" s="116"/>
      <c r="AZ777" s="115"/>
      <c r="BA777" s="116"/>
      <c r="BB777" s="116"/>
      <c r="BC777" s="116"/>
      <c r="BP777" s="117"/>
      <c r="BQ777" s="117"/>
      <c r="BU777" s="117"/>
      <c r="BW777" s="118"/>
      <c r="BY777" s="119"/>
      <c r="BZ777" s="119"/>
      <c r="CA777" s="120"/>
      <c r="CU777" s="120"/>
      <c r="CV777" s="121"/>
      <c r="CW777" s="120"/>
      <c r="CX777" s="122"/>
    </row>
    <row r="778" ht="15.75" customHeight="1">
      <c r="B778" s="111"/>
      <c r="E778" s="112"/>
      <c r="AA778" s="113"/>
      <c r="AV778" s="114"/>
      <c r="AW778" s="114"/>
      <c r="AX778" s="115"/>
      <c r="AY778" s="116"/>
      <c r="AZ778" s="115"/>
      <c r="BA778" s="116"/>
      <c r="BB778" s="116"/>
      <c r="BC778" s="116"/>
      <c r="BP778" s="117"/>
      <c r="BQ778" s="117"/>
      <c r="BU778" s="117"/>
      <c r="BW778" s="118"/>
      <c r="BY778" s="119"/>
      <c r="BZ778" s="119"/>
      <c r="CA778" s="120"/>
      <c r="CU778" s="120"/>
      <c r="CV778" s="121"/>
      <c r="CW778" s="120"/>
      <c r="CX778" s="122"/>
    </row>
    <row r="779" ht="15.75" customHeight="1">
      <c r="B779" s="111"/>
      <c r="E779" s="112"/>
      <c r="AA779" s="113"/>
      <c r="AV779" s="114"/>
      <c r="AW779" s="114"/>
      <c r="AX779" s="115"/>
      <c r="AY779" s="116"/>
      <c r="AZ779" s="115"/>
      <c r="BA779" s="116"/>
      <c r="BB779" s="116"/>
      <c r="BC779" s="116"/>
      <c r="BP779" s="117"/>
      <c r="BQ779" s="117"/>
      <c r="BU779" s="117"/>
      <c r="BW779" s="118"/>
      <c r="BY779" s="119"/>
      <c r="BZ779" s="119"/>
      <c r="CA779" s="120"/>
      <c r="CU779" s="120"/>
      <c r="CV779" s="121"/>
      <c r="CW779" s="120"/>
      <c r="CX779" s="122"/>
    </row>
    <row r="780" ht="15.75" customHeight="1">
      <c r="B780" s="111"/>
      <c r="E780" s="112"/>
      <c r="AA780" s="113"/>
      <c r="AV780" s="114"/>
      <c r="AW780" s="114"/>
      <c r="AX780" s="115"/>
      <c r="AY780" s="116"/>
      <c r="AZ780" s="115"/>
      <c r="BA780" s="116"/>
      <c r="BB780" s="116"/>
      <c r="BC780" s="116"/>
      <c r="BP780" s="117"/>
      <c r="BQ780" s="117"/>
      <c r="BU780" s="117"/>
      <c r="BW780" s="118"/>
      <c r="BY780" s="119"/>
      <c r="BZ780" s="119"/>
      <c r="CA780" s="120"/>
      <c r="CU780" s="120"/>
      <c r="CV780" s="121"/>
      <c r="CW780" s="120"/>
      <c r="CX780" s="122"/>
    </row>
    <row r="781" ht="15.75" customHeight="1">
      <c r="B781" s="111"/>
      <c r="E781" s="112"/>
      <c r="AA781" s="113"/>
      <c r="AV781" s="114"/>
      <c r="AW781" s="114"/>
      <c r="AX781" s="115"/>
      <c r="AY781" s="116"/>
      <c r="AZ781" s="115"/>
      <c r="BA781" s="116"/>
      <c r="BB781" s="116"/>
      <c r="BC781" s="116"/>
      <c r="BP781" s="117"/>
      <c r="BQ781" s="117"/>
      <c r="BU781" s="117"/>
      <c r="BW781" s="118"/>
      <c r="BY781" s="119"/>
      <c r="BZ781" s="119"/>
      <c r="CA781" s="120"/>
      <c r="CU781" s="120"/>
      <c r="CV781" s="121"/>
      <c r="CW781" s="120"/>
      <c r="CX781" s="122"/>
    </row>
    <row r="782" ht="15.75" customHeight="1">
      <c r="B782" s="111"/>
      <c r="E782" s="112"/>
      <c r="AA782" s="113"/>
      <c r="AV782" s="114"/>
      <c r="AW782" s="114"/>
      <c r="AX782" s="115"/>
      <c r="AY782" s="116"/>
      <c r="AZ782" s="115"/>
      <c r="BA782" s="116"/>
      <c r="BB782" s="116"/>
      <c r="BC782" s="116"/>
      <c r="BP782" s="117"/>
      <c r="BQ782" s="117"/>
      <c r="BU782" s="117"/>
      <c r="BW782" s="118"/>
      <c r="BY782" s="119"/>
      <c r="BZ782" s="119"/>
      <c r="CA782" s="120"/>
      <c r="CU782" s="120"/>
      <c r="CV782" s="121"/>
      <c r="CW782" s="120"/>
      <c r="CX782" s="122"/>
    </row>
    <row r="783" ht="15.75" customHeight="1">
      <c r="B783" s="111"/>
      <c r="E783" s="112"/>
      <c r="AA783" s="113"/>
      <c r="AV783" s="114"/>
      <c r="AW783" s="114"/>
      <c r="AX783" s="115"/>
      <c r="AY783" s="116"/>
      <c r="AZ783" s="115"/>
      <c r="BA783" s="116"/>
      <c r="BB783" s="116"/>
      <c r="BC783" s="116"/>
      <c r="BP783" s="117"/>
      <c r="BQ783" s="117"/>
      <c r="BU783" s="117"/>
      <c r="BW783" s="118"/>
      <c r="BY783" s="119"/>
      <c r="BZ783" s="119"/>
      <c r="CA783" s="120"/>
      <c r="CU783" s="120"/>
      <c r="CV783" s="121"/>
      <c r="CW783" s="120"/>
      <c r="CX783" s="122"/>
    </row>
    <row r="784" ht="15.75" customHeight="1">
      <c r="B784" s="111"/>
      <c r="E784" s="112"/>
      <c r="AA784" s="113"/>
      <c r="AV784" s="114"/>
      <c r="AW784" s="114"/>
      <c r="AX784" s="115"/>
      <c r="AY784" s="116"/>
      <c r="AZ784" s="115"/>
      <c r="BA784" s="116"/>
      <c r="BB784" s="116"/>
      <c r="BC784" s="116"/>
      <c r="BP784" s="117"/>
      <c r="BQ784" s="117"/>
      <c r="BU784" s="117"/>
      <c r="BW784" s="118"/>
      <c r="BY784" s="119"/>
      <c r="BZ784" s="119"/>
      <c r="CA784" s="120"/>
      <c r="CU784" s="120"/>
      <c r="CV784" s="121"/>
      <c r="CW784" s="120"/>
      <c r="CX784" s="122"/>
    </row>
    <row r="785" ht="15.75" customHeight="1">
      <c r="B785" s="111"/>
      <c r="E785" s="112"/>
      <c r="AA785" s="113"/>
      <c r="AV785" s="114"/>
      <c r="AW785" s="114"/>
      <c r="AX785" s="115"/>
      <c r="AY785" s="116"/>
      <c r="AZ785" s="115"/>
      <c r="BA785" s="116"/>
      <c r="BB785" s="116"/>
      <c r="BC785" s="116"/>
      <c r="BP785" s="117"/>
      <c r="BQ785" s="117"/>
      <c r="BU785" s="117"/>
      <c r="BW785" s="118"/>
      <c r="BY785" s="119"/>
      <c r="BZ785" s="119"/>
      <c r="CA785" s="120"/>
      <c r="CU785" s="120"/>
      <c r="CV785" s="121"/>
      <c r="CW785" s="120"/>
      <c r="CX785" s="122"/>
    </row>
    <row r="786" ht="15.75" customHeight="1">
      <c r="B786" s="111"/>
      <c r="E786" s="112"/>
      <c r="AA786" s="113"/>
      <c r="AV786" s="114"/>
      <c r="AW786" s="114"/>
      <c r="AX786" s="115"/>
      <c r="AY786" s="116"/>
      <c r="AZ786" s="115"/>
      <c r="BA786" s="116"/>
      <c r="BB786" s="116"/>
      <c r="BC786" s="116"/>
      <c r="BP786" s="117"/>
      <c r="BQ786" s="117"/>
      <c r="BU786" s="117"/>
      <c r="BW786" s="118"/>
      <c r="BY786" s="119"/>
      <c r="BZ786" s="119"/>
      <c r="CA786" s="120"/>
      <c r="CU786" s="120"/>
      <c r="CV786" s="121"/>
      <c r="CW786" s="120"/>
      <c r="CX786" s="122"/>
    </row>
    <row r="787" ht="15.75" customHeight="1">
      <c r="B787" s="111"/>
      <c r="E787" s="112"/>
      <c r="AA787" s="113"/>
      <c r="AV787" s="114"/>
      <c r="AW787" s="114"/>
      <c r="AX787" s="115"/>
      <c r="AY787" s="116"/>
      <c r="AZ787" s="115"/>
      <c r="BA787" s="116"/>
      <c r="BB787" s="116"/>
      <c r="BC787" s="116"/>
      <c r="BP787" s="117"/>
      <c r="BQ787" s="117"/>
      <c r="BU787" s="117"/>
      <c r="BW787" s="118"/>
      <c r="BY787" s="119"/>
      <c r="BZ787" s="119"/>
      <c r="CA787" s="120"/>
      <c r="CU787" s="120"/>
      <c r="CV787" s="121"/>
      <c r="CW787" s="120"/>
      <c r="CX787" s="122"/>
    </row>
    <row r="788" ht="15.75" customHeight="1">
      <c r="B788" s="111"/>
      <c r="E788" s="112"/>
      <c r="AA788" s="113"/>
      <c r="AV788" s="114"/>
      <c r="AW788" s="114"/>
      <c r="AX788" s="115"/>
      <c r="AY788" s="116"/>
      <c r="AZ788" s="115"/>
      <c r="BA788" s="116"/>
      <c r="BB788" s="116"/>
      <c r="BC788" s="116"/>
      <c r="BP788" s="117"/>
      <c r="BQ788" s="117"/>
      <c r="BU788" s="117"/>
      <c r="BW788" s="118"/>
      <c r="BY788" s="119"/>
      <c r="BZ788" s="119"/>
      <c r="CA788" s="120"/>
      <c r="CU788" s="120"/>
      <c r="CV788" s="121"/>
      <c r="CW788" s="120"/>
      <c r="CX788" s="122"/>
    </row>
    <row r="789" ht="15.75" customHeight="1">
      <c r="B789" s="111"/>
      <c r="E789" s="112"/>
      <c r="AA789" s="113"/>
      <c r="AV789" s="114"/>
      <c r="AW789" s="114"/>
      <c r="AX789" s="115"/>
      <c r="AY789" s="116"/>
      <c r="AZ789" s="115"/>
      <c r="BA789" s="116"/>
      <c r="BB789" s="116"/>
      <c r="BC789" s="116"/>
      <c r="BP789" s="117"/>
      <c r="BQ789" s="117"/>
      <c r="BU789" s="117"/>
      <c r="BW789" s="118"/>
      <c r="BY789" s="119"/>
      <c r="BZ789" s="119"/>
      <c r="CA789" s="120"/>
      <c r="CU789" s="120"/>
      <c r="CV789" s="121"/>
      <c r="CW789" s="120"/>
      <c r="CX789" s="122"/>
    </row>
    <row r="790" ht="15.75" customHeight="1">
      <c r="B790" s="111"/>
      <c r="E790" s="112"/>
      <c r="AA790" s="113"/>
      <c r="AV790" s="114"/>
      <c r="AW790" s="114"/>
      <c r="AX790" s="115"/>
      <c r="AY790" s="116"/>
      <c r="AZ790" s="115"/>
      <c r="BA790" s="116"/>
      <c r="BB790" s="116"/>
      <c r="BC790" s="116"/>
      <c r="BP790" s="117"/>
      <c r="BQ790" s="117"/>
      <c r="BU790" s="117"/>
      <c r="BW790" s="118"/>
      <c r="BY790" s="119"/>
      <c r="BZ790" s="119"/>
      <c r="CA790" s="120"/>
      <c r="CU790" s="120"/>
      <c r="CV790" s="121"/>
      <c r="CW790" s="120"/>
      <c r="CX790" s="122"/>
    </row>
    <row r="791" ht="15.75" customHeight="1">
      <c r="B791" s="111"/>
      <c r="E791" s="112"/>
      <c r="AA791" s="113"/>
      <c r="AV791" s="114"/>
      <c r="AW791" s="114"/>
      <c r="AX791" s="115"/>
      <c r="AY791" s="116"/>
      <c r="AZ791" s="115"/>
      <c r="BA791" s="116"/>
      <c r="BB791" s="116"/>
      <c r="BC791" s="116"/>
      <c r="BP791" s="117"/>
      <c r="BQ791" s="117"/>
      <c r="BU791" s="117"/>
      <c r="BW791" s="118"/>
      <c r="BY791" s="119"/>
      <c r="BZ791" s="119"/>
      <c r="CA791" s="120"/>
      <c r="CU791" s="120"/>
      <c r="CV791" s="121"/>
      <c r="CW791" s="120"/>
      <c r="CX791" s="122"/>
    </row>
    <row r="792" ht="15.75" customHeight="1">
      <c r="B792" s="111"/>
      <c r="E792" s="112"/>
      <c r="AA792" s="113"/>
      <c r="AV792" s="114"/>
      <c r="AW792" s="114"/>
      <c r="AX792" s="115"/>
      <c r="AY792" s="116"/>
      <c r="AZ792" s="115"/>
      <c r="BA792" s="116"/>
      <c r="BB792" s="116"/>
      <c r="BC792" s="116"/>
      <c r="BP792" s="117"/>
      <c r="BQ792" s="117"/>
      <c r="BU792" s="117"/>
      <c r="BW792" s="118"/>
      <c r="BY792" s="119"/>
      <c r="BZ792" s="119"/>
      <c r="CA792" s="120"/>
      <c r="CU792" s="120"/>
      <c r="CV792" s="121"/>
      <c r="CW792" s="120"/>
      <c r="CX792" s="122"/>
    </row>
    <row r="793" ht="15.75" customHeight="1">
      <c r="B793" s="111"/>
      <c r="E793" s="112"/>
      <c r="AA793" s="113"/>
      <c r="AV793" s="114"/>
      <c r="AW793" s="114"/>
      <c r="AX793" s="115"/>
      <c r="AY793" s="116"/>
      <c r="AZ793" s="115"/>
      <c r="BA793" s="116"/>
      <c r="BB793" s="116"/>
      <c r="BC793" s="116"/>
      <c r="BP793" s="117"/>
      <c r="BQ793" s="117"/>
      <c r="BU793" s="117"/>
      <c r="BW793" s="118"/>
      <c r="BY793" s="119"/>
      <c r="BZ793" s="119"/>
      <c r="CA793" s="120"/>
      <c r="CU793" s="120"/>
      <c r="CV793" s="121"/>
      <c r="CW793" s="120"/>
      <c r="CX793" s="122"/>
    </row>
    <row r="794" ht="15.75" customHeight="1">
      <c r="B794" s="111"/>
      <c r="E794" s="112"/>
      <c r="AA794" s="113"/>
      <c r="AV794" s="114"/>
      <c r="AW794" s="114"/>
      <c r="AX794" s="115"/>
      <c r="AY794" s="116"/>
      <c r="AZ794" s="115"/>
      <c r="BA794" s="116"/>
      <c r="BB794" s="116"/>
      <c r="BC794" s="116"/>
      <c r="BP794" s="117"/>
      <c r="BQ794" s="117"/>
      <c r="BU794" s="117"/>
      <c r="BW794" s="118"/>
      <c r="BY794" s="119"/>
      <c r="BZ794" s="119"/>
      <c r="CA794" s="120"/>
      <c r="CU794" s="120"/>
      <c r="CV794" s="121"/>
      <c r="CW794" s="120"/>
      <c r="CX794" s="122"/>
    </row>
    <row r="795" ht="15.75" customHeight="1">
      <c r="B795" s="111"/>
      <c r="E795" s="112"/>
      <c r="AA795" s="113"/>
      <c r="AV795" s="114"/>
      <c r="AW795" s="114"/>
      <c r="AX795" s="115"/>
      <c r="AY795" s="116"/>
      <c r="AZ795" s="115"/>
      <c r="BA795" s="116"/>
      <c r="BB795" s="116"/>
      <c r="BC795" s="116"/>
      <c r="BP795" s="117"/>
      <c r="BQ795" s="117"/>
      <c r="BU795" s="117"/>
      <c r="BW795" s="118"/>
      <c r="BY795" s="119"/>
      <c r="BZ795" s="119"/>
      <c r="CA795" s="120"/>
      <c r="CU795" s="120"/>
      <c r="CV795" s="121"/>
      <c r="CW795" s="120"/>
      <c r="CX795" s="122"/>
    </row>
    <row r="796" ht="15.75" customHeight="1">
      <c r="B796" s="111"/>
      <c r="E796" s="112"/>
      <c r="AA796" s="113"/>
      <c r="AV796" s="114"/>
      <c r="AW796" s="114"/>
      <c r="AX796" s="115"/>
      <c r="AY796" s="116"/>
      <c r="AZ796" s="115"/>
      <c r="BA796" s="116"/>
      <c r="BB796" s="116"/>
      <c r="BC796" s="116"/>
      <c r="BP796" s="117"/>
      <c r="BQ796" s="117"/>
      <c r="BU796" s="117"/>
      <c r="BW796" s="118"/>
      <c r="BY796" s="119"/>
      <c r="BZ796" s="119"/>
      <c r="CA796" s="120"/>
      <c r="CU796" s="120"/>
      <c r="CV796" s="121"/>
      <c r="CW796" s="120"/>
      <c r="CX796" s="122"/>
    </row>
    <row r="797" ht="15.75" customHeight="1">
      <c r="B797" s="111"/>
      <c r="E797" s="112"/>
      <c r="AA797" s="113"/>
      <c r="AV797" s="114"/>
      <c r="AW797" s="114"/>
      <c r="AX797" s="115"/>
      <c r="AY797" s="116"/>
      <c r="AZ797" s="115"/>
      <c r="BA797" s="116"/>
      <c r="BB797" s="116"/>
      <c r="BC797" s="116"/>
      <c r="BP797" s="117"/>
      <c r="BQ797" s="117"/>
      <c r="BU797" s="117"/>
      <c r="BW797" s="118"/>
      <c r="BY797" s="119"/>
      <c r="BZ797" s="119"/>
      <c r="CA797" s="120"/>
      <c r="CU797" s="120"/>
      <c r="CV797" s="121"/>
      <c r="CW797" s="120"/>
      <c r="CX797" s="122"/>
    </row>
    <row r="798" ht="15.75" customHeight="1">
      <c r="B798" s="111"/>
      <c r="E798" s="112"/>
      <c r="AA798" s="113"/>
      <c r="AV798" s="114"/>
      <c r="AW798" s="114"/>
      <c r="AX798" s="115"/>
      <c r="AY798" s="116"/>
      <c r="AZ798" s="115"/>
      <c r="BA798" s="116"/>
      <c r="BB798" s="116"/>
      <c r="BC798" s="116"/>
      <c r="BP798" s="117"/>
      <c r="BQ798" s="117"/>
      <c r="BU798" s="117"/>
      <c r="BW798" s="118"/>
      <c r="BY798" s="119"/>
      <c r="BZ798" s="119"/>
      <c r="CA798" s="120"/>
      <c r="CU798" s="120"/>
      <c r="CV798" s="121"/>
      <c r="CW798" s="120"/>
      <c r="CX798" s="122"/>
    </row>
    <row r="799" ht="15.75" customHeight="1">
      <c r="B799" s="111"/>
      <c r="E799" s="112"/>
      <c r="AA799" s="113"/>
      <c r="AV799" s="114"/>
      <c r="AW799" s="114"/>
      <c r="AX799" s="115"/>
      <c r="AY799" s="116"/>
      <c r="AZ799" s="115"/>
      <c r="BA799" s="116"/>
      <c r="BB799" s="116"/>
      <c r="BC799" s="116"/>
      <c r="BP799" s="117"/>
      <c r="BQ799" s="117"/>
      <c r="BU799" s="117"/>
      <c r="BW799" s="118"/>
      <c r="BY799" s="119"/>
      <c r="BZ799" s="119"/>
      <c r="CA799" s="120"/>
      <c r="CU799" s="120"/>
      <c r="CV799" s="121"/>
      <c r="CW799" s="120"/>
      <c r="CX799" s="122"/>
    </row>
    <row r="800" ht="15.75" customHeight="1">
      <c r="B800" s="111"/>
      <c r="E800" s="112"/>
      <c r="AA800" s="113"/>
      <c r="AV800" s="114"/>
      <c r="AW800" s="114"/>
      <c r="AX800" s="115"/>
      <c r="AY800" s="116"/>
      <c r="AZ800" s="115"/>
      <c r="BA800" s="116"/>
      <c r="BB800" s="116"/>
      <c r="BC800" s="116"/>
      <c r="BP800" s="117"/>
      <c r="BQ800" s="117"/>
      <c r="BU800" s="117"/>
      <c r="BW800" s="118"/>
      <c r="BY800" s="119"/>
      <c r="BZ800" s="119"/>
      <c r="CA800" s="120"/>
      <c r="CU800" s="120"/>
      <c r="CV800" s="121"/>
      <c r="CW800" s="120"/>
      <c r="CX800" s="122"/>
    </row>
    <row r="801" ht="15.75" customHeight="1">
      <c r="B801" s="111"/>
      <c r="E801" s="112"/>
      <c r="AA801" s="113"/>
      <c r="AV801" s="114"/>
      <c r="AW801" s="114"/>
      <c r="AX801" s="115"/>
      <c r="AY801" s="116"/>
      <c r="AZ801" s="115"/>
      <c r="BA801" s="116"/>
      <c r="BB801" s="116"/>
      <c r="BC801" s="116"/>
      <c r="BP801" s="117"/>
      <c r="BQ801" s="117"/>
      <c r="BU801" s="117"/>
      <c r="BW801" s="118"/>
      <c r="BY801" s="119"/>
      <c r="BZ801" s="119"/>
      <c r="CA801" s="120"/>
      <c r="CU801" s="120"/>
      <c r="CV801" s="121"/>
      <c r="CW801" s="120"/>
      <c r="CX801" s="122"/>
    </row>
    <row r="802" ht="15.75" customHeight="1">
      <c r="B802" s="111"/>
      <c r="E802" s="112"/>
      <c r="AA802" s="113"/>
      <c r="AV802" s="114"/>
      <c r="AW802" s="114"/>
      <c r="AX802" s="115"/>
      <c r="AY802" s="116"/>
      <c r="AZ802" s="115"/>
      <c r="BA802" s="116"/>
      <c r="BB802" s="116"/>
      <c r="BC802" s="116"/>
      <c r="BP802" s="117"/>
      <c r="BQ802" s="117"/>
      <c r="BU802" s="117"/>
      <c r="BW802" s="118"/>
      <c r="BY802" s="119"/>
      <c r="BZ802" s="119"/>
      <c r="CA802" s="120"/>
      <c r="CU802" s="120"/>
      <c r="CV802" s="121"/>
      <c r="CW802" s="120"/>
      <c r="CX802" s="122"/>
    </row>
    <row r="803" ht="15.75" customHeight="1">
      <c r="B803" s="111"/>
      <c r="E803" s="112"/>
      <c r="AA803" s="113"/>
      <c r="AV803" s="114"/>
      <c r="AW803" s="114"/>
      <c r="AX803" s="115"/>
      <c r="AY803" s="116"/>
      <c r="AZ803" s="115"/>
      <c r="BA803" s="116"/>
      <c r="BB803" s="116"/>
      <c r="BC803" s="116"/>
      <c r="BP803" s="117"/>
      <c r="BQ803" s="117"/>
      <c r="BU803" s="117"/>
      <c r="BW803" s="118"/>
      <c r="BY803" s="119"/>
      <c r="BZ803" s="119"/>
      <c r="CA803" s="120"/>
      <c r="CU803" s="120"/>
      <c r="CV803" s="121"/>
      <c r="CW803" s="120"/>
      <c r="CX803" s="122"/>
    </row>
    <row r="804" ht="15.75" customHeight="1">
      <c r="B804" s="111"/>
      <c r="E804" s="112"/>
      <c r="AA804" s="113"/>
      <c r="AV804" s="114"/>
      <c r="AW804" s="114"/>
      <c r="AX804" s="115"/>
      <c r="AY804" s="116"/>
      <c r="AZ804" s="115"/>
      <c r="BA804" s="116"/>
      <c r="BB804" s="116"/>
      <c r="BC804" s="116"/>
      <c r="BP804" s="117"/>
      <c r="BQ804" s="117"/>
      <c r="BU804" s="117"/>
      <c r="BW804" s="118"/>
      <c r="BY804" s="119"/>
      <c r="BZ804" s="119"/>
      <c r="CA804" s="120"/>
      <c r="CU804" s="120"/>
      <c r="CV804" s="121"/>
      <c r="CW804" s="120"/>
      <c r="CX804" s="122"/>
    </row>
    <row r="805" ht="15.75" customHeight="1">
      <c r="B805" s="111"/>
      <c r="E805" s="112"/>
      <c r="AA805" s="113"/>
      <c r="AV805" s="114"/>
      <c r="AW805" s="114"/>
      <c r="AX805" s="115"/>
      <c r="AY805" s="116"/>
      <c r="AZ805" s="115"/>
      <c r="BA805" s="116"/>
      <c r="BB805" s="116"/>
      <c r="BC805" s="116"/>
      <c r="BP805" s="117"/>
      <c r="BQ805" s="117"/>
      <c r="BU805" s="117"/>
      <c r="BW805" s="118"/>
      <c r="BY805" s="119"/>
      <c r="BZ805" s="119"/>
      <c r="CA805" s="120"/>
      <c r="CU805" s="120"/>
      <c r="CV805" s="121"/>
      <c r="CW805" s="120"/>
      <c r="CX805" s="122"/>
    </row>
    <row r="806" ht="15.75" customHeight="1">
      <c r="B806" s="111"/>
      <c r="E806" s="112"/>
      <c r="AA806" s="113"/>
      <c r="AV806" s="114"/>
      <c r="AW806" s="114"/>
      <c r="AX806" s="115"/>
      <c r="AY806" s="116"/>
      <c r="AZ806" s="115"/>
      <c r="BA806" s="116"/>
      <c r="BB806" s="116"/>
      <c r="BC806" s="116"/>
      <c r="BP806" s="117"/>
      <c r="BQ806" s="117"/>
      <c r="BU806" s="117"/>
      <c r="BW806" s="118"/>
      <c r="BY806" s="119"/>
      <c r="BZ806" s="119"/>
      <c r="CA806" s="120"/>
      <c r="CU806" s="120"/>
      <c r="CV806" s="121"/>
      <c r="CW806" s="120"/>
      <c r="CX806" s="122"/>
    </row>
    <row r="807" ht="15.75" customHeight="1">
      <c r="B807" s="111"/>
      <c r="E807" s="112"/>
      <c r="AA807" s="113"/>
      <c r="AV807" s="114"/>
      <c r="AW807" s="114"/>
      <c r="AX807" s="115"/>
      <c r="AY807" s="116"/>
      <c r="AZ807" s="115"/>
      <c r="BA807" s="116"/>
      <c r="BB807" s="116"/>
      <c r="BC807" s="116"/>
      <c r="BP807" s="117"/>
      <c r="BQ807" s="117"/>
      <c r="BU807" s="117"/>
      <c r="BW807" s="118"/>
      <c r="BY807" s="119"/>
      <c r="BZ807" s="119"/>
      <c r="CA807" s="120"/>
      <c r="CU807" s="120"/>
      <c r="CV807" s="121"/>
      <c r="CW807" s="120"/>
      <c r="CX807" s="122"/>
    </row>
    <row r="808" ht="15.75" customHeight="1">
      <c r="B808" s="111"/>
      <c r="E808" s="112"/>
      <c r="AA808" s="113"/>
      <c r="AV808" s="114"/>
      <c r="AW808" s="114"/>
      <c r="AX808" s="115"/>
      <c r="AY808" s="116"/>
      <c r="AZ808" s="115"/>
      <c r="BA808" s="116"/>
      <c r="BB808" s="116"/>
      <c r="BC808" s="116"/>
      <c r="BP808" s="117"/>
      <c r="BQ808" s="117"/>
      <c r="BU808" s="117"/>
      <c r="BW808" s="118"/>
      <c r="BY808" s="119"/>
      <c r="BZ808" s="119"/>
      <c r="CA808" s="120"/>
      <c r="CU808" s="120"/>
      <c r="CV808" s="121"/>
      <c r="CW808" s="120"/>
      <c r="CX808" s="122"/>
    </row>
    <row r="809" ht="15.75" customHeight="1">
      <c r="B809" s="111"/>
      <c r="E809" s="112"/>
      <c r="AA809" s="113"/>
      <c r="AV809" s="114"/>
      <c r="AW809" s="114"/>
      <c r="AX809" s="115"/>
      <c r="AY809" s="116"/>
      <c r="AZ809" s="115"/>
      <c r="BA809" s="116"/>
      <c r="BB809" s="116"/>
      <c r="BC809" s="116"/>
      <c r="BP809" s="117"/>
      <c r="BQ809" s="117"/>
      <c r="BU809" s="117"/>
      <c r="BW809" s="118"/>
      <c r="BY809" s="119"/>
      <c r="BZ809" s="119"/>
      <c r="CA809" s="120"/>
      <c r="CU809" s="120"/>
      <c r="CV809" s="121"/>
      <c r="CW809" s="120"/>
      <c r="CX809" s="122"/>
    </row>
    <row r="810" ht="15.75" customHeight="1">
      <c r="B810" s="111"/>
      <c r="E810" s="112"/>
      <c r="AA810" s="113"/>
      <c r="AV810" s="114"/>
      <c r="AW810" s="114"/>
      <c r="AX810" s="115"/>
      <c r="AY810" s="116"/>
      <c r="AZ810" s="115"/>
      <c r="BA810" s="116"/>
      <c r="BB810" s="116"/>
      <c r="BC810" s="116"/>
      <c r="BP810" s="117"/>
      <c r="BQ810" s="117"/>
      <c r="BU810" s="117"/>
      <c r="BW810" s="118"/>
      <c r="BY810" s="119"/>
      <c r="BZ810" s="119"/>
      <c r="CA810" s="120"/>
      <c r="CU810" s="120"/>
      <c r="CV810" s="121"/>
      <c r="CW810" s="120"/>
      <c r="CX810" s="122"/>
    </row>
    <row r="811" ht="15.75" customHeight="1">
      <c r="B811" s="111"/>
      <c r="E811" s="112"/>
      <c r="AA811" s="113"/>
      <c r="AV811" s="114"/>
      <c r="AW811" s="114"/>
      <c r="AX811" s="115"/>
      <c r="AY811" s="116"/>
      <c r="AZ811" s="115"/>
      <c r="BA811" s="116"/>
      <c r="BB811" s="116"/>
      <c r="BC811" s="116"/>
      <c r="BP811" s="117"/>
      <c r="BQ811" s="117"/>
      <c r="BU811" s="117"/>
      <c r="BW811" s="118"/>
      <c r="BY811" s="119"/>
      <c r="BZ811" s="119"/>
      <c r="CA811" s="120"/>
      <c r="CU811" s="120"/>
      <c r="CV811" s="121"/>
      <c r="CW811" s="120"/>
      <c r="CX811" s="122"/>
    </row>
    <row r="812" ht="15.75" customHeight="1">
      <c r="B812" s="111"/>
      <c r="E812" s="112"/>
      <c r="AA812" s="113"/>
      <c r="AV812" s="114"/>
      <c r="AW812" s="114"/>
      <c r="AX812" s="115"/>
      <c r="AY812" s="116"/>
      <c r="AZ812" s="115"/>
      <c r="BA812" s="116"/>
      <c r="BB812" s="116"/>
      <c r="BC812" s="116"/>
      <c r="BP812" s="117"/>
      <c r="BQ812" s="117"/>
      <c r="BU812" s="117"/>
      <c r="BW812" s="118"/>
      <c r="BY812" s="119"/>
      <c r="BZ812" s="119"/>
      <c r="CA812" s="120"/>
      <c r="CU812" s="120"/>
      <c r="CV812" s="121"/>
      <c r="CW812" s="120"/>
      <c r="CX812" s="122"/>
    </row>
    <row r="813" ht="15.75" customHeight="1">
      <c r="B813" s="111"/>
      <c r="E813" s="112"/>
      <c r="AA813" s="113"/>
      <c r="AV813" s="114"/>
      <c r="AW813" s="114"/>
      <c r="AX813" s="115"/>
      <c r="AY813" s="116"/>
      <c r="AZ813" s="115"/>
      <c r="BA813" s="116"/>
      <c r="BB813" s="116"/>
      <c r="BC813" s="116"/>
      <c r="BP813" s="117"/>
      <c r="BQ813" s="117"/>
      <c r="BU813" s="117"/>
      <c r="BW813" s="118"/>
      <c r="BY813" s="119"/>
      <c r="BZ813" s="119"/>
      <c r="CA813" s="120"/>
      <c r="CU813" s="120"/>
      <c r="CV813" s="121"/>
      <c r="CW813" s="120"/>
      <c r="CX813" s="122"/>
    </row>
    <row r="814" ht="15.75" customHeight="1">
      <c r="B814" s="111"/>
      <c r="E814" s="112"/>
      <c r="AA814" s="113"/>
      <c r="AV814" s="114"/>
      <c r="AW814" s="114"/>
      <c r="AX814" s="115"/>
      <c r="AY814" s="116"/>
      <c r="AZ814" s="115"/>
      <c r="BA814" s="116"/>
      <c r="BB814" s="116"/>
      <c r="BC814" s="116"/>
      <c r="BP814" s="117"/>
      <c r="BQ814" s="117"/>
      <c r="BU814" s="117"/>
      <c r="BW814" s="118"/>
      <c r="BY814" s="119"/>
      <c r="BZ814" s="119"/>
      <c r="CA814" s="120"/>
      <c r="CU814" s="120"/>
      <c r="CV814" s="121"/>
      <c r="CW814" s="120"/>
      <c r="CX814" s="122"/>
    </row>
    <row r="815" ht="15.75" customHeight="1">
      <c r="B815" s="111"/>
      <c r="E815" s="112"/>
      <c r="AA815" s="113"/>
      <c r="AV815" s="114"/>
      <c r="AW815" s="114"/>
      <c r="AX815" s="115"/>
      <c r="AY815" s="116"/>
      <c r="AZ815" s="115"/>
      <c r="BA815" s="116"/>
      <c r="BB815" s="116"/>
      <c r="BC815" s="116"/>
      <c r="BP815" s="117"/>
      <c r="BQ815" s="117"/>
      <c r="BU815" s="117"/>
      <c r="BW815" s="118"/>
      <c r="BY815" s="119"/>
      <c r="BZ815" s="119"/>
      <c r="CA815" s="120"/>
      <c r="CU815" s="120"/>
      <c r="CV815" s="121"/>
      <c r="CW815" s="120"/>
      <c r="CX815" s="122"/>
    </row>
    <row r="816" ht="15.75" customHeight="1">
      <c r="B816" s="111"/>
      <c r="E816" s="112"/>
      <c r="AA816" s="113"/>
      <c r="AV816" s="114"/>
      <c r="AW816" s="114"/>
      <c r="AX816" s="115"/>
      <c r="AY816" s="116"/>
      <c r="AZ816" s="115"/>
      <c r="BA816" s="116"/>
      <c r="BB816" s="116"/>
      <c r="BC816" s="116"/>
      <c r="BP816" s="117"/>
      <c r="BQ816" s="117"/>
      <c r="BU816" s="117"/>
      <c r="BW816" s="118"/>
      <c r="BY816" s="119"/>
      <c r="BZ816" s="119"/>
      <c r="CA816" s="120"/>
      <c r="CU816" s="120"/>
      <c r="CV816" s="121"/>
      <c r="CW816" s="120"/>
      <c r="CX816" s="122"/>
    </row>
    <row r="817" ht="15.75" customHeight="1">
      <c r="B817" s="111"/>
      <c r="E817" s="112"/>
      <c r="AA817" s="113"/>
      <c r="AV817" s="114"/>
      <c r="AW817" s="114"/>
      <c r="AX817" s="115"/>
      <c r="AY817" s="116"/>
      <c r="AZ817" s="115"/>
      <c r="BA817" s="116"/>
      <c r="BB817" s="116"/>
      <c r="BC817" s="116"/>
      <c r="BP817" s="117"/>
      <c r="BQ817" s="117"/>
      <c r="BU817" s="117"/>
      <c r="BW817" s="118"/>
      <c r="BY817" s="119"/>
      <c r="BZ817" s="119"/>
      <c r="CA817" s="120"/>
      <c r="CU817" s="120"/>
      <c r="CV817" s="121"/>
      <c r="CW817" s="120"/>
      <c r="CX817" s="122"/>
    </row>
    <row r="818" ht="15.75" customHeight="1">
      <c r="B818" s="111"/>
      <c r="E818" s="112"/>
      <c r="AA818" s="113"/>
      <c r="AV818" s="114"/>
      <c r="AW818" s="114"/>
      <c r="AX818" s="115"/>
      <c r="AY818" s="116"/>
      <c r="AZ818" s="115"/>
      <c r="BA818" s="116"/>
      <c r="BB818" s="116"/>
      <c r="BC818" s="116"/>
      <c r="BP818" s="117"/>
      <c r="BQ818" s="117"/>
      <c r="BU818" s="117"/>
      <c r="BW818" s="118"/>
      <c r="BY818" s="119"/>
      <c r="BZ818" s="119"/>
      <c r="CA818" s="120"/>
      <c r="CU818" s="120"/>
      <c r="CV818" s="121"/>
      <c r="CW818" s="120"/>
      <c r="CX818" s="122"/>
    </row>
    <row r="819" ht="15.75" customHeight="1">
      <c r="B819" s="111"/>
      <c r="E819" s="112"/>
      <c r="AA819" s="113"/>
      <c r="AV819" s="114"/>
      <c r="AW819" s="114"/>
      <c r="AX819" s="115"/>
      <c r="AY819" s="116"/>
      <c r="AZ819" s="115"/>
      <c r="BA819" s="116"/>
      <c r="BB819" s="116"/>
      <c r="BC819" s="116"/>
      <c r="BP819" s="117"/>
      <c r="BQ819" s="117"/>
      <c r="BU819" s="117"/>
      <c r="BW819" s="118"/>
      <c r="BY819" s="119"/>
      <c r="BZ819" s="119"/>
      <c r="CA819" s="120"/>
      <c r="CU819" s="120"/>
      <c r="CV819" s="121"/>
      <c r="CW819" s="120"/>
      <c r="CX819" s="122"/>
    </row>
    <row r="820" ht="15.75" customHeight="1">
      <c r="B820" s="111"/>
      <c r="E820" s="112"/>
      <c r="AA820" s="113"/>
      <c r="AV820" s="114"/>
      <c r="AW820" s="114"/>
      <c r="AX820" s="115"/>
      <c r="AY820" s="116"/>
      <c r="AZ820" s="115"/>
      <c r="BA820" s="116"/>
      <c r="BB820" s="116"/>
      <c r="BC820" s="116"/>
      <c r="BP820" s="117"/>
      <c r="BQ820" s="117"/>
      <c r="BU820" s="117"/>
      <c r="BW820" s="118"/>
      <c r="BY820" s="119"/>
      <c r="BZ820" s="119"/>
      <c r="CA820" s="120"/>
      <c r="CU820" s="120"/>
      <c r="CV820" s="121"/>
      <c r="CW820" s="120"/>
      <c r="CX820" s="122"/>
    </row>
    <row r="821" ht="15.75" customHeight="1">
      <c r="B821" s="111"/>
      <c r="E821" s="112"/>
      <c r="AA821" s="113"/>
      <c r="AV821" s="114"/>
      <c r="AW821" s="114"/>
      <c r="AX821" s="115"/>
      <c r="AY821" s="116"/>
      <c r="AZ821" s="115"/>
      <c r="BA821" s="116"/>
      <c r="BB821" s="116"/>
      <c r="BC821" s="116"/>
      <c r="BP821" s="117"/>
      <c r="BQ821" s="117"/>
      <c r="BU821" s="117"/>
      <c r="BW821" s="118"/>
      <c r="BY821" s="119"/>
      <c r="BZ821" s="119"/>
      <c r="CA821" s="120"/>
      <c r="CU821" s="120"/>
      <c r="CV821" s="121"/>
      <c r="CW821" s="120"/>
      <c r="CX821" s="122"/>
    </row>
    <row r="822" ht="15.75" customHeight="1">
      <c r="B822" s="111"/>
      <c r="E822" s="112"/>
      <c r="AA822" s="113"/>
      <c r="AV822" s="114"/>
      <c r="AW822" s="114"/>
      <c r="AX822" s="115"/>
      <c r="AY822" s="116"/>
      <c r="AZ822" s="115"/>
      <c r="BA822" s="116"/>
      <c r="BB822" s="116"/>
      <c r="BC822" s="116"/>
      <c r="BP822" s="117"/>
      <c r="BQ822" s="117"/>
      <c r="BU822" s="117"/>
      <c r="BW822" s="118"/>
      <c r="BY822" s="119"/>
      <c r="BZ822" s="119"/>
      <c r="CA822" s="120"/>
      <c r="CU822" s="120"/>
      <c r="CV822" s="121"/>
      <c r="CW822" s="120"/>
      <c r="CX822" s="122"/>
    </row>
    <row r="823" ht="15.75" customHeight="1">
      <c r="B823" s="111"/>
      <c r="E823" s="112"/>
      <c r="AA823" s="113"/>
      <c r="AV823" s="114"/>
      <c r="AW823" s="114"/>
      <c r="AX823" s="115"/>
      <c r="AY823" s="116"/>
      <c r="AZ823" s="115"/>
      <c r="BA823" s="116"/>
      <c r="BB823" s="116"/>
      <c r="BC823" s="116"/>
      <c r="BP823" s="117"/>
      <c r="BQ823" s="117"/>
      <c r="BU823" s="117"/>
      <c r="BW823" s="118"/>
      <c r="BY823" s="119"/>
      <c r="BZ823" s="119"/>
      <c r="CA823" s="120"/>
      <c r="CU823" s="120"/>
      <c r="CV823" s="121"/>
      <c r="CW823" s="120"/>
      <c r="CX823" s="122"/>
    </row>
    <row r="824" ht="15.75" customHeight="1">
      <c r="B824" s="111"/>
      <c r="E824" s="112"/>
      <c r="AA824" s="113"/>
      <c r="AV824" s="114"/>
      <c r="AW824" s="114"/>
      <c r="AX824" s="115"/>
      <c r="AY824" s="116"/>
      <c r="AZ824" s="115"/>
      <c r="BA824" s="116"/>
      <c r="BB824" s="116"/>
      <c r="BC824" s="116"/>
      <c r="BP824" s="117"/>
      <c r="BQ824" s="117"/>
      <c r="BU824" s="117"/>
      <c r="BW824" s="118"/>
      <c r="BY824" s="119"/>
      <c r="BZ824" s="119"/>
      <c r="CA824" s="120"/>
      <c r="CU824" s="120"/>
      <c r="CV824" s="121"/>
      <c r="CW824" s="120"/>
      <c r="CX824" s="122"/>
    </row>
    <row r="825" ht="15.75" customHeight="1">
      <c r="B825" s="111"/>
      <c r="E825" s="112"/>
      <c r="AA825" s="113"/>
      <c r="AV825" s="114"/>
      <c r="AW825" s="114"/>
      <c r="AX825" s="115"/>
      <c r="AY825" s="116"/>
      <c r="AZ825" s="115"/>
      <c r="BA825" s="116"/>
      <c r="BB825" s="116"/>
      <c r="BC825" s="116"/>
      <c r="BP825" s="117"/>
      <c r="BQ825" s="117"/>
      <c r="BU825" s="117"/>
      <c r="BW825" s="118"/>
      <c r="BY825" s="119"/>
      <c r="BZ825" s="119"/>
      <c r="CA825" s="120"/>
      <c r="CU825" s="120"/>
      <c r="CV825" s="121"/>
      <c r="CW825" s="120"/>
      <c r="CX825" s="122"/>
    </row>
    <row r="826" ht="15.75" customHeight="1">
      <c r="B826" s="111"/>
      <c r="E826" s="112"/>
      <c r="AA826" s="113"/>
      <c r="AV826" s="114"/>
      <c r="AW826" s="114"/>
      <c r="AX826" s="115"/>
      <c r="AY826" s="116"/>
      <c r="AZ826" s="115"/>
      <c r="BA826" s="116"/>
      <c r="BB826" s="116"/>
      <c r="BC826" s="116"/>
      <c r="BP826" s="117"/>
      <c r="BQ826" s="117"/>
      <c r="BU826" s="117"/>
      <c r="BW826" s="118"/>
      <c r="BY826" s="119"/>
      <c r="BZ826" s="119"/>
      <c r="CA826" s="120"/>
      <c r="CU826" s="120"/>
      <c r="CV826" s="121"/>
      <c r="CW826" s="120"/>
      <c r="CX826" s="122"/>
    </row>
    <row r="827" ht="15.75" customHeight="1">
      <c r="B827" s="111"/>
      <c r="E827" s="112"/>
      <c r="AA827" s="113"/>
      <c r="AV827" s="114"/>
      <c r="AW827" s="114"/>
      <c r="AX827" s="115"/>
      <c r="AY827" s="116"/>
      <c r="AZ827" s="115"/>
      <c r="BA827" s="116"/>
      <c r="BB827" s="116"/>
      <c r="BC827" s="116"/>
      <c r="BP827" s="117"/>
      <c r="BQ827" s="117"/>
      <c r="BU827" s="117"/>
      <c r="BW827" s="118"/>
      <c r="BY827" s="119"/>
      <c r="BZ827" s="119"/>
      <c r="CA827" s="120"/>
      <c r="CU827" s="120"/>
      <c r="CV827" s="121"/>
      <c r="CW827" s="120"/>
      <c r="CX827" s="122"/>
    </row>
    <row r="828" ht="15.75" customHeight="1">
      <c r="B828" s="111"/>
      <c r="E828" s="112"/>
      <c r="AA828" s="113"/>
      <c r="AV828" s="114"/>
      <c r="AW828" s="114"/>
      <c r="AX828" s="115"/>
      <c r="AY828" s="116"/>
      <c r="AZ828" s="115"/>
      <c r="BA828" s="116"/>
      <c r="BB828" s="116"/>
      <c r="BC828" s="116"/>
      <c r="BP828" s="117"/>
      <c r="BQ828" s="117"/>
      <c r="BU828" s="117"/>
      <c r="BW828" s="118"/>
      <c r="BY828" s="119"/>
      <c r="BZ828" s="119"/>
      <c r="CA828" s="120"/>
      <c r="CU828" s="120"/>
      <c r="CV828" s="121"/>
      <c r="CW828" s="120"/>
      <c r="CX828" s="122"/>
    </row>
    <row r="829" ht="15.75" customHeight="1">
      <c r="B829" s="111"/>
      <c r="E829" s="112"/>
      <c r="AA829" s="113"/>
      <c r="AV829" s="114"/>
      <c r="AW829" s="114"/>
      <c r="AX829" s="115"/>
      <c r="AY829" s="116"/>
      <c r="AZ829" s="115"/>
      <c r="BA829" s="116"/>
      <c r="BB829" s="116"/>
      <c r="BC829" s="116"/>
      <c r="BP829" s="117"/>
      <c r="BQ829" s="117"/>
      <c r="BU829" s="117"/>
      <c r="BW829" s="118"/>
      <c r="BY829" s="119"/>
      <c r="BZ829" s="119"/>
      <c r="CA829" s="120"/>
      <c r="CU829" s="120"/>
      <c r="CV829" s="121"/>
      <c r="CW829" s="120"/>
      <c r="CX829" s="122"/>
    </row>
    <row r="830" ht="15.75" customHeight="1">
      <c r="B830" s="111"/>
      <c r="E830" s="112"/>
      <c r="AA830" s="113"/>
      <c r="AV830" s="114"/>
      <c r="AW830" s="114"/>
      <c r="AX830" s="115"/>
      <c r="AY830" s="116"/>
      <c r="AZ830" s="115"/>
      <c r="BA830" s="116"/>
      <c r="BB830" s="116"/>
      <c r="BC830" s="116"/>
      <c r="BP830" s="117"/>
      <c r="BQ830" s="117"/>
      <c r="BU830" s="117"/>
      <c r="BW830" s="118"/>
      <c r="BY830" s="119"/>
      <c r="BZ830" s="119"/>
      <c r="CA830" s="120"/>
      <c r="CU830" s="120"/>
      <c r="CV830" s="121"/>
      <c r="CW830" s="120"/>
      <c r="CX830" s="122"/>
    </row>
    <row r="831" ht="15.75" customHeight="1">
      <c r="B831" s="111"/>
      <c r="E831" s="112"/>
      <c r="AA831" s="113"/>
      <c r="AV831" s="114"/>
      <c r="AW831" s="114"/>
      <c r="AX831" s="115"/>
      <c r="AY831" s="116"/>
      <c r="AZ831" s="115"/>
      <c r="BA831" s="116"/>
      <c r="BB831" s="116"/>
      <c r="BC831" s="116"/>
      <c r="BP831" s="117"/>
      <c r="BQ831" s="117"/>
      <c r="BU831" s="117"/>
      <c r="BW831" s="118"/>
      <c r="BY831" s="119"/>
      <c r="BZ831" s="119"/>
      <c r="CA831" s="120"/>
      <c r="CU831" s="120"/>
      <c r="CV831" s="121"/>
      <c r="CW831" s="120"/>
      <c r="CX831" s="122"/>
    </row>
    <row r="832" ht="15.75" customHeight="1">
      <c r="B832" s="111"/>
      <c r="E832" s="112"/>
      <c r="AA832" s="113"/>
      <c r="AV832" s="114"/>
      <c r="AW832" s="114"/>
      <c r="AX832" s="115"/>
      <c r="AY832" s="116"/>
      <c r="AZ832" s="115"/>
      <c r="BA832" s="116"/>
      <c r="BB832" s="116"/>
      <c r="BC832" s="116"/>
      <c r="BP832" s="117"/>
      <c r="BQ832" s="117"/>
      <c r="BU832" s="117"/>
      <c r="BW832" s="118"/>
      <c r="BY832" s="119"/>
      <c r="BZ832" s="119"/>
      <c r="CA832" s="120"/>
      <c r="CU832" s="120"/>
      <c r="CV832" s="121"/>
      <c r="CW832" s="120"/>
      <c r="CX832" s="122"/>
    </row>
    <row r="833" ht="15.75" customHeight="1">
      <c r="B833" s="111"/>
      <c r="E833" s="112"/>
      <c r="AA833" s="113"/>
      <c r="AV833" s="114"/>
      <c r="AW833" s="114"/>
      <c r="AX833" s="115"/>
      <c r="AY833" s="116"/>
      <c r="AZ833" s="115"/>
      <c r="BA833" s="116"/>
      <c r="BB833" s="116"/>
      <c r="BC833" s="116"/>
      <c r="BP833" s="117"/>
      <c r="BQ833" s="117"/>
      <c r="BU833" s="117"/>
      <c r="BW833" s="118"/>
      <c r="BY833" s="119"/>
      <c r="BZ833" s="119"/>
      <c r="CA833" s="120"/>
      <c r="CU833" s="120"/>
      <c r="CV833" s="121"/>
      <c r="CW833" s="120"/>
      <c r="CX833" s="122"/>
    </row>
    <row r="834" ht="15.75" customHeight="1">
      <c r="B834" s="111"/>
      <c r="E834" s="112"/>
      <c r="AA834" s="113"/>
      <c r="AV834" s="114"/>
      <c r="AW834" s="114"/>
      <c r="AX834" s="115"/>
      <c r="AY834" s="116"/>
      <c r="AZ834" s="115"/>
      <c r="BA834" s="116"/>
      <c r="BB834" s="116"/>
      <c r="BC834" s="116"/>
      <c r="BP834" s="117"/>
      <c r="BQ834" s="117"/>
      <c r="BU834" s="117"/>
      <c r="BW834" s="118"/>
      <c r="BY834" s="119"/>
      <c r="BZ834" s="119"/>
      <c r="CA834" s="120"/>
      <c r="CU834" s="120"/>
      <c r="CV834" s="121"/>
      <c r="CW834" s="120"/>
      <c r="CX834" s="122"/>
    </row>
    <row r="835" ht="15.75" customHeight="1">
      <c r="B835" s="111"/>
      <c r="E835" s="112"/>
      <c r="AA835" s="113"/>
      <c r="AV835" s="114"/>
      <c r="AW835" s="114"/>
      <c r="AX835" s="115"/>
      <c r="AY835" s="116"/>
      <c r="AZ835" s="115"/>
      <c r="BA835" s="116"/>
      <c r="BB835" s="116"/>
      <c r="BC835" s="116"/>
      <c r="BP835" s="117"/>
      <c r="BQ835" s="117"/>
      <c r="BU835" s="117"/>
      <c r="BW835" s="118"/>
      <c r="BY835" s="119"/>
      <c r="BZ835" s="119"/>
      <c r="CA835" s="120"/>
      <c r="CU835" s="120"/>
      <c r="CV835" s="121"/>
      <c r="CW835" s="120"/>
      <c r="CX835" s="122"/>
    </row>
    <row r="836" ht="15.75" customHeight="1">
      <c r="B836" s="111"/>
      <c r="E836" s="112"/>
      <c r="AA836" s="113"/>
      <c r="AV836" s="114"/>
      <c r="AW836" s="114"/>
      <c r="AX836" s="115"/>
      <c r="AY836" s="116"/>
      <c r="AZ836" s="115"/>
      <c r="BA836" s="116"/>
      <c r="BB836" s="116"/>
      <c r="BC836" s="116"/>
      <c r="BP836" s="117"/>
      <c r="BQ836" s="117"/>
      <c r="BU836" s="117"/>
      <c r="BW836" s="118"/>
      <c r="BY836" s="119"/>
      <c r="BZ836" s="119"/>
      <c r="CA836" s="120"/>
      <c r="CU836" s="120"/>
      <c r="CV836" s="121"/>
      <c r="CW836" s="120"/>
      <c r="CX836" s="122"/>
    </row>
    <row r="837" ht="15.75" customHeight="1">
      <c r="B837" s="111"/>
      <c r="E837" s="112"/>
      <c r="AA837" s="113"/>
      <c r="AV837" s="114"/>
      <c r="AW837" s="114"/>
      <c r="AX837" s="115"/>
      <c r="AY837" s="116"/>
      <c r="AZ837" s="115"/>
      <c r="BA837" s="116"/>
      <c r="BB837" s="116"/>
      <c r="BC837" s="116"/>
      <c r="BP837" s="117"/>
      <c r="BQ837" s="117"/>
      <c r="BU837" s="117"/>
      <c r="BW837" s="118"/>
      <c r="BY837" s="119"/>
      <c r="BZ837" s="119"/>
      <c r="CA837" s="120"/>
      <c r="CU837" s="120"/>
      <c r="CV837" s="121"/>
      <c r="CW837" s="120"/>
      <c r="CX837" s="122"/>
    </row>
    <row r="838" ht="15.75" customHeight="1">
      <c r="B838" s="111"/>
      <c r="E838" s="112"/>
      <c r="AA838" s="113"/>
      <c r="AV838" s="114"/>
      <c r="AW838" s="114"/>
      <c r="AX838" s="115"/>
      <c r="AY838" s="116"/>
      <c r="AZ838" s="115"/>
      <c r="BA838" s="116"/>
      <c r="BB838" s="116"/>
      <c r="BC838" s="116"/>
      <c r="BP838" s="117"/>
      <c r="BQ838" s="117"/>
      <c r="BU838" s="117"/>
      <c r="BW838" s="118"/>
      <c r="BY838" s="119"/>
      <c r="BZ838" s="119"/>
      <c r="CA838" s="120"/>
      <c r="CU838" s="120"/>
      <c r="CV838" s="121"/>
      <c r="CW838" s="120"/>
      <c r="CX838" s="122"/>
    </row>
    <row r="839" ht="15.75" customHeight="1">
      <c r="B839" s="111"/>
      <c r="E839" s="112"/>
      <c r="AA839" s="113"/>
      <c r="AV839" s="114"/>
      <c r="AW839" s="114"/>
      <c r="AX839" s="115"/>
      <c r="AY839" s="116"/>
      <c r="AZ839" s="115"/>
      <c r="BA839" s="116"/>
      <c r="BB839" s="116"/>
      <c r="BC839" s="116"/>
      <c r="BP839" s="117"/>
      <c r="BQ839" s="117"/>
      <c r="BU839" s="117"/>
      <c r="BW839" s="118"/>
      <c r="BY839" s="119"/>
      <c r="BZ839" s="119"/>
      <c r="CA839" s="120"/>
      <c r="CU839" s="120"/>
      <c r="CV839" s="121"/>
      <c r="CW839" s="120"/>
      <c r="CX839" s="122"/>
    </row>
    <row r="840" ht="15.75" customHeight="1">
      <c r="B840" s="111"/>
      <c r="E840" s="112"/>
      <c r="AA840" s="113"/>
      <c r="AV840" s="114"/>
      <c r="AW840" s="114"/>
      <c r="AX840" s="115"/>
      <c r="AY840" s="116"/>
      <c r="AZ840" s="115"/>
      <c r="BA840" s="116"/>
      <c r="BB840" s="116"/>
      <c r="BC840" s="116"/>
      <c r="BP840" s="117"/>
      <c r="BQ840" s="117"/>
      <c r="BU840" s="117"/>
      <c r="BW840" s="118"/>
      <c r="BY840" s="119"/>
      <c r="BZ840" s="119"/>
      <c r="CA840" s="120"/>
      <c r="CU840" s="120"/>
      <c r="CV840" s="121"/>
      <c r="CW840" s="120"/>
      <c r="CX840" s="122"/>
    </row>
    <row r="841" ht="15.75" customHeight="1">
      <c r="B841" s="111"/>
      <c r="E841" s="112"/>
      <c r="AA841" s="113"/>
      <c r="AV841" s="114"/>
      <c r="AW841" s="114"/>
      <c r="AX841" s="115"/>
      <c r="AY841" s="116"/>
      <c r="AZ841" s="115"/>
      <c r="BA841" s="116"/>
      <c r="BB841" s="116"/>
      <c r="BC841" s="116"/>
      <c r="BP841" s="117"/>
      <c r="BQ841" s="117"/>
      <c r="BU841" s="117"/>
      <c r="BW841" s="118"/>
      <c r="BY841" s="119"/>
      <c r="BZ841" s="119"/>
      <c r="CA841" s="120"/>
      <c r="CU841" s="120"/>
      <c r="CV841" s="121"/>
      <c r="CW841" s="120"/>
      <c r="CX841" s="122"/>
    </row>
    <row r="842" ht="15.75" customHeight="1">
      <c r="B842" s="111"/>
      <c r="E842" s="112"/>
      <c r="AA842" s="113"/>
      <c r="AV842" s="114"/>
      <c r="AW842" s="114"/>
      <c r="AX842" s="115"/>
      <c r="AY842" s="116"/>
      <c r="AZ842" s="115"/>
      <c r="BA842" s="116"/>
      <c r="BB842" s="116"/>
      <c r="BC842" s="116"/>
      <c r="BP842" s="117"/>
      <c r="BQ842" s="117"/>
      <c r="BU842" s="117"/>
      <c r="BW842" s="118"/>
      <c r="BY842" s="119"/>
      <c r="BZ842" s="119"/>
      <c r="CA842" s="120"/>
      <c r="CU842" s="120"/>
      <c r="CV842" s="121"/>
      <c r="CW842" s="120"/>
      <c r="CX842" s="122"/>
    </row>
    <row r="843" ht="15.75" customHeight="1">
      <c r="B843" s="111"/>
      <c r="E843" s="112"/>
      <c r="AA843" s="113"/>
      <c r="AV843" s="114"/>
      <c r="AW843" s="114"/>
      <c r="AX843" s="115"/>
      <c r="AY843" s="116"/>
      <c r="AZ843" s="115"/>
      <c r="BA843" s="116"/>
      <c r="BB843" s="116"/>
      <c r="BC843" s="116"/>
      <c r="BP843" s="117"/>
      <c r="BQ843" s="117"/>
      <c r="BU843" s="117"/>
      <c r="BW843" s="118"/>
      <c r="BY843" s="119"/>
      <c r="BZ843" s="119"/>
      <c r="CA843" s="120"/>
      <c r="CU843" s="120"/>
      <c r="CV843" s="121"/>
      <c r="CW843" s="120"/>
      <c r="CX843" s="122"/>
    </row>
    <row r="844" ht="15.75" customHeight="1">
      <c r="B844" s="111"/>
      <c r="E844" s="112"/>
      <c r="AA844" s="113"/>
      <c r="AV844" s="114"/>
      <c r="AW844" s="114"/>
      <c r="AX844" s="115"/>
      <c r="AY844" s="116"/>
      <c r="AZ844" s="115"/>
      <c r="BA844" s="116"/>
      <c r="BB844" s="116"/>
      <c r="BC844" s="116"/>
      <c r="BP844" s="117"/>
      <c r="BQ844" s="117"/>
      <c r="BU844" s="117"/>
      <c r="BW844" s="118"/>
      <c r="BY844" s="119"/>
      <c r="BZ844" s="119"/>
      <c r="CA844" s="120"/>
      <c r="CU844" s="120"/>
      <c r="CV844" s="121"/>
      <c r="CW844" s="120"/>
      <c r="CX844" s="122"/>
    </row>
    <row r="845" ht="15.75" customHeight="1">
      <c r="B845" s="111"/>
      <c r="E845" s="112"/>
      <c r="AA845" s="113"/>
      <c r="AV845" s="114"/>
      <c r="AW845" s="114"/>
      <c r="AX845" s="115"/>
      <c r="AY845" s="116"/>
      <c r="AZ845" s="115"/>
      <c r="BA845" s="116"/>
      <c r="BB845" s="116"/>
      <c r="BC845" s="116"/>
      <c r="BP845" s="117"/>
      <c r="BQ845" s="117"/>
      <c r="BU845" s="117"/>
      <c r="BW845" s="118"/>
      <c r="BY845" s="119"/>
      <c r="BZ845" s="119"/>
      <c r="CA845" s="120"/>
      <c r="CU845" s="120"/>
      <c r="CV845" s="121"/>
      <c r="CW845" s="120"/>
      <c r="CX845" s="122"/>
    </row>
    <row r="846" ht="15.75" customHeight="1">
      <c r="B846" s="111"/>
      <c r="E846" s="112"/>
      <c r="AA846" s="113"/>
      <c r="AV846" s="114"/>
      <c r="AW846" s="114"/>
      <c r="AX846" s="115"/>
      <c r="AY846" s="116"/>
      <c r="AZ846" s="115"/>
      <c r="BA846" s="116"/>
      <c r="BB846" s="116"/>
      <c r="BC846" s="116"/>
      <c r="BP846" s="117"/>
      <c r="BQ846" s="117"/>
      <c r="BU846" s="117"/>
      <c r="BW846" s="118"/>
      <c r="BY846" s="119"/>
      <c r="BZ846" s="119"/>
      <c r="CA846" s="120"/>
      <c r="CU846" s="120"/>
      <c r="CV846" s="121"/>
      <c r="CW846" s="120"/>
      <c r="CX846" s="122"/>
    </row>
    <row r="847" ht="15.75" customHeight="1">
      <c r="B847" s="111"/>
      <c r="E847" s="112"/>
      <c r="AA847" s="113"/>
      <c r="AV847" s="114"/>
      <c r="AW847" s="114"/>
      <c r="AX847" s="115"/>
      <c r="AY847" s="116"/>
      <c r="AZ847" s="115"/>
      <c r="BA847" s="116"/>
      <c r="BB847" s="116"/>
      <c r="BC847" s="116"/>
      <c r="BP847" s="117"/>
      <c r="BQ847" s="117"/>
      <c r="BU847" s="117"/>
      <c r="BW847" s="118"/>
      <c r="BY847" s="119"/>
      <c r="BZ847" s="119"/>
      <c r="CA847" s="120"/>
      <c r="CU847" s="120"/>
      <c r="CV847" s="121"/>
      <c r="CW847" s="120"/>
      <c r="CX847" s="122"/>
    </row>
    <row r="848" ht="15.75" customHeight="1">
      <c r="B848" s="111"/>
      <c r="E848" s="112"/>
      <c r="AA848" s="113"/>
      <c r="AV848" s="114"/>
      <c r="AW848" s="114"/>
      <c r="AX848" s="115"/>
      <c r="AY848" s="116"/>
      <c r="AZ848" s="115"/>
      <c r="BA848" s="116"/>
      <c r="BB848" s="116"/>
      <c r="BC848" s="116"/>
      <c r="BP848" s="117"/>
      <c r="BQ848" s="117"/>
      <c r="BU848" s="117"/>
      <c r="BW848" s="118"/>
      <c r="BY848" s="119"/>
      <c r="BZ848" s="119"/>
      <c r="CA848" s="120"/>
      <c r="CU848" s="120"/>
      <c r="CV848" s="121"/>
      <c r="CW848" s="120"/>
      <c r="CX848" s="122"/>
    </row>
    <row r="849" ht="15.75" customHeight="1">
      <c r="B849" s="111"/>
      <c r="E849" s="112"/>
      <c r="AA849" s="113"/>
      <c r="AV849" s="114"/>
      <c r="AW849" s="114"/>
      <c r="AX849" s="115"/>
      <c r="AY849" s="116"/>
      <c r="AZ849" s="115"/>
      <c r="BA849" s="116"/>
      <c r="BB849" s="116"/>
      <c r="BC849" s="116"/>
      <c r="BP849" s="117"/>
      <c r="BQ849" s="117"/>
      <c r="BU849" s="117"/>
      <c r="BW849" s="118"/>
      <c r="BY849" s="119"/>
      <c r="BZ849" s="119"/>
      <c r="CA849" s="120"/>
      <c r="CU849" s="120"/>
      <c r="CV849" s="121"/>
      <c r="CW849" s="120"/>
      <c r="CX849" s="122"/>
    </row>
    <row r="850" ht="15.75" customHeight="1">
      <c r="B850" s="111"/>
      <c r="E850" s="112"/>
      <c r="AA850" s="113"/>
      <c r="AV850" s="114"/>
      <c r="AW850" s="114"/>
      <c r="AX850" s="115"/>
      <c r="AY850" s="116"/>
      <c r="AZ850" s="115"/>
      <c r="BA850" s="116"/>
      <c r="BB850" s="116"/>
      <c r="BC850" s="116"/>
      <c r="BP850" s="117"/>
      <c r="BQ850" s="117"/>
      <c r="BU850" s="117"/>
      <c r="BW850" s="118"/>
      <c r="BY850" s="119"/>
      <c r="BZ850" s="119"/>
      <c r="CA850" s="120"/>
      <c r="CU850" s="120"/>
      <c r="CV850" s="121"/>
      <c r="CW850" s="120"/>
      <c r="CX850" s="122"/>
    </row>
    <row r="851" ht="15.75" customHeight="1">
      <c r="B851" s="111"/>
      <c r="E851" s="112"/>
      <c r="AA851" s="113"/>
      <c r="AV851" s="114"/>
      <c r="AW851" s="114"/>
      <c r="AX851" s="115"/>
      <c r="AY851" s="116"/>
      <c r="AZ851" s="115"/>
      <c r="BA851" s="116"/>
      <c r="BB851" s="116"/>
      <c r="BC851" s="116"/>
      <c r="BP851" s="117"/>
      <c r="BQ851" s="117"/>
      <c r="BU851" s="117"/>
      <c r="BW851" s="118"/>
      <c r="BY851" s="119"/>
      <c r="BZ851" s="119"/>
      <c r="CA851" s="120"/>
      <c r="CU851" s="120"/>
      <c r="CV851" s="121"/>
      <c r="CW851" s="120"/>
      <c r="CX851" s="122"/>
    </row>
    <row r="852" ht="15.75" customHeight="1">
      <c r="B852" s="111"/>
      <c r="E852" s="112"/>
      <c r="AA852" s="113"/>
      <c r="AV852" s="114"/>
      <c r="AW852" s="114"/>
      <c r="AX852" s="115"/>
      <c r="AY852" s="116"/>
      <c r="AZ852" s="115"/>
      <c r="BA852" s="116"/>
      <c r="BB852" s="116"/>
      <c r="BC852" s="116"/>
      <c r="BP852" s="117"/>
      <c r="BQ852" s="117"/>
      <c r="BU852" s="117"/>
      <c r="BW852" s="118"/>
      <c r="BY852" s="119"/>
      <c r="BZ852" s="119"/>
      <c r="CA852" s="120"/>
      <c r="CU852" s="120"/>
      <c r="CV852" s="121"/>
      <c r="CW852" s="120"/>
      <c r="CX852" s="122"/>
    </row>
    <row r="853" ht="15.75" customHeight="1">
      <c r="B853" s="111"/>
      <c r="E853" s="112"/>
      <c r="AA853" s="113"/>
      <c r="AV853" s="114"/>
      <c r="AW853" s="114"/>
      <c r="AX853" s="115"/>
      <c r="AY853" s="116"/>
      <c r="AZ853" s="115"/>
      <c r="BA853" s="116"/>
      <c r="BB853" s="116"/>
      <c r="BC853" s="116"/>
      <c r="BP853" s="117"/>
      <c r="BQ853" s="117"/>
      <c r="BU853" s="117"/>
      <c r="BW853" s="118"/>
      <c r="BY853" s="119"/>
      <c r="BZ853" s="119"/>
      <c r="CA853" s="120"/>
      <c r="CU853" s="120"/>
      <c r="CV853" s="121"/>
      <c r="CW853" s="120"/>
      <c r="CX853" s="122"/>
    </row>
    <row r="854" ht="15.75" customHeight="1">
      <c r="B854" s="111"/>
      <c r="E854" s="112"/>
      <c r="AA854" s="113"/>
      <c r="AV854" s="114"/>
      <c r="AW854" s="114"/>
      <c r="AX854" s="115"/>
      <c r="AY854" s="116"/>
      <c r="AZ854" s="115"/>
      <c r="BA854" s="116"/>
      <c r="BB854" s="116"/>
      <c r="BC854" s="116"/>
      <c r="BP854" s="117"/>
      <c r="BQ854" s="117"/>
      <c r="BU854" s="117"/>
      <c r="BW854" s="118"/>
      <c r="BY854" s="119"/>
      <c r="BZ854" s="119"/>
      <c r="CA854" s="120"/>
      <c r="CU854" s="120"/>
      <c r="CV854" s="121"/>
      <c r="CW854" s="120"/>
      <c r="CX854" s="122"/>
    </row>
    <row r="855" ht="15.75" customHeight="1">
      <c r="B855" s="111"/>
      <c r="E855" s="112"/>
      <c r="AA855" s="113"/>
      <c r="AV855" s="114"/>
      <c r="AW855" s="114"/>
      <c r="AX855" s="115"/>
      <c r="AY855" s="116"/>
      <c r="AZ855" s="115"/>
      <c r="BA855" s="116"/>
      <c r="BB855" s="116"/>
      <c r="BC855" s="116"/>
      <c r="BP855" s="117"/>
      <c r="BQ855" s="117"/>
      <c r="BU855" s="117"/>
      <c r="BW855" s="118"/>
      <c r="BY855" s="119"/>
      <c r="BZ855" s="119"/>
      <c r="CA855" s="120"/>
      <c r="CU855" s="120"/>
      <c r="CV855" s="121"/>
      <c r="CW855" s="120"/>
      <c r="CX855" s="122"/>
    </row>
    <row r="856" ht="15.75" customHeight="1">
      <c r="B856" s="111"/>
      <c r="E856" s="112"/>
      <c r="AA856" s="113"/>
      <c r="AV856" s="114"/>
      <c r="AW856" s="114"/>
      <c r="AX856" s="115"/>
      <c r="AY856" s="116"/>
      <c r="AZ856" s="115"/>
      <c r="BA856" s="116"/>
      <c r="BB856" s="116"/>
      <c r="BC856" s="116"/>
      <c r="BP856" s="117"/>
      <c r="BQ856" s="117"/>
      <c r="BU856" s="117"/>
      <c r="BW856" s="118"/>
      <c r="BY856" s="119"/>
      <c r="BZ856" s="119"/>
      <c r="CA856" s="120"/>
      <c r="CU856" s="120"/>
      <c r="CV856" s="121"/>
      <c r="CW856" s="120"/>
      <c r="CX856" s="122"/>
    </row>
    <row r="857" ht="15.75" customHeight="1">
      <c r="B857" s="111"/>
      <c r="E857" s="112"/>
      <c r="AA857" s="113"/>
      <c r="AV857" s="114"/>
      <c r="AW857" s="114"/>
      <c r="AX857" s="115"/>
      <c r="AY857" s="116"/>
      <c r="AZ857" s="115"/>
      <c r="BA857" s="116"/>
      <c r="BB857" s="116"/>
      <c r="BC857" s="116"/>
      <c r="BP857" s="117"/>
      <c r="BQ857" s="117"/>
      <c r="BU857" s="117"/>
      <c r="BW857" s="118"/>
      <c r="BY857" s="119"/>
      <c r="BZ857" s="119"/>
      <c r="CA857" s="120"/>
      <c r="CU857" s="120"/>
      <c r="CV857" s="121"/>
      <c r="CW857" s="120"/>
      <c r="CX857" s="122"/>
    </row>
    <row r="858" ht="15.75" customHeight="1">
      <c r="B858" s="111"/>
      <c r="E858" s="112"/>
      <c r="AA858" s="113"/>
      <c r="AV858" s="114"/>
      <c r="AW858" s="114"/>
      <c r="AX858" s="115"/>
      <c r="AY858" s="116"/>
      <c r="AZ858" s="115"/>
      <c r="BA858" s="116"/>
      <c r="BB858" s="116"/>
      <c r="BC858" s="116"/>
      <c r="BP858" s="117"/>
      <c r="BQ858" s="117"/>
      <c r="BU858" s="117"/>
      <c r="BW858" s="118"/>
      <c r="BY858" s="119"/>
      <c r="BZ858" s="119"/>
      <c r="CA858" s="120"/>
      <c r="CU858" s="120"/>
      <c r="CV858" s="121"/>
      <c r="CW858" s="120"/>
      <c r="CX858" s="122"/>
    </row>
    <row r="859" ht="15.75" customHeight="1">
      <c r="B859" s="111"/>
      <c r="E859" s="112"/>
      <c r="AA859" s="113"/>
      <c r="AV859" s="114"/>
      <c r="AW859" s="114"/>
      <c r="AX859" s="115"/>
      <c r="AY859" s="116"/>
      <c r="AZ859" s="115"/>
      <c r="BA859" s="116"/>
      <c r="BB859" s="116"/>
      <c r="BC859" s="116"/>
      <c r="BP859" s="117"/>
      <c r="BQ859" s="117"/>
      <c r="BU859" s="117"/>
      <c r="BW859" s="118"/>
      <c r="BY859" s="119"/>
      <c r="BZ859" s="119"/>
      <c r="CA859" s="120"/>
      <c r="CU859" s="120"/>
      <c r="CV859" s="121"/>
      <c r="CW859" s="120"/>
      <c r="CX859" s="122"/>
    </row>
    <row r="860" ht="15.75" customHeight="1">
      <c r="B860" s="111"/>
      <c r="E860" s="112"/>
      <c r="AA860" s="113"/>
      <c r="AV860" s="114"/>
      <c r="AW860" s="114"/>
      <c r="AX860" s="115"/>
      <c r="AY860" s="116"/>
      <c r="AZ860" s="115"/>
      <c r="BA860" s="116"/>
      <c r="BB860" s="116"/>
      <c r="BC860" s="116"/>
      <c r="BP860" s="117"/>
      <c r="BQ860" s="117"/>
      <c r="BU860" s="117"/>
      <c r="BW860" s="118"/>
      <c r="BY860" s="119"/>
      <c r="BZ860" s="119"/>
      <c r="CA860" s="120"/>
      <c r="CU860" s="120"/>
      <c r="CV860" s="121"/>
      <c r="CW860" s="120"/>
      <c r="CX860" s="122"/>
    </row>
    <row r="861" ht="15.75" customHeight="1">
      <c r="B861" s="111"/>
      <c r="E861" s="112"/>
      <c r="AA861" s="113"/>
      <c r="AV861" s="114"/>
      <c r="AW861" s="114"/>
      <c r="AX861" s="115"/>
      <c r="AY861" s="116"/>
      <c r="AZ861" s="115"/>
      <c r="BA861" s="116"/>
      <c r="BB861" s="116"/>
      <c r="BC861" s="116"/>
      <c r="BP861" s="117"/>
      <c r="BQ861" s="117"/>
      <c r="BU861" s="117"/>
      <c r="BW861" s="118"/>
      <c r="BY861" s="119"/>
      <c r="BZ861" s="119"/>
      <c r="CA861" s="120"/>
      <c r="CU861" s="120"/>
      <c r="CV861" s="121"/>
      <c r="CW861" s="120"/>
      <c r="CX861" s="122"/>
    </row>
    <row r="862" ht="15.75" customHeight="1">
      <c r="B862" s="111"/>
      <c r="E862" s="112"/>
      <c r="AA862" s="113"/>
      <c r="AV862" s="114"/>
      <c r="AW862" s="114"/>
      <c r="AX862" s="115"/>
      <c r="AY862" s="116"/>
      <c r="AZ862" s="115"/>
      <c r="BA862" s="116"/>
      <c r="BB862" s="116"/>
      <c r="BC862" s="116"/>
      <c r="BP862" s="117"/>
      <c r="BQ862" s="117"/>
      <c r="BU862" s="117"/>
      <c r="BW862" s="118"/>
      <c r="BY862" s="119"/>
      <c r="BZ862" s="119"/>
      <c r="CA862" s="120"/>
      <c r="CU862" s="120"/>
      <c r="CV862" s="121"/>
      <c r="CW862" s="120"/>
      <c r="CX862" s="122"/>
    </row>
    <row r="863" ht="15.75" customHeight="1">
      <c r="B863" s="111"/>
      <c r="E863" s="112"/>
      <c r="AA863" s="113"/>
      <c r="AV863" s="114"/>
      <c r="AW863" s="114"/>
      <c r="AX863" s="115"/>
      <c r="AY863" s="116"/>
      <c r="AZ863" s="115"/>
      <c r="BA863" s="116"/>
      <c r="BB863" s="116"/>
      <c r="BC863" s="116"/>
      <c r="BP863" s="117"/>
      <c r="BQ863" s="117"/>
      <c r="BU863" s="117"/>
      <c r="BW863" s="118"/>
      <c r="BY863" s="119"/>
      <c r="BZ863" s="119"/>
      <c r="CA863" s="120"/>
      <c r="CU863" s="120"/>
      <c r="CV863" s="121"/>
      <c r="CW863" s="120"/>
      <c r="CX863" s="122"/>
    </row>
    <row r="864" ht="15.75" customHeight="1">
      <c r="B864" s="111"/>
      <c r="E864" s="112"/>
      <c r="AA864" s="113"/>
      <c r="AV864" s="114"/>
      <c r="AW864" s="114"/>
      <c r="AX864" s="115"/>
      <c r="AY864" s="116"/>
      <c r="AZ864" s="115"/>
      <c r="BA864" s="116"/>
      <c r="BB864" s="116"/>
      <c r="BC864" s="116"/>
      <c r="BP864" s="117"/>
      <c r="BQ864" s="117"/>
      <c r="BU864" s="117"/>
      <c r="BW864" s="118"/>
      <c r="BY864" s="119"/>
      <c r="BZ864" s="119"/>
      <c r="CA864" s="120"/>
      <c r="CU864" s="120"/>
      <c r="CV864" s="121"/>
      <c r="CW864" s="120"/>
      <c r="CX864" s="122"/>
    </row>
    <row r="865" ht="15.75" customHeight="1">
      <c r="B865" s="111"/>
      <c r="E865" s="112"/>
      <c r="AA865" s="113"/>
      <c r="AV865" s="114"/>
      <c r="AW865" s="114"/>
      <c r="AX865" s="115"/>
      <c r="AY865" s="116"/>
      <c r="AZ865" s="115"/>
      <c r="BA865" s="116"/>
      <c r="BB865" s="116"/>
      <c r="BC865" s="116"/>
      <c r="BP865" s="117"/>
      <c r="BQ865" s="117"/>
      <c r="BU865" s="117"/>
      <c r="BW865" s="118"/>
      <c r="BY865" s="119"/>
      <c r="BZ865" s="119"/>
      <c r="CA865" s="120"/>
      <c r="CU865" s="120"/>
      <c r="CV865" s="121"/>
      <c r="CW865" s="120"/>
      <c r="CX865" s="122"/>
    </row>
    <row r="866" ht="15.75" customHeight="1">
      <c r="B866" s="111"/>
      <c r="E866" s="112"/>
      <c r="AA866" s="113"/>
      <c r="AV866" s="114"/>
      <c r="AW866" s="114"/>
      <c r="AX866" s="115"/>
      <c r="AY866" s="116"/>
      <c r="AZ866" s="115"/>
      <c r="BA866" s="116"/>
      <c r="BB866" s="116"/>
      <c r="BC866" s="116"/>
      <c r="BP866" s="117"/>
      <c r="BQ866" s="117"/>
      <c r="BU866" s="117"/>
      <c r="BW866" s="118"/>
      <c r="BY866" s="119"/>
      <c r="BZ866" s="119"/>
      <c r="CA866" s="120"/>
      <c r="CU866" s="120"/>
      <c r="CV866" s="121"/>
      <c r="CW866" s="120"/>
      <c r="CX866" s="122"/>
    </row>
    <row r="867" ht="15.75" customHeight="1">
      <c r="B867" s="111"/>
      <c r="E867" s="112"/>
      <c r="AA867" s="113"/>
      <c r="AV867" s="114"/>
      <c r="AW867" s="114"/>
      <c r="AX867" s="115"/>
      <c r="AY867" s="116"/>
      <c r="AZ867" s="115"/>
      <c r="BA867" s="116"/>
      <c r="BB867" s="116"/>
      <c r="BC867" s="116"/>
      <c r="BP867" s="117"/>
      <c r="BQ867" s="117"/>
      <c r="BU867" s="117"/>
      <c r="BW867" s="118"/>
      <c r="BY867" s="119"/>
      <c r="BZ867" s="119"/>
      <c r="CA867" s="120"/>
      <c r="CU867" s="120"/>
      <c r="CV867" s="121"/>
      <c r="CW867" s="120"/>
      <c r="CX867" s="122"/>
    </row>
    <row r="868" ht="15.75" customHeight="1">
      <c r="B868" s="111"/>
      <c r="E868" s="112"/>
      <c r="AA868" s="113"/>
      <c r="AV868" s="114"/>
      <c r="AW868" s="114"/>
      <c r="AX868" s="115"/>
      <c r="AY868" s="116"/>
      <c r="AZ868" s="115"/>
      <c r="BA868" s="116"/>
      <c r="BB868" s="116"/>
      <c r="BC868" s="116"/>
      <c r="BP868" s="117"/>
      <c r="BQ868" s="117"/>
      <c r="BU868" s="117"/>
      <c r="BW868" s="118"/>
      <c r="BY868" s="119"/>
      <c r="BZ868" s="119"/>
      <c r="CA868" s="120"/>
      <c r="CU868" s="120"/>
      <c r="CV868" s="121"/>
      <c r="CW868" s="120"/>
      <c r="CX868" s="122"/>
    </row>
    <row r="869" ht="15.75" customHeight="1">
      <c r="B869" s="111"/>
      <c r="E869" s="112"/>
      <c r="AA869" s="113"/>
      <c r="AV869" s="114"/>
      <c r="AW869" s="114"/>
      <c r="AX869" s="115"/>
      <c r="AY869" s="116"/>
      <c r="AZ869" s="115"/>
      <c r="BA869" s="116"/>
      <c r="BB869" s="116"/>
      <c r="BC869" s="116"/>
      <c r="BP869" s="117"/>
      <c r="BQ869" s="117"/>
      <c r="BU869" s="117"/>
      <c r="BW869" s="118"/>
      <c r="BY869" s="119"/>
      <c r="BZ869" s="119"/>
      <c r="CA869" s="120"/>
      <c r="CU869" s="120"/>
      <c r="CV869" s="121"/>
      <c r="CW869" s="120"/>
      <c r="CX869" s="122"/>
    </row>
    <row r="870" ht="15.75" customHeight="1">
      <c r="B870" s="111"/>
      <c r="E870" s="112"/>
      <c r="AA870" s="113"/>
      <c r="AV870" s="114"/>
      <c r="AW870" s="114"/>
      <c r="AX870" s="115"/>
      <c r="AY870" s="116"/>
      <c r="AZ870" s="115"/>
      <c r="BA870" s="116"/>
      <c r="BB870" s="116"/>
      <c r="BC870" s="116"/>
      <c r="BP870" s="117"/>
      <c r="BQ870" s="117"/>
      <c r="BU870" s="117"/>
      <c r="BW870" s="118"/>
      <c r="BY870" s="119"/>
      <c r="BZ870" s="119"/>
      <c r="CA870" s="120"/>
      <c r="CU870" s="120"/>
      <c r="CV870" s="121"/>
      <c r="CW870" s="120"/>
      <c r="CX870" s="122"/>
    </row>
    <row r="871" ht="15.75" customHeight="1">
      <c r="B871" s="111"/>
      <c r="E871" s="112"/>
      <c r="AA871" s="113"/>
      <c r="AV871" s="114"/>
      <c r="AW871" s="114"/>
      <c r="AX871" s="115"/>
      <c r="AY871" s="116"/>
      <c r="AZ871" s="115"/>
      <c r="BA871" s="116"/>
      <c r="BB871" s="116"/>
      <c r="BC871" s="116"/>
      <c r="BP871" s="117"/>
      <c r="BQ871" s="117"/>
      <c r="BU871" s="117"/>
      <c r="BW871" s="118"/>
      <c r="BY871" s="119"/>
      <c r="BZ871" s="119"/>
      <c r="CA871" s="120"/>
      <c r="CU871" s="120"/>
      <c r="CV871" s="121"/>
      <c r="CW871" s="120"/>
      <c r="CX871" s="122"/>
    </row>
    <row r="872" ht="15.75" customHeight="1">
      <c r="B872" s="111"/>
      <c r="E872" s="112"/>
      <c r="AA872" s="113"/>
      <c r="AV872" s="114"/>
      <c r="AW872" s="114"/>
      <c r="AX872" s="115"/>
      <c r="AY872" s="116"/>
      <c r="AZ872" s="115"/>
      <c r="BA872" s="116"/>
      <c r="BB872" s="116"/>
      <c r="BC872" s="116"/>
      <c r="BP872" s="117"/>
      <c r="BQ872" s="117"/>
      <c r="BU872" s="117"/>
      <c r="BW872" s="118"/>
      <c r="BY872" s="119"/>
      <c r="BZ872" s="119"/>
      <c r="CA872" s="120"/>
      <c r="CU872" s="120"/>
      <c r="CV872" s="121"/>
      <c r="CW872" s="120"/>
      <c r="CX872" s="122"/>
    </row>
    <row r="873" ht="15.75" customHeight="1">
      <c r="B873" s="111"/>
      <c r="E873" s="112"/>
      <c r="AA873" s="113"/>
      <c r="AV873" s="114"/>
      <c r="AW873" s="114"/>
      <c r="AX873" s="115"/>
      <c r="AY873" s="116"/>
      <c r="AZ873" s="115"/>
      <c r="BA873" s="116"/>
      <c r="BB873" s="116"/>
      <c r="BC873" s="116"/>
      <c r="BP873" s="117"/>
      <c r="BQ873" s="117"/>
      <c r="BU873" s="117"/>
      <c r="BW873" s="118"/>
      <c r="BY873" s="119"/>
      <c r="BZ873" s="119"/>
      <c r="CA873" s="120"/>
      <c r="CU873" s="120"/>
      <c r="CV873" s="121"/>
      <c r="CW873" s="120"/>
      <c r="CX873" s="122"/>
    </row>
    <row r="874" ht="15.75" customHeight="1">
      <c r="B874" s="111"/>
      <c r="E874" s="112"/>
      <c r="AA874" s="113"/>
      <c r="AV874" s="114"/>
      <c r="AW874" s="114"/>
      <c r="AX874" s="115"/>
      <c r="AY874" s="116"/>
      <c r="AZ874" s="115"/>
      <c r="BA874" s="116"/>
      <c r="BB874" s="116"/>
      <c r="BC874" s="116"/>
      <c r="BP874" s="117"/>
      <c r="BQ874" s="117"/>
      <c r="BU874" s="117"/>
      <c r="BW874" s="118"/>
      <c r="BY874" s="119"/>
      <c r="BZ874" s="119"/>
      <c r="CA874" s="120"/>
      <c r="CU874" s="120"/>
      <c r="CV874" s="121"/>
      <c r="CW874" s="120"/>
      <c r="CX874" s="122"/>
    </row>
    <row r="875" ht="15.75" customHeight="1">
      <c r="B875" s="111"/>
      <c r="E875" s="112"/>
      <c r="AA875" s="113"/>
      <c r="AV875" s="114"/>
      <c r="AW875" s="114"/>
      <c r="AX875" s="115"/>
      <c r="AY875" s="116"/>
      <c r="AZ875" s="115"/>
      <c r="BA875" s="116"/>
      <c r="BB875" s="116"/>
      <c r="BC875" s="116"/>
      <c r="BP875" s="117"/>
      <c r="BQ875" s="117"/>
      <c r="BU875" s="117"/>
      <c r="BW875" s="118"/>
      <c r="BY875" s="119"/>
      <c r="BZ875" s="119"/>
      <c r="CA875" s="120"/>
      <c r="CU875" s="120"/>
      <c r="CV875" s="121"/>
      <c r="CW875" s="120"/>
      <c r="CX875" s="122"/>
    </row>
    <row r="876" ht="15.75" customHeight="1">
      <c r="B876" s="111"/>
      <c r="E876" s="112"/>
      <c r="AA876" s="113"/>
      <c r="AV876" s="114"/>
      <c r="AW876" s="114"/>
      <c r="AX876" s="115"/>
      <c r="AY876" s="116"/>
      <c r="AZ876" s="115"/>
      <c r="BA876" s="116"/>
      <c r="BB876" s="116"/>
      <c r="BC876" s="116"/>
      <c r="BP876" s="117"/>
      <c r="BQ876" s="117"/>
      <c r="BU876" s="117"/>
      <c r="BW876" s="118"/>
      <c r="BY876" s="119"/>
      <c r="BZ876" s="119"/>
      <c r="CA876" s="120"/>
      <c r="CU876" s="120"/>
      <c r="CV876" s="121"/>
      <c r="CW876" s="120"/>
      <c r="CX876" s="122"/>
    </row>
    <row r="877" ht="15.75" customHeight="1">
      <c r="B877" s="111"/>
      <c r="E877" s="112"/>
      <c r="AA877" s="113"/>
      <c r="AV877" s="114"/>
      <c r="AW877" s="114"/>
      <c r="AX877" s="115"/>
      <c r="AY877" s="116"/>
      <c r="AZ877" s="115"/>
      <c r="BA877" s="116"/>
      <c r="BB877" s="116"/>
      <c r="BC877" s="116"/>
      <c r="BP877" s="117"/>
      <c r="BQ877" s="117"/>
      <c r="BU877" s="117"/>
      <c r="BW877" s="118"/>
      <c r="BY877" s="119"/>
      <c r="BZ877" s="119"/>
      <c r="CA877" s="120"/>
      <c r="CU877" s="120"/>
      <c r="CV877" s="121"/>
      <c r="CW877" s="120"/>
      <c r="CX877" s="122"/>
    </row>
    <row r="878" ht="15.75" customHeight="1">
      <c r="B878" s="111"/>
      <c r="E878" s="112"/>
      <c r="AA878" s="113"/>
      <c r="AV878" s="114"/>
      <c r="AW878" s="114"/>
      <c r="AX878" s="115"/>
      <c r="AY878" s="116"/>
      <c r="AZ878" s="115"/>
      <c r="BA878" s="116"/>
      <c r="BB878" s="116"/>
      <c r="BC878" s="116"/>
      <c r="BP878" s="117"/>
      <c r="BQ878" s="117"/>
      <c r="BU878" s="117"/>
      <c r="BW878" s="118"/>
      <c r="BY878" s="119"/>
      <c r="BZ878" s="119"/>
      <c r="CA878" s="120"/>
      <c r="CU878" s="120"/>
      <c r="CV878" s="121"/>
      <c r="CW878" s="120"/>
      <c r="CX878" s="122"/>
    </row>
    <row r="879" ht="15.75" customHeight="1">
      <c r="B879" s="111"/>
      <c r="E879" s="112"/>
      <c r="AA879" s="113"/>
      <c r="AV879" s="114"/>
      <c r="AW879" s="114"/>
      <c r="AX879" s="115"/>
      <c r="AY879" s="116"/>
      <c r="AZ879" s="115"/>
      <c r="BA879" s="116"/>
      <c r="BB879" s="116"/>
      <c r="BC879" s="116"/>
      <c r="BP879" s="117"/>
      <c r="BQ879" s="117"/>
      <c r="BU879" s="117"/>
      <c r="BW879" s="118"/>
      <c r="BY879" s="119"/>
      <c r="BZ879" s="119"/>
      <c r="CA879" s="120"/>
      <c r="CU879" s="120"/>
      <c r="CV879" s="121"/>
      <c r="CW879" s="120"/>
      <c r="CX879" s="122"/>
    </row>
    <row r="880" ht="15.75" customHeight="1">
      <c r="B880" s="111"/>
      <c r="E880" s="112"/>
      <c r="AA880" s="113"/>
      <c r="AV880" s="114"/>
      <c r="AW880" s="114"/>
      <c r="AX880" s="115"/>
      <c r="AY880" s="116"/>
      <c r="AZ880" s="115"/>
      <c r="BA880" s="116"/>
      <c r="BB880" s="116"/>
      <c r="BC880" s="116"/>
      <c r="BP880" s="117"/>
      <c r="BQ880" s="117"/>
      <c r="BU880" s="117"/>
      <c r="BW880" s="118"/>
      <c r="BY880" s="119"/>
      <c r="BZ880" s="119"/>
      <c r="CA880" s="120"/>
      <c r="CU880" s="120"/>
      <c r="CV880" s="121"/>
      <c r="CW880" s="120"/>
      <c r="CX880" s="122"/>
    </row>
    <row r="881" ht="15.75" customHeight="1">
      <c r="B881" s="111"/>
      <c r="E881" s="112"/>
      <c r="AA881" s="113"/>
      <c r="AV881" s="114"/>
      <c r="AW881" s="114"/>
      <c r="AX881" s="115"/>
      <c r="AY881" s="116"/>
      <c r="AZ881" s="115"/>
      <c r="BA881" s="116"/>
      <c r="BB881" s="116"/>
      <c r="BC881" s="116"/>
      <c r="BP881" s="117"/>
      <c r="BQ881" s="117"/>
      <c r="BU881" s="117"/>
      <c r="BW881" s="118"/>
      <c r="BY881" s="119"/>
      <c r="BZ881" s="119"/>
      <c r="CA881" s="120"/>
      <c r="CU881" s="120"/>
      <c r="CV881" s="121"/>
      <c r="CW881" s="120"/>
      <c r="CX881" s="122"/>
    </row>
    <row r="882" ht="15.75" customHeight="1">
      <c r="B882" s="111"/>
      <c r="E882" s="112"/>
      <c r="AA882" s="113"/>
      <c r="AV882" s="114"/>
      <c r="AW882" s="114"/>
      <c r="AX882" s="115"/>
      <c r="AY882" s="116"/>
      <c r="AZ882" s="115"/>
      <c r="BA882" s="116"/>
      <c r="BB882" s="116"/>
      <c r="BC882" s="116"/>
      <c r="BP882" s="117"/>
      <c r="BQ882" s="117"/>
      <c r="BU882" s="117"/>
      <c r="BW882" s="118"/>
      <c r="BY882" s="119"/>
      <c r="BZ882" s="119"/>
      <c r="CA882" s="120"/>
      <c r="CU882" s="120"/>
      <c r="CV882" s="121"/>
      <c r="CW882" s="120"/>
      <c r="CX882" s="122"/>
    </row>
    <row r="883" ht="15.75" customHeight="1">
      <c r="B883" s="111"/>
      <c r="E883" s="112"/>
      <c r="AA883" s="113"/>
      <c r="AV883" s="114"/>
      <c r="AW883" s="114"/>
      <c r="AX883" s="115"/>
      <c r="AY883" s="116"/>
      <c r="AZ883" s="115"/>
      <c r="BA883" s="116"/>
      <c r="BB883" s="116"/>
      <c r="BC883" s="116"/>
      <c r="BP883" s="117"/>
      <c r="BQ883" s="117"/>
      <c r="BU883" s="117"/>
      <c r="BW883" s="118"/>
      <c r="BY883" s="119"/>
      <c r="BZ883" s="119"/>
      <c r="CA883" s="120"/>
      <c r="CU883" s="120"/>
      <c r="CV883" s="121"/>
      <c r="CW883" s="120"/>
      <c r="CX883" s="122"/>
    </row>
    <row r="884" ht="15.75" customHeight="1">
      <c r="B884" s="111"/>
      <c r="E884" s="112"/>
      <c r="AA884" s="113"/>
      <c r="AV884" s="114"/>
      <c r="AW884" s="114"/>
      <c r="AX884" s="115"/>
      <c r="AY884" s="116"/>
      <c r="AZ884" s="115"/>
      <c r="BA884" s="116"/>
      <c r="BB884" s="116"/>
      <c r="BC884" s="116"/>
      <c r="BP884" s="117"/>
      <c r="BQ884" s="117"/>
      <c r="BU884" s="117"/>
      <c r="BW884" s="118"/>
      <c r="BY884" s="119"/>
      <c r="BZ884" s="119"/>
      <c r="CA884" s="120"/>
      <c r="CU884" s="120"/>
      <c r="CV884" s="121"/>
      <c r="CW884" s="120"/>
      <c r="CX884" s="122"/>
    </row>
    <row r="885" ht="15.75" customHeight="1">
      <c r="B885" s="111"/>
      <c r="E885" s="112"/>
      <c r="AA885" s="113"/>
      <c r="AV885" s="114"/>
      <c r="AW885" s="114"/>
      <c r="AX885" s="115"/>
      <c r="AY885" s="116"/>
      <c r="AZ885" s="115"/>
      <c r="BA885" s="116"/>
      <c r="BB885" s="116"/>
      <c r="BC885" s="116"/>
      <c r="BP885" s="117"/>
      <c r="BQ885" s="117"/>
      <c r="BU885" s="117"/>
      <c r="BW885" s="118"/>
      <c r="BY885" s="119"/>
      <c r="BZ885" s="119"/>
      <c r="CA885" s="120"/>
      <c r="CU885" s="120"/>
      <c r="CV885" s="121"/>
      <c r="CW885" s="120"/>
      <c r="CX885" s="122"/>
    </row>
    <row r="886" ht="15.75" customHeight="1">
      <c r="B886" s="111"/>
      <c r="E886" s="112"/>
      <c r="AA886" s="113"/>
      <c r="AV886" s="114"/>
      <c r="AW886" s="114"/>
      <c r="AX886" s="115"/>
      <c r="AY886" s="116"/>
      <c r="AZ886" s="115"/>
      <c r="BA886" s="116"/>
      <c r="BB886" s="116"/>
      <c r="BC886" s="116"/>
      <c r="BP886" s="117"/>
      <c r="BQ886" s="117"/>
      <c r="BU886" s="117"/>
      <c r="BW886" s="118"/>
      <c r="BY886" s="119"/>
      <c r="BZ886" s="119"/>
      <c r="CA886" s="120"/>
      <c r="CU886" s="120"/>
      <c r="CV886" s="121"/>
      <c r="CW886" s="120"/>
      <c r="CX886" s="122"/>
    </row>
    <row r="887" ht="15.75" customHeight="1">
      <c r="B887" s="111"/>
      <c r="E887" s="112"/>
      <c r="AA887" s="113"/>
      <c r="AV887" s="114"/>
      <c r="AW887" s="114"/>
      <c r="AX887" s="115"/>
      <c r="AY887" s="116"/>
      <c r="AZ887" s="115"/>
      <c r="BA887" s="116"/>
      <c r="BB887" s="116"/>
      <c r="BC887" s="116"/>
      <c r="BP887" s="117"/>
      <c r="BQ887" s="117"/>
      <c r="BU887" s="117"/>
      <c r="BW887" s="118"/>
      <c r="BY887" s="119"/>
      <c r="BZ887" s="119"/>
      <c r="CA887" s="120"/>
      <c r="CU887" s="120"/>
      <c r="CV887" s="121"/>
      <c r="CW887" s="120"/>
      <c r="CX887" s="122"/>
    </row>
    <row r="888" ht="15.75" customHeight="1">
      <c r="B888" s="111"/>
      <c r="E888" s="112"/>
      <c r="AA888" s="113"/>
      <c r="AV888" s="114"/>
      <c r="AW888" s="114"/>
      <c r="AX888" s="115"/>
      <c r="AY888" s="116"/>
      <c r="AZ888" s="115"/>
      <c r="BA888" s="116"/>
      <c r="BB888" s="116"/>
      <c r="BC888" s="116"/>
      <c r="BP888" s="117"/>
      <c r="BQ888" s="117"/>
      <c r="BU888" s="117"/>
      <c r="BW888" s="118"/>
      <c r="BY888" s="119"/>
      <c r="BZ888" s="119"/>
      <c r="CA888" s="120"/>
      <c r="CU888" s="120"/>
      <c r="CV888" s="121"/>
      <c r="CW888" s="120"/>
      <c r="CX888" s="122"/>
    </row>
    <row r="889" ht="15.75" customHeight="1">
      <c r="B889" s="111"/>
      <c r="E889" s="112"/>
      <c r="AA889" s="113"/>
      <c r="AV889" s="114"/>
      <c r="AW889" s="114"/>
      <c r="AX889" s="115"/>
      <c r="AY889" s="116"/>
      <c r="AZ889" s="115"/>
      <c r="BA889" s="116"/>
      <c r="BB889" s="116"/>
      <c r="BC889" s="116"/>
      <c r="BP889" s="117"/>
      <c r="BQ889" s="117"/>
      <c r="BU889" s="117"/>
      <c r="BW889" s="118"/>
      <c r="BY889" s="119"/>
      <c r="BZ889" s="119"/>
      <c r="CA889" s="120"/>
      <c r="CU889" s="120"/>
      <c r="CV889" s="121"/>
      <c r="CW889" s="120"/>
      <c r="CX889" s="122"/>
    </row>
    <row r="890" ht="15.75" customHeight="1">
      <c r="B890" s="111"/>
      <c r="E890" s="112"/>
      <c r="AA890" s="113"/>
      <c r="AV890" s="114"/>
      <c r="AW890" s="114"/>
      <c r="AX890" s="115"/>
      <c r="AY890" s="116"/>
      <c r="AZ890" s="115"/>
      <c r="BA890" s="116"/>
      <c r="BB890" s="116"/>
      <c r="BC890" s="116"/>
      <c r="BP890" s="117"/>
      <c r="BQ890" s="117"/>
      <c r="BU890" s="117"/>
      <c r="BW890" s="118"/>
      <c r="BY890" s="119"/>
      <c r="BZ890" s="119"/>
      <c r="CA890" s="120"/>
      <c r="CU890" s="120"/>
      <c r="CV890" s="121"/>
      <c r="CW890" s="120"/>
      <c r="CX890" s="122"/>
    </row>
    <row r="891" ht="15.75" customHeight="1">
      <c r="B891" s="111"/>
      <c r="E891" s="112"/>
      <c r="AA891" s="113"/>
      <c r="AV891" s="114"/>
      <c r="AW891" s="114"/>
      <c r="AX891" s="115"/>
      <c r="AY891" s="116"/>
      <c r="AZ891" s="115"/>
      <c r="BA891" s="116"/>
      <c r="BB891" s="116"/>
      <c r="BC891" s="116"/>
      <c r="BP891" s="117"/>
      <c r="BQ891" s="117"/>
      <c r="BU891" s="117"/>
      <c r="BW891" s="118"/>
      <c r="BY891" s="119"/>
      <c r="BZ891" s="119"/>
      <c r="CA891" s="120"/>
      <c r="CU891" s="120"/>
      <c r="CV891" s="121"/>
      <c r="CW891" s="120"/>
      <c r="CX891" s="122"/>
    </row>
    <row r="892" ht="15.75" customHeight="1">
      <c r="B892" s="111"/>
      <c r="E892" s="112"/>
      <c r="AA892" s="113"/>
      <c r="AV892" s="114"/>
      <c r="AW892" s="114"/>
      <c r="AX892" s="115"/>
      <c r="AY892" s="116"/>
      <c r="AZ892" s="115"/>
      <c r="BA892" s="116"/>
      <c r="BB892" s="116"/>
      <c r="BC892" s="116"/>
      <c r="BP892" s="117"/>
      <c r="BQ892" s="117"/>
      <c r="BU892" s="117"/>
      <c r="BW892" s="118"/>
      <c r="BY892" s="119"/>
      <c r="BZ892" s="119"/>
      <c r="CA892" s="120"/>
      <c r="CU892" s="120"/>
      <c r="CV892" s="121"/>
      <c r="CW892" s="120"/>
      <c r="CX892" s="122"/>
    </row>
    <row r="893" ht="15.75" customHeight="1">
      <c r="B893" s="111"/>
      <c r="E893" s="112"/>
      <c r="AA893" s="113"/>
      <c r="AV893" s="114"/>
      <c r="AW893" s="114"/>
      <c r="AX893" s="115"/>
      <c r="AY893" s="116"/>
      <c r="AZ893" s="115"/>
      <c r="BA893" s="116"/>
      <c r="BB893" s="116"/>
      <c r="BC893" s="116"/>
      <c r="BP893" s="117"/>
      <c r="BQ893" s="117"/>
      <c r="BU893" s="117"/>
      <c r="BW893" s="118"/>
      <c r="BY893" s="119"/>
      <c r="BZ893" s="119"/>
      <c r="CA893" s="120"/>
      <c r="CU893" s="120"/>
      <c r="CV893" s="121"/>
      <c r="CW893" s="120"/>
      <c r="CX893" s="122"/>
    </row>
    <row r="894" ht="15.75" customHeight="1">
      <c r="B894" s="111"/>
      <c r="E894" s="112"/>
      <c r="AA894" s="113"/>
      <c r="AV894" s="114"/>
      <c r="AW894" s="114"/>
      <c r="AX894" s="115"/>
      <c r="AY894" s="116"/>
      <c r="AZ894" s="115"/>
      <c r="BA894" s="116"/>
      <c r="BB894" s="116"/>
      <c r="BC894" s="116"/>
      <c r="BP894" s="117"/>
      <c r="BQ894" s="117"/>
      <c r="BU894" s="117"/>
      <c r="BW894" s="118"/>
      <c r="BY894" s="119"/>
      <c r="BZ894" s="119"/>
      <c r="CA894" s="120"/>
      <c r="CU894" s="120"/>
      <c r="CV894" s="121"/>
      <c r="CW894" s="120"/>
      <c r="CX894" s="122"/>
    </row>
    <row r="895" ht="15.75" customHeight="1">
      <c r="B895" s="111"/>
      <c r="E895" s="112"/>
      <c r="AA895" s="113"/>
      <c r="AV895" s="114"/>
      <c r="AW895" s="114"/>
      <c r="AX895" s="115"/>
      <c r="AY895" s="116"/>
      <c r="AZ895" s="115"/>
      <c r="BA895" s="116"/>
      <c r="BB895" s="116"/>
      <c r="BC895" s="116"/>
      <c r="BP895" s="117"/>
      <c r="BQ895" s="117"/>
      <c r="BU895" s="117"/>
      <c r="BW895" s="118"/>
      <c r="BY895" s="119"/>
      <c r="BZ895" s="119"/>
      <c r="CA895" s="120"/>
      <c r="CU895" s="120"/>
      <c r="CV895" s="121"/>
      <c r="CW895" s="120"/>
      <c r="CX895" s="122"/>
    </row>
    <row r="896" ht="15.75" customHeight="1">
      <c r="B896" s="111"/>
      <c r="E896" s="112"/>
      <c r="AA896" s="113"/>
      <c r="AV896" s="114"/>
      <c r="AW896" s="114"/>
      <c r="AX896" s="115"/>
      <c r="AY896" s="116"/>
      <c r="AZ896" s="115"/>
      <c r="BA896" s="116"/>
      <c r="BB896" s="116"/>
      <c r="BC896" s="116"/>
      <c r="BP896" s="117"/>
      <c r="BQ896" s="117"/>
      <c r="BU896" s="117"/>
      <c r="BW896" s="118"/>
      <c r="BY896" s="119"/>
      <c r="BZ896" s="119"/>
      <c r="CA896" s="120"/>
      <c r="CU896" s="120"/>
      <c r="CV896" s="121"/>
      <c r="CW896" s="120"/>
      <c r="CX896" s="122"/>
    </row>
    <row r="897" ht="15.75" customHeight="1">
      <c r="B897" s="111"/>
      <c r="E897" s="112"/>
      <c r="AA897" s="113"/>
      <c r="AV897" s="114"/>
      <c r="AW897" s="114"/>
      <c r="AX897" s="115"/>
      <c r="AY897" s="116"/>
      <c r="AZ897" s="115"/>
      <c r="BA897" s="116"/>
      <c r="BB897" s="116"/>
      <c r="BC897" s="116"/>
      <c r="BP897" s="117"/>
      <c r="BQ897" s="117"/>
      <c r="BU897" s="117"/>
      <c r="BW897" s="118"/>
      <c r="BY897" s="119"/>
      <c r="BZ897" s="119"/>
      <c r="CA897" s="120"/>
      <c r="CU897" s="120"/>
      <c r="CV897" s="121"/>
      <c r="CW897" s="120"/>
      <c r="CX897" s="122"/>
    </row>
    <row r="898" ht="15.75" customHeight="1">
      <c r="B898" s="111"/>
      <c r="E898" s="112"/>
      <c r="AA898" s="113"/>
      <c r="AV898" s="114"/>
      <c r="AW898" s="114"/>
      <c r="AX898" s="115"/>
      <c r="AY898" s="116"/>
      <c r="AZ898" s="115"/>
      <c r="BA898" s="116"/>
      <c r="BB898" s="116"/>
      <c r="BC898" s="116"/>
      <c r="BP898" s="117"/>
      <c r="BQ898" s="117"/>
      <c r="BU898" s="117"/>
      <c r="BW898" s="118"/>
      <c r="BY898" s="119"/>
      <c r="BZ898" s="119"/>
      <c r="CA898" s="120"/>
      <c r="CU898" s="120"/>
      <c r="CV898" s="121"/>
      <c r="CW898" s="120"/>
      <c r="CX898" s="122"/>
    </row>
    <row r="899" ht="15.75" customHeight="1">
      <c r="B899" s="111"/>
      <c r="E899" s="112"/>
      <c r="AA899" s="113"/>
      <c r="AV899" s="114"/>
      <c r="AW899" s="114"/>
      <c r="AX899" s="115"/>
      <c r="AY899" s="116"/>
      <c r="AZ899" s="115"/>
      <c r="BA899" s="116"/>
      <c r="BB899" s="116"/>
      <c r="BC899" s="116"/>
      <c r="BP899" s="117"/>
      <c r="BQ899" s="117"/>
      <c r="BU899" s="117"/>
      <c r="BW899" s="118"/>
      <c r="BY899" s="119"/>
      <c r="BZ899" s="119"/>
      <c r="CA899" s="120"/>
      <c r="CU899" s="120"/>
      <c r="CV899" s="121"/>
      <c r="CW899" s="120"/>
      <c r="CX899" s="122"/>
    </row>
    <row r="900" ht="15.75" customHeight="1">
      <c r="B900" s="111"/>
      <c r="E900" s="112"/>
      <c r="AA900" s="113"/>
      <c r="AV900" s="114"/>
      <c r="AW900" s="114"/>
      <c r="AX900" s="115"/>
      <c r="AY900" s="116"/>
      <c r="AZ900" s="115"/>
      <c r="BA900" s="116"/>
      <c r="BB900" s="116"/>
      <c r="BC900" s="116"/>
      <c r="BP900" s="117"/>
      <c r="BQ900" s="117"/>
      <c r="BU900" s="117"/>
      <c r="BW900" s="118"/>
      <c r="BY900" s="119"/>
      <c r="BZ900" s="119"/>
      <c r="CA900" s="120"/>
      <c r="CU900" s="120"/>
      <c r="CV900" s="121"/>
      <c r="CW900" s="120"/>
      <c r="CX900" s="122"/>
    </row>
    <row r="901" ht="15.75" customHeight="1">
      <c r="B901" s="111"/>
      <c r="E901" s="112"/>
      <c r="AA901" s="113"/>
      <c r="AV901" s="114"/>
      <c r="AW901" s="114"/>
      <c r="AX901" s="115"/>
      <c r="AY901" s="116"/>
      <c r="AZ901" s="115"/>
      <c r="BA901" s="116"/>
      <c r="BB901" s="116"/>
      <c r="BC901" s="116"/>
      <c r="BP901" s="117"/>
      <c r="BQ901" s="117"/>
      <c r="BU901" s="117"/>
      <c r="BW901" s="118"/>
      <c r="BY901" s="119"/>
      <c r="BZ901" s="119"/>
      <c r="CA901" s="120"/>
      <c r="CU901" s="120"/>
      <c r="CV901" s="121"/>
      <c r="CW901" s="120"/>
      <c r="CX901" s="122"/>
    </row>
    <row r="902" ht="15.75" customHeight="1">
      <c r="B902" s="111"/>
      <c r="E902" s="112"/>
      <c r="AA902" s="113"/>
      <c r="AV902" s="114"/>
      <c r="AW902" s="114"/>
      <c r="AX902" s="115"/>
      <c r="AY902" s="116"/>
      <c r="AZ902" s="115"/>
      <c r="BA902" s="116"/>
      <c r="BB902" s="116"/>
      <c r="BC902" s="116"/>
      <c r="BP902" s="117"/>
      <c r="BQ902" s="117"/>
      <c r="BU902" s="117"/>
      <c r="BW902" s="118"/>
      <c r="BY902" s="119"/>
      <c r="BZ902" s="119"/>
      <c r="CA902" s="120"/>
      <c r="CU902" s="120"/>
      <c r="CV902" s="121"/>
      <c r="CW902" s="120"/>
      <c r="CX902" s="122"/>
    </row>
    <row r="903" ht="15.75" customHeight="1">
      <c r="B903" s="111"/>
      <c r="E903" s="112"/>
      <c r="AA903" s="113"/>
      <c r="AV903" s="114"/>
      <c r="AW903" s="114"/>
      <c r="AX903" s="115"/>
      <c r="AY903" s="116"/>
      <c r="AZ903" s="115"/>
      <c r="BA903" s="116"/>
      <c r="BB903" s="116"/>
      <c r="BC903" s="116"/>
      <c r="BP903" s="117"/>
      <c r="BQ903" s="117"/>
      <c r="BU903" s="117"/>
      <c r="BW903" s="118"/>
      <c r="BY903" s="119"/>
      <c r="BZ903" s="119"/>
      <c r="CA903" s="120"/>
      <c r="CU903" s="120"/>
      <c r="CV903" s="121"/>
      <c r="CW903" s="120"/>
      <c r="CX903" s="122"/>
    </row>
    <row r="904" ht="15.75" customHeight="1">
      <c r="B904" s="111"/>
      <c r="E904" s="112"/>
      <c r="AA904" s="113"/>
      <c r="AV904" s="114"/>
      <c r="AW904" s="114"/>
      <c r="AX904" s="115"/>
      <c r="AY904" s="116"/>
      <c r="AZ904" s="115"/>
      <c r="BA904" s="116"/>
      <c r="BB904" s="116"/>
      <c r="BC904" s="116"/>
      <c r="BP904" s="117"/>
      <c r="BQ904" s="117"/>
      <c r="BU904" s="117"/>
      <c r="BW904" s="118"/>
      <c r="BY904" s="119"/>
      <c r="BZ904" s="119"/>
      <c r="CA904" s="120"/>
      <c r="CU904" s="120"/>
      <c r="CV904" s="121"/>
      <c r="CW904" s="120"/>
      <c r="CX904" s="122"/>
    </row>
    <row r="905" ht="15.75" customHeight="1">
      <c r="B905" s="111"/>
      <c r="E905" s="112"/>
      <c r="AA905" s="113"/>
      <c r="AV905" s="114"/>
      <c r="AW905" s="114"/>
      <c r="AX905" s="115"/>
      <c r="AY905" s="116"/>
      <c r="AZ905" s="115"/>
      <c r="BA905" s="116"/>
      <c r="BB905" s="116"/>
      <c r="BC905" s="116"/>
      <c r="BP905" s="117"/>
      <c r="BQ905" s="117"/>
      <c r="BU905" s="117"/>
      <c r="BW905" s="118"/>
      <c r="BY905" s="119"/>
      <c r="BZ905" s="119"/>
      <c r="CA905" s="120"/>
      <c r="CU905" s="120"/>
      <c r="CV905" s="121"/>
      <c r="CW905" s="120"/>
      <c r="CX905" s="122"/>
    </row>
    <row r="906" ht="15.75" customHeight="1">
      <c r="B906" s="111"/>
      <c r="E906" s="112"/>
      <c r="AA906" s="113"/>
      <c r="AV906" s="114"/>
      <c r="AW906" s="114"/>
      <c r="AX906" s="115"/>
      <c r="AY906" s="116"/>
      <c r="AZ906" s="115"/>
      <c r="BA906" s="116"/>
      <c r="BB906" s="116"/>
      <c r="BC906" s="116"/>
      <c r="BP906" s="117"/>
      <c r="BQ906" s="117"/>
      <c r="BU906" s="117"/>
      <c r="BW906" s="118"/>
      <c r="BY906" s="119"/>
      <c r="BZ906" s="119"/>
      <c r="CA906" s="120"/>
      <c r="CU906" s="120"/>
      <c r="CV906" s="121"/>
      <c r="CW906" s="120"/>
      <c r="CX906" s="122"/>
    </row>
    <row r="907" ht="15.75" customHeight="1">
      <c r="B907" s="111"/>
      <c r="E907" s="112"/>
      <c r="AA907" s="113"/>
      <c r="AV907" s="114"/>
      <c r="AW907" s="114"/>
      <c r="AX907" s="115"/>
      <c r="AY907" s="116"/>
      <c r="AZ907" s="115"/>
      <c r="BA907" s="116"/>
      <c r="BB907" s="116"/>
      <c r="BC907" s="116"/>
      <c r="BP907" s="117"/>
      <c r="BQ907" s="117"/>
      <c r="BU907" s="117"/>
      <c r="BW907" s="118"/>
      <c r="BY907" s="119"/>
      <c r="BZ907" s="119"/>
      <c r="CA907" s="120"/>
      <c r="CU907" s="120"/>
      <c r="CV907" s="121"/>
      <c r="CW907" s="120"/>
      <c r="CX907" s="122"/>
    </row>
    <row r="908" ht="15.75" customHeight="1">
      <c r="B908" s="111"/>
      <c r="E908" s="112"/>
      <c r="AA908" s="113"/>
      <c r="AV908" s="114"/>
      <c r="AW908" s="114"/>
      <c r="AX908" s="115"/>
      <c r="AY908" s="116"/>
      <c r="AZ908" s="115"/>
      <c r="BA908" s="116"/>
      <c r="BB908" s="116"/>
      <c r="BC908" s="116"/>
      <c r="BP908" s="117"/>
      <c r="BQ908" s="117"/>
      <c r="BU908" s="117"/>
      <c r="BW908" s="118"/>
      <c r="BY908" s="119"/>
      <c r="BZ908" s="119"/>
      <c r="CA908" s="120"/>
      <c r="CU908" s="120"/>
      <c r="CV908" s="121"/>
      <c r="CW908" s="120"/>
      <c r="CX908" s="122"/>
    </row>
    <row r="909" ht="15.75" customHeight="1">
      <c r="B909" s="111"/>
      <c r="E909" s="112"/>
      <c r="AA909" s="113"/>
      <c r="AV909" s="114"/>
      <c r="AW909" s="114"/>
      <c r="AX909" s="115"/>
      <c r="AY909" s="116"/>
      <c r="AZ909" s="115"/>
      <c r="BA909" s="116"/>
      <c r="BB909" s="116"/>
      <c r="BC909" s="116"/>
      <c r="BP909" s="117"/>
      <c r="BQ909" s="117"/>
      <c r="BU909" s="117"/>
      <c r="BW909" s="118"/>
      <c r="BY909" s="119"/>
      <c r="BZ909" s="119"/>
      <c r="CA909" s="120"/>
      <c r="CU909" s="120"/>
      <c r="CV909" s="121"/>
      <c r="CW909" s="120"/>
      <c r="CX909" s="122"/>
    </row>
    <row r="910" ht="15.75" customHeight="1">
      <c r="B910" s="111"/>
      <c r="E910" s="112"/>
      <c r="AA910" s="113"/>
      <c r="AV910" s="114"/>
      <c r="AW910" s="114"/>
      <c r="AX910" s="115"/>
      <c r="AY910" s="116"/>
      <c r="AZ910" s="115"/>
      <c r="BA910" s="116"/>
      <c r="BB910" s="116"/>
      <c r="BC910" s="116"/>
      <c r="BP910" s="117"/>
      <c r="BQ910" s="117"/>
      <c r="BU910" s="117"/>
      <c r="BW910" s="118"/>
      <c r="BY910" s="119"/>
      <c r="BZ910" s="119"/>
      <c r="CA910" s="120"/>
      <c r="CU910" s="120"/>
      <c r="CV910" s="121"/>
      <c r="CW910" s="120"/>
      <c r="CX910" s="122"/>
    </row>
    <row r="911" ht="15.75" customHeight="1">
      <c r="B911" s="111"/>
      <c r="E911" s="112"/>
      <c r="AA911" s="113"/>
      <c r="AV911" s="114"/>
      <c r="AW911" s="114"/>
      <c r="AX911" s="115"/>
      <c r="AY911" s="116"/>
      <c r="AZ911" s="115"/>
      <c r="BA911" s="116"/>
      <c r="BB911" s="116"/>
      <c r="BC911" s="116"/>
      <c r="BP911" s="117"/>
      <c r="BQ911" s="117"/>
      <c r="BU911" s="117"/>
      <c r="BW911" s="118"/>
      <c r="BY911" s="119"/>
      <c r="BZ911" s="119"/>
      <c r="CA911" s="120"/>
      <c r="CU911" s="120"/>
      <c r="CV911" s="121"/>
      <c r="CW911" s="120"/>
      <c r="CX911" s="122"/>
    </row>
    <row r="912" ht="15.75" customHeight="1">
      <c r="B912" s="111"/>
      <c r="E912" s="112"/>
      <c r="AA912" s="113"/>
      <c r="AV912" s="114"/>
      <c r="AW912" s="114"/>
      <c r="AX912" s="115"/>
      <c r="AY912" s="116"/>
      <c r="AZ912" s="115"/>
      <c r="BA912" s="116"/>
      <c r="BB912" s="116"/>
      <c r="BC912" s="116"/>
      <c r="BP912" s="117"/>
      <c r="BQ912" s="117"/>
      <c r="BU912" s="117"/>
      <c r="BW912" s="118"/>
      <c r="BY912" s="119"/>
      <c r="BZ912" s="119"/>
      <c r="CA912" s="120"/>
      <c r="CU912" s="120"/>
      <c r="CV912" s="121"/>
      <c r="CW912" s="120"/>
      <c r="CX912" s="122"/>
    </row>
    <row r="913" ht="15.75" customHeight="1">
      <c r="B913" s="111"/>
      <c r="E913" s="112"/>
      <c r="AA913" s="113"/>
      <c r="AV913" s="114"/>
      <c r="AW913" s="114"/>
      <c r="AX913" s="115"/>
      <c r="AY913" s="116"/>
      <c r="AZ913" s="115"/>
      <c r="BA913" s="116"/>
      <c r="BB913" s="116"/>
      <c r="BC913" s="116"/>
      <c r="BP913" s="117"/>
      <c r="BQ913" s="117"/>
      <c r="BU913" s="117"/>
      <c r="BW913" s="118"/>
      <c r="BY913" s="119"/>
      <c r="BZ913" s="119"/>
      <c r="CA913" s="120"/>
      <c r="CU913" s="120"/>
      <c r="CV913" s="121"/>
      <c r="CW913" s="120"/>
      <c r="CX913" s="122"/>
    </row>
    <row r="914" ht="15.75" customHeight="1">
      <c r="B914" s="111"/>
      <c r="E914" s="112"/>
      <c r="AA914" s="113"/>
      <c r="AV914" s="114"/>
      <c r="AW914" s="114"/>
      <c r="AX914" s="115"/>
      <c r="AY914" s="116"/>
      <c r="AZ914" s="115"/>
      <c r="BA914" s="116"/>
      <c r="BB914" s="116"/>
      <c r="BC914" s="116"/>
      <c r="BP914" s="117"/>
      <c r="BQ914" s="117"/>
      <c r="BU914" s="117"/>
      <c r="BW914" s="118"/>
      <c r="BY914" s="119"/>
      <c r="BZ914" s="119"/>
      <c r="CA914" s="120"/>
      <c r="CU914" s="120"/>
      <c r="CV914" s="121"/>
      <c r="CW914" s="120"/>
      <c r="CX914" s="122"/>
    </row>
    <row r="915" ht="15.75" customHeight="1">
      <c r="B915" s="111"/>
      <c r="E915" s="112"/>
      <c r="AA915" s="113"/>
      <c r="AV915" s="114"/>
      <c r="AW915" s="114"/>
      <c r="AX915" s="115"/>
      <c r="AY915" s="116"/>
      <c r="AZ915" s="115"/>
      <c r="BA915" s="116"/>
      <c r="BB915" s="116"/>
      <c r="BC915" s="116"/>
      <c r="BP915" s="117"/>
      <c r="BQ915" s="117"/>
      <c r="BU915" s="117"/>
      <c r="BW915" s="118"/>
      <c r="BY915" s="119"/>
      <c r="BZ915" s="119"/>
      <c r="CA915" s="120"/>
      <c r="CU915" s="120"/>
      <c r="CV915" s="121"/>
      <c r="CW915" s="120"/>
      <c r="CX915" s="122"/>
    </row>
    <row r="916" ht="15.75" customHeight="1">
      <c r="B916" s="111"/>
      <c r="E916" s="112"/>
      <c r="AA916" s="113"/>
      <c r="AV916" s="114"/>
      <c r="AW916" s="114"/>
      <c r="AX916" s="115"/>
      <c r="AY916" s="116"/>
      <c r="AZ916" s="115"/>
      <c r="BA916" s="116"/>
      <c r="BB916" s="116"/>
      <c r="BC916" s="116"/>
      <c r="BP916" s="117"/>
      <c r="BQ916" s="117"/>
      <c r="BU916" s="117"/>
      <c r="BW916" s="118"/>
      <c r="BY916" s="119"/>
      <c r="BZ916" s="119"/>
      <c r="CA916" s="120"/>
      <c r="CU916" s="120"/>
      <c r="CV916" s="121"/>
      <c r="CW916" s="120"/>
      <c r="CX916" s="122"/>
    </row>
    <row r="917" ht="15.75" customHeight="1">
      <c r="B917" s="111"/>
      <c r="E917" s="112"/>
      <c r="AA917" s="113"/>
      <c r="AV917" s="114"/>
      <c r="AW917" s="114"/>
      <c r="AX917" s="115"/>
      <c r="AY917" s="116"/>
      <c r="AZ917" s="115"/>
      <c r="BA917" s="116"/>
      <c r="BB917" s="116"/>
      <c r="BC917" s="116"/>
      <c r="BP917" s="117"/>
      <c r="BQ917" s="117"/>
      <c r="BU917" s="117"/>
      <c r="BW917" s="118"/>
      <c r="BY917" s="119"/>
      <c r="BZ917" s="119"/>
      <c r="CA917" s="120"/>
      <c r="CU917" s="120"/>
      <c r="CV917" s="121"/>
      <c r="CW917" s="120"/>
      <c r="CX917" s="122"/>
    </row>
    <row r="918" ht="15.75" customHeight="1">
      <c r="B918" s="111"/>
      <c r="E918" s="112"/>
      <c r="AA918" s="113"/>
      <c r="AV918" s="114"/>
      <c r="AW918" s="114"/>
      <c r="AX918" s="115"/>
      <c r="AY918" s="116"/>
      <c r="AZ918" s="115"/>
      <c r="BA918" s="116"/>
      <c r="BB918" s="116"/>
      <c r="BC918" s="116"/>
      <c r="BP918" s="117"/>
      <c r="BQ918" s="117"/>
      <c r="BU918" s="117"/>
      <c r="BW918" s="118"/>
      <c r="BY918" s="119"/>
      <c r="BZ918" s="119"/>
      <c r="CA918" s="120"/>
      <c r="CU918" s="120"/>
      <c r="CV918" s="121"/>
      <c r="CW918" s="120"/>
      <c r="CX918" s="122"/>
    </row>
    <row r="919" ht="15.75" customHeight="1">
      <c r="B919" s="111"/>
      <c r="E919" s="112"/>
      <c r="AA919" s="113"/>
      <c r="AV919" s="114"/>
      <c r="AW919" s="114"/>
      <c r="AX919" s="115"/>
      <c r="AY919" s="116"/>
      <c r="AZ919" s="115"/>
      <c r="BA919" s="116"/>
      <c r="BB919" s="116"/>
      <c r="BC919" s="116"/>
      <c r="BP919" s="117"/>
      <c r="BQ919" s="117"/>
      <c r="BU919" s="117"/>
      <c r="BW919" s="118"/>
      <c r="BY919" s="119"/>
      <c r="BZ919" s="119"/>
      <c r="CA919" s="120"/>
      <c r="CU919" s="120"/>
      <c r="CV919" s="121"/>
      <c r="CW919" s="120"/>
      <c r="CX919" s="122"/>
    </row>
    <row r="920" ht="15.75" customHeight="1">
      <c r="B920" s="111"/>
      <c r="E920" s="112"/>
      <c r="AA920" s="113"/>
      <c r="AV920" s="114"/>
      <c r="AW920" s="114"/>
      <c r="AX920" s="115"/>
      <c r="AY920" s="116"/>
      <c r="AZ920" s="115"/>
      <c r="BA920" s="116"/>
      <c r="BB920" s="116"/>
      <c r="BC920" s="116"/>
      <c r="BP920" s="117"/>
      <c r="BQ920" s="117"/>
      <c r="BU920" s="117"/>
      <c r="BW920" s="118"/>
      <c r="BY920" s="119"/>
      <c r="BZ920" s="119"/>
      <c r="CA920" s="120"/>
      <c r="CU920" s="120"/>
      <c r="CV920" s="121"/>
      <c r="CW920" s="120"/>
      <c r="CX920" s="122"/>
    </row>
    <row r="921" ht="15.75" customHeight="1">
      <c r="B921" s="111"/>
      <c r="E921" s="112"/>
      <c r="AA921" s="113"/>
      <c r="AV921" s="114"/>
      <c r="AW921" s="114"/>
      <c r="AX921" s="115"/>
      <c r="AY921" s="116"/>
      <c r="AZ921" s="115"/>
      <c r="BA921" s="116"/>
      <c r="BB921" s="116"/>
      <c r="BC921" s="116"/>
      <c r="BP921" s="117"/>
      <c r="BQ921" s="117"/>
      <c r="BU921" s="117"/>
      <c r="BW921" s="118"/>
      <c r="BY921" s="119"/>
      <c r="BZ921" s="119"/>
      <c r="CA921" s="120"/>
      <c r="CU921" s="120"/>
      <c r="CV921" s="121"/>
      <c r="CW921" s="120"/>
      <c r="CX921" s="122"/>
    </row>
    <row r="922" ht="15.75" customHeight="1">
      <c r="B922" s="111"/>
      <c r="E922" s="112"/>
      <c r="AA922" s="113"/>
      <c r="AV922" s="114"/>
      <c r="AW922" s="114"/>
      <c r="AX922" s="115"/>
      <c r="AY922" s="116"/>
      <c r="AZ922" s="115"/>
      <c r="BA922" s="116"/>
      <c r="BB922" s="116"/>
      <c r="BC922" s="116"/>
      <c r="BP922" s="117"/>
      <c r="BQ922" s="117"/>
      <c r="BU922" s="117"/>
      <c r="BW922" s="118"/>
      <c r="BY922" s="119"/>
      <c r="BZ922" s="119"/>
      <c r="CA922" s="120"/>
      <c r="CU922" s="120"/>
      <c r="CV922" s="121"/>
      <c r="CW922" s="120"/>
      <c r="CX922" s="122"/>
    </row>
    <row r="923" ht="15.75" customHeight="1">
      <c r="B923" s="111"/>
      <c r="E923" s="112"/>
      <c r="AA923" s="113"/>
      <c r="AV923" s="114"/>
      <c r="AW923" s="114"/>
      <c r="AX923" s="115"/>
      <c r="AY923" s="116"/>
      <c r="AZ923" s="115"/>
      <c r="BA923" s="116"/>
      <c r="BB923" s="116"/>
      <c r="BC923" s="116"/>
      <c r="BP923" s="117"/>
      <c r="BQ923" s="117"/>
      <c r="BU923" s="117"/>
      <c r="BW923" s="118"/>
      <c r="BY923" s="119"/>
      <c r="BZ923" s="119"/>
      <c r="CA923" s="120"/>
      <c r="CU923" s="120"/>
      <c r="CV923" s="121"/>
      <c r="CW923" s="120"/>
      <c r="CX923" s="122"/>
    </row>
    <row r="924" ht="15.75" customHeight="1">
      <c r="B924" s="111"/>
      <c r="E924" s="112"/>
      <c r="AA924" s="113"/>
      <c r="AV924" s="114"/>
      <c r="AW924" s="114"/>
      <c r="AX924" s="115"/>
      <c r="AY924" s="116"/>
      <c r="AZ924" s="115"/>
      <c r="BA924" s="116"/>
      <c r="BB924" s="116"/>
      <c r="BC924" s="116"/>
      <c r="BP924" s="117"/>
      <c r="BQ924" s="117"/>
      <c r="BU924" s="117"/>
      <c r="BW924" s="118"/>
      <c r="BY924" s="119"/>
      <c r="BZ924" s="119"/>
      <c r="CA924" s="120"/>
      <c r="CU924" s="120"/>
      <c r="CV924" s="121"/>
      <c r="CW924" s="120"/>
      <c r="CX924" s="122"/>
    </row>
    <row r="925" ht="15.75" customHeight="1">
      <c r="B925" s="111"/>
      <c r="E925" s="112"/>
      <c r="AA925" s="113"/>
      <c r="AV925" s="114"/>
      <c r="AW925" s="114"/>
      <c r="AX925" s="115"/>
      <c r="AY925" s="116"/>
      <c r="AZ925" s="115"/>
      <c r="BA925" s="116"/>
      <c r="BB925" s="116"/>
      <c r="BC925" s="116"/>
      <c r="BP925" s="117"/>
      <c r="BQ925" s="117"/>
      <c r="BU925" s="117"/>
      <c r="BW925" s="118"/>
      <c r="BY925" s="119"/>
      <c r="BZ925" s="119"/>
      <c r="CA925" s="120"/>
      <c r="CU925" s="120"/>
      <c r="CV925" s="121"/>
      <c r="CW925" s="120"/>
      <c r="CX925" s="122"/>
    </row>
    <row r="926" ht="15.75" customHeight="1">
      <c r="B926" s="111"/>
      <c r="E926" s="112"/>
      <c r="AA926" s="113"/>
      <c r="AV926" s="114"/>
      <c r="AW926" s="114"/>
      <c r="AX926" s="115"/>
      <c r="AY926" s="116"/>
      <c r="AZ926" s="115"/>
      <c r="BA926" s="116"/>
      <c r="BB926" s="116"/>
      <c r="BC926" s="116"/>
      <c r="BP926" s="117"/>
      <c r="BQ926" s="117"/>
      <c r="BU926" s="117"/>
      <c r="BW926" s="118"/>
      <c r="BY926" s="119"/>
      <c r="BZ926" s="119"/>
      <c r="CA926" s="120"/>
      <c r="CU926" s="120"/>
      <c r="CV926" s="121"/>
      <c r="CW926" s="120"/>
      <c r="CX926" s="122"/>
    </row>
    <row r="927" ht="15.75" customHeight="1">
      <c r="B927" s="111"/>
      <c r="E927" s="112"/>
      <c r="AA927" s="113"/>
      <c r="AV927" s="114"/>
      <c r="AW927" s="114"/>
      <c r="AX927" s="115"/>
      <c r="AY927" s="116"/>
      <c r="AZ927" s="115"/>
      <c r="BA927" s="116"/>
      <c r="BB927" s="116"/>
      <c r="BC927" s="116"/>
      <c r="BP927" s="117"/>
      <c r="BQ927" s="117"/>
      <c r="BU927" s="117"/>
      <c r="BW927" s="118"/>
      <c r="BY927" s="119"/>
      <c r="BZ927" s="119"/>
      <c r="CA927" s="120"/>
      <c r="CU927" s="120"/>
      <c r="CV927" s="121"/>
      <c r="CW927" s="120"/>
      <c r="CX927" s="122"/>
    </row>
    <row r="928" ht="15.75" customHeight="1">
      <c r="B928" s="111"/>
      <c r="E928" s="112"/>
      <c r="AA928" s="113"/>
      <c r="AV928" s="114"/>
      <c r="AW928" s="114"/>
      <c r="AX928" s="115"/>
      <c r="AY928" s="116"/>
      <c r="AZ928" s="115"/>
      <c r="BA928" s="116"/>
      <c r="BB928" s="116"/>
      <c r="BC928" s="116"/>
      <c r="BP928" s="117"/>
      <c r="BQ928" s="117"/>
      <c r="BU928" s="117"/>
      <c r="BW928" s="118"/>
      <c r="BY928" s="119"/>
      <c r="BZ928" s="119"/>
      <c r="CA928" s="120"/>
      <c r="CU928" s="120"/>
      <c r="CV928" s="121"/>
      <c r="CW928" s="120"/>
      <c r="CX928" s="122"/>
    </row>
    <row r="929" ht="15.75" customHeight="1">
      <c r="B929" s="111"/>
      <c r="E929" s="112"/>
      <c r="AA929" s="113"/>
      <c r="AV929" s="114"/>
      <c r="AW929" s="114"/>
      <c r="AX929" s="115"/>
      <c r="AY929" s="116"/>
      <c r="AZ929" s="115"/>
      <c r="BA929" s="116"/>
      <c r="BB929" s="116"/>
      <c r="BC929" s="116"/>
      <c r="BP929" s="117"/>
      <c r="BQ929" s="117"/>
      <c r="BU929" s="117"/>
      <c r="BW929" s="118"/>
      <c r="BY929" s="119"/>
      <c r="BZ929" s="119"/>
      <c r="CA929" s="120"/>
      <c r="CU929" s="120"/>
      <c r="CV929" s="121"/>
      <c r="CW929" s="120"/>
      <c r="CX929" s="122"/>
    </row>
    <row r="930" ht="15.75" customHeight="1">
      <c r="B930" s="111"/>
      <c r="E930" s="112"/>
      <c r="AA930" s="113"/>
      <c r="AV930" s="114"/>
      <c r="AW930" s="114"/>
      <c r="AX930" s="115"/>
      <c r="AY930" s="116"/>
      <c r="AZ930" s="115"/>
      <c r="BA930" s="116"/>
      <c r="BB930" s="116"/>
      <c r="BC930" s="116"/>
      <c r="BP930" s="117"/>
      <c r="BQ930" s="117"/>
      <c r="BU930" s="117"/>
      <c r="BW930" s="118"/>
      <c r="BY930" s="119"/>
      <c r="BZ930" s="119"/>
      <c r="CA930" s="120"/>
      <c r="CU930" s="120"/>
      <c r="CV930" s="121"/>
      <c r="CW930" s="120"/>
      <c r="CX930" s="122"/>
    </row>
    <row r="931" ht="15.75" customHeight="1">
      <c r="B931" s="111"/>
      <c r="E931" s="112"/>
      <c r="AA931" s="113"/>
      <c r="AV931" s="114"/>
      <c r="AW931" s="114"/>
      <c r="AX931" s="115"/>
      <c r="AY931" s="116"/>
      <c r="AZ931" s="115"/>
      <c r="BA931" s="116"/>
      <c r="BB931" s="116"/>
      <c r="BC931" s="116"/>
      <c r="BP931" s="117"/>
      <c r="BQ931" s="117"/>
      <c r="BU931" s="117"/>
      <c r="BW931" s="118"/>
      <c r="BY931" s="119"/>
      <c r="BZ931" s="119"/>
      <c r="CA931" s="120"/>
      <c r="CU931" s="120"/>
      <c r="CV931" s="121"/>
      <c r="CW931" s="120"/>
      <c r="CX931" s="122"/>
    </row>
    <row r="932" ht="15.75" customHeight="1">
      <c r="B932" s="111"/>
      <c r="E932" s="112"/>
      <c r="AA932" s="113"/>
      <c r="AV932" s="114"/>
      <c r="AW932" s="114"/>
      <c r="AX932" s="115"/>
      <c r="AY932" s="116"/>
      <c r="AZ932" s="115"/>
      <c r="BA932" s="116"/>
      <c r="BB932" s="116"/>
      <c r="BC932" s="116"/>
      <c r="BP932" s="117"/>
      <c r="BQ932" s="117"/>
      <c r="BU932" s="117"/>
      <c r="BW932" s="118"/>
      <c r="BY932" s="119"/>
      <c r="BZ932" s="119"/>
      <c r="CA932" s="120"/>
      <c r="CU932" s="120"/>
      <c r="CV932" s="121"/>
      <c r="CW932" s="120"/>
      <c r="CX932" s="122"/>
    </row>
    <row r="933" ht="15.75" customHeight="1">
      <c r="B933" s="111"/>
      <c r="E933" s="112"/>
      <c r="AA933" s="113"/>
      <c r="AV933" s="114"/>
      <c r="AW933" s="114"/>
      <c r="AX933" s="115"/>
      <c r="AY933" s="116"/>
      <c r="AZ933" s="115"/>
      <c r="BA933" s="116"/>
      <c r="BB933" s="116"/>
      <c r="BC933" s="116"/>
      <c r="BP933" s="117"/>
      <c r="BQ933" s="117"/>
      <c r="BU933" s="117"/>
      <c r="BW933" s="118"/>
      <c r="BY933" s="119"/>
      <c r="BZ933" s="119"/>
      <c r="CA933" s="120"/>
      <c r="CU933" s="120"/>
      <c r="CV933" s="121"/>
      <c r="CW933" s="120"/>
      <c r="CX933" s="122"/>
    </row>
    <row r="934" ht="15.75" customHeight="1">
      <c r="B934" s="111"/>
      <c r="E934" s="112"/>
      <c r="AA934" s="113"/>
      <c r="AV934" s="114"/>
      <c r="AW934" s="114"/>
      <c r="AX934" s="115"/>
      <c r="AY934" s="116"/>
      <c r="AZ934" s="115"/>
      <c r="BA934" s="116"/>
      <c r="BB934" s="116"/>
      <c r="BC934" s="116"/>
      <c r="BP934" s="117"/>
      <c r="BQ934" s="117"/>
      <c r="BU934" s="117"/>
      <c r="BW934" s="118"/>
      <c r="BY934" s="119"/>
      <c r="BZ934" s="119"/>
      <c r="CA934" s="120"/>
      <c r="CU934" s="120"/>
      <c r="CV934" s="121"/>
      <c r="CW934" s="120"/>
      <c r="CX934" s="122"/>
    </row>
    <row r="935" ht="15.75" customHeight="1">
      <c r="B935" s="111"/>
      <c r="E935" s="112"/>
      <c r="AA935" s="113"/>
      <c r="AV935" s="114"/>
      <c r="AW935" s="114"/>
      <c r="AX935" s="115"/>
      <c r="AY935" s="116"/>
      <c r="AZ935" s="115"/>
      <c r="BA935" s="116"/>
      <c r="BB935" s="116"/>
      <c r="BC935" s="116"/>
      <c r="BP935" s="117"/>
      <c r="BQ935" s="117"/>
      <c r="BU935" s="117"/>
      <c r="BW935" s="118"/>
      <c r="BY935" s="119"/>
      <c r="BZ935" s="119"/>
      <c r="CA935" s="120"/>
      <c r="CU935" s="120"/>
      <c r="CV935" s="121"/>
      <c r="CW935" s="120"/>
      <c r="CX935" s="122"/>
    </row>
    <row r="936" ht="15.75" customHeight="1">
      <c r="B936" s="111"/>
      <c r="E936" s="112"/>
      <c r="AA936" s="113"/>
      <c r="AV936" s="114"/>
      <c r="AW936" s="114"/>
      <c r="AX936" s="115"/>
      <c r="AY936" s="116"/>
      <c r="AZ936" s="115"/>
      <c r="BA936" s="116"/>
      <c r="BB936" s="116"/>
      <c r="BC936" s="116"/>
      <c r="BP936" s="117"/>
      <c r="BQ936" s="117"/>
      <c r="BU936" s="117"/>
      <c r="BW936" s="118"/>
      <c r="BY936" s="119"/>
      <c r="BZ936" s="119"/>
      <c r="CA936" s="120"/>
      <c r="CU936" s="120"/>
      <c r="CV936" s="121"/>
      <c r="CW936" s="120"/>
      <c r="CX936" s="122"/>
    </row>
    <row r="937" ht="15.75" customHeight="1">
      <c r="B937" s="111"/>
      <c r="E937" s="112"/>
      <c r="AA937" s="113"/>
      <c r="AV937" s="114"/>
      <c r="AW937" s="114"/>
      <c r="AX937" s="115"/>
      <c r="AY937" s="116"/>
      <c r="AZ937" s="115"/>
      <c r="BA937" s="116"/>
      <c r="BB937" s="116"/>
      <c r="BC937" s="116"/>
      <c r="BP937" s="117"/>
      <c r="BQ937" s="117"/>
      <c r="BU937" s="117"/>
      <c r="BW937" s="118"/>
      <c r="BY937" s="119"/>
      <c r="BZ937" s="119"/>
      <c r="CA937" s="120"/>
      <c r="CU937" s="120"/>
      <c r="CV937" s="121"/>
      <c r="CW937" s="120"/>
      <c r="CX937" s="122"/>
    </row>
    <row r="938" ht="15.75" customHeight="1">
      <c r="B938" s="111"/>
      <c r="E938" s="112"/>
      <c r="AA938" s="113"/>
      <c r="AV938" s="114"/>
      <c r="AW938" s="114"/>
      <c r="AX938" s="115"/>
      <c r="AY938" s="116"/>
      <c r="AZ938" s="115"/>
      <c r="BA938" s="116"/>
      <c r="BB938" s="116"/>
      <c r="BC938" s="116"/>
      <c r="BP938" s="117"/>
      <c r="BQ938" s="117"/>
      <c r="BU938" s="117"/>
      <c r="BW938" s="118"/>
      <c r="BY938" s="119"/>
      <c r="BZ938" s="119"/>
      <c r="CA938" s="120"/>
      <c r="CU938" s="120"/>
      <c r="CV938" s="121"/>
      <c r="CW938" s="120"/>
      <c r="CX938" s="122"/>
    </row>
    <row r="939" ht="15.75" customHeight="1">
      <c r="B939" s="111"/>
      <c r="E939" s="112"/>
      <c r="AA939" s="113"/>
      <c r="AV939" s="114"/>
      <c r="AW939" s="114"/>
      <c r="AX939" s="115"/>
      <c r="AY939" s="116"/>
      <c r="AZ939" s="115"/>
      <c r="BA939" s="116"/>
      <c r="BB939" s="116"/>
      <c r="BC939" s="116"/>
      <c r="BP939" s="117"/>
      <c r="BQ939" s="117"/>
      <c r="BU939" s="117"/>
      <c r="BW939" s="118"/>
      <c r="BY939" s="119"/>
      <c r="BZ939" s="119"/>
      <c r="CA939" s="120"/>
      <c r="CU939" s="120"/>
      <c r="CV939" s="121"/>
      <c r="CW939" s="120"/>
      <c r="CX939" s="122"/>
    </row>
    <row r="940" ht="15.75" customHeight="1">
      <c r="B940" s="111"/>
      <c r="E940" s="112"/>
      <c r="AA940" s="113"/>
      <c r="AV940" s="114"/>
      <c r="AW940" s="114"/>
      <c r="AX940" s="115"/>
      <c r="AY940" s="116"/>
      <c r="AZ940" s="115"/>
      <c r="BA940" s="116"/>
      <c r="BB940" s="116"/>
      <c r="BC940" s="116"/>
      <c r="BP940" s="117"/>
      <c r="BQ940" s="117"/>
      <c r="BU940" s="117"/>
      <c r="BW940" s="118"/>
      <c r="BY940" s="119"/>
      <c r="BZ940" s="119"/>
      <c r="CA940" s="120"/>
      <c r="CU940" s="120"/>
      <c r="CV940" s="121"/>
      <c r="CW940" s="120"/>
      <c r="CX940" s="122"/>
    </row>
    <row r="941" ht="15.75" customHeight="1">
      <c r="B941" s="111"/>
      <c r="E941" s="112"/>
      <c r="AA941" s="113"/>
      <c r="AV941" s="114"/>
      <c r="AW941" s="114"/>
      <c r="AX941" s="115"/>
      <c r="AY941" s="116"/>
      <c r="AZ941" s="115"/>
      <c r="BA941" s="116"/>
      <c r="BB941" s="116"/>
      <c r="BC941" s="116"/>
      <c r="BP941" s="117"/>
      <c r="BQ941" s="117"/>
      <c r="BU941" s="117"/>
      <c r="BW941" s="118"/>
      <c r="BY941" s="119"/>
      <c r="BZ941" s="119"/>
      <c r="CA941" s="120"/>
      <c r="CU941" s="120"/>
      <c r="CV941" s="121"/>
      <c r="CW941" s="120"/>
      <c r="CX941" s="122"/>
    </row>
    <row r="942" ht="15.75" customHeight="1">
      <c r="B942" s="111"/>
      <c r="E942" s="112"/>
      <c r="AA942" s="113"/>
      <c r="AV942" s="114"/>
      <c r="AW942" s="114"/>
      <c r="AX942" s="115"/>
      <c r="AY942" s="116"/>
      <c r="AZ942" s="115"/>
      <c r="BA942" s="116"/>
      <c r="BB942" s="116"/>
      <c r="BC942" s="116"/>
      <c r="BP942" s="117"/>
      <c r="BQ942" s="117"/>
      <c r="BU942" s="117"/>
      <c r="BW942" s="118"/>
      <c r="BY942" s="119"/>
      <c r="BZ942" s="119"/>
      <c r="CA942" s="120"/>
      <c r="CU942" s="120"/>
      <c r="CV942" s="121"/>
      <c r="CW942" s="120"/>
      <c r="CX942" s="122"/>
    </row>
    <row r="943" ht="15.75" customHeight="1">
      <c r="B943" s="111"/>
      <c r="E943" s="112"/>
      <c r="AA943" s="113"/>
      <c r="AV943" s="114"/>
      <c r="AW943" s="114"/>
      <c r="AX943" s="115"/>
      <c r="AY943" s="116"/>
      <c r="AZ943" s="115"/>
      <c r="BA943" s="116"/>
      <c r="BB943" s="116"/>
      <c r="BC943" s="116"/>
      <c r="BP943" s="117"/>
      <c r="BQ943" s="117"/>
      <c r="BU943" s="117"/>
      <c r="BW943" s="118"/>
      <c r="BY943" s="119"/>
      <c r="BZ943" s="119"/>
      <c r="CA943" s="120"/>
      <c r="CU943" s="120"/>
      <c r="CV943" s="121"/>
      <c r="CW943" s="120"/>
      <c r="CX943" s="122"/>
    </row>
    <row r="944" ht="15.75" customHeight="1">
      <c r="B944" s="111"/>
      <c r="E944" s="112"/>
      <c r="AA944" s="113"/>
      <c r="AV944" s="114"/>
      <c r="AW944" s="114"/>
      <c r="AX944" s="115"/>
      <c r="AY944" s="116"/>
      <c r="AZ944" s="115"/>
      <c r="BA944" s="116"/>
      <c r="BB944" s="116"/>
      <c r="BC944" s="116"/>
      <c r="BP944" s="117"/>
      <c r="BQ944" s="117"/>
      <c r="BU944" s="117"/>
      <c r="BW944" s="118"/>
      <c r="BY944" s="119"/>
      <c r="BZ944" s="119"/>
      <c r="CA944" s="120"/>
      <c r="CU944" s="120"/>
      <c r="CV944" s="121"/>
      <c r="CW944" s="120"/>
      <c r="CX944" s="122"/>
    </row>
    <row r="945" ht="15.75" customHeight="1">
      <c r="B945" s="111"/>
      <c r="E945" s="112"/>
      <c r="AA945" s="113"/>
      <c r="AV945" s="114"/>
      <c r="AW945" s="114"/>
      <c r="AX945" s="115"/>
      <c r="AY945" s="116"/>
      <c r="AZ945" s="115"/>
      <c r="BA945" s="116"/>
      <c r="BB945" s="116"/>
      <c r="BC945" s="116"/>
      <c r="BP945" s="117"/>
      <c r="BQ945" s="117"/>
      <c r="BU945" s="117"/>
      <c r="BW945" s="118"/>
      <c r="BY945" s="119"/>
      <c r="BZ945" s="119"/>
      <c r="CA945" s="120"/>
      <c r="CU945" s="120"/>
      <c r="CV945" s="121"/>
      <c r="CW945" s="120"/>
      <c r="CX945" s="122"/>
    </row>
    <row r="946" ht="15.75" customHeight="1">
      <c r="B946" s="111"/>
      <c r="E946" s="112"/>
      <c r="AA946" s="113"/>
      <c r="AV946" s="114"/>
      <c r="AW946" s="114"/>
      <c r="AX946" s="115"/>
      <c r="AY946" s="116"/>
      <c r="AZ946" s="115"/>
      <c r="BA946" s="116"/>
      <c r="BB946" s="116"/>
      <c r="BC946" s="116"/>
      <c r="BP946" s="117"/>
      <c r="BQ946" s="117"/>
      <c r="BU946" s="117"/>
      <c r="BW946" s="118"/>
      <c r="BY946" s="119"/>
      <c r="BZ946" s="119"/>
      <c r="CA946" s="120"/>
      <c r="CU946" s="120"/>
      <c r="CV946" s="121"/>
      <c r="CW946" s="120"/>
      <c r="CX946" s="122"/>
    </row>
    <row r="947" ht="15.75" customHeight="1">
      <c r="B947" s="111"/>
      <c r="E947" s="112"/>
      <c r="AA947" s="113"/>
      <c r="AV947" s="114"/>
      <c r="AW947" s="114"/>
      <c r="AX947" s="115"/>
      <c r="AY947" s="116"/>
      <c r="AZ947" s="115"/>
      <c r="BA947" s="116"/>
      <c r="BB947" s="116"/>
      <c r="BC947" s="116"/>
      <c r="BP947" s="117"/>
      <c r="BQ947" s="117"/>
      <c r="BU947" s="117"/>
      <c r="BW947" s="118"/>
      <c r="BY947" s="119"/>
      <c r="BZ947" s="119"/>
      <c r="CA947" s="120"/>
      <c r="CU947" s="120"/>
      <c r="CV947" s="121"/>
      <c r="CW947" s="120"/>
      <c r="CX947" s="122"/>
    </row>
    <row r="948" ht="15.75" customHeight="1">
      <c r="B948" s="111"/>
      <c r="E948" s="112"/>
      <c r="AA948" s="113"/>
      <c r="AV948" s="114"/>
      <c r="AW948" s="114"/>
      <c r="AX948" s="115"/>
      <c r="AY948" s="116"/>
      <c r="AZ948" s="115"/>
      <c r="BA948" s="116"/>
      <c r="BB948" s="116"/>
      <c r="BC948" s="116"/>
      <c r="BP948" s="117"/>
      <c r="BQ948" s="117"/>
      <c r="BU948" s="117"/>
      <c r="BW948" s="118"/>
      <c r="BY948" s="119"/>
      <c r="BZ948" s="119"/>
      <c r="CA948" s="120"/>
      <c r="CU948" s="120"/>
      <c r="CV948" s="121"/>
      <c r="CW948" s="120"/>
      <c r="CX948" s="122"/>
    </row>
    <row r="949" ht="15.75" customHeight="1">
      <c r="B949" s="111"/>
      <c r="E949" s="112"/>
      <c r="AA949" s="113"/>
      <c r="AV949" s="114"/>
      <c r="AW949" s="114"/>
      <c r="AX949" s="115"/>
      <c r="AY949" s="116"/>
      <c r="AZ949" s="115"/>
      <c r="BA949" s="116"/>
      <c r="BB949" s="116"/>
      <c r="BC949" s="116"/>
      <c r="BP949" s="117"/>
      <c r="BQ949" s="117"/>
      <c r="BU949" s="117"/>
      <c r="BW949" s="118"/>
      <c r="BY949" s="119"/>
      <c r="BZ949" s="119"/>
      <c r="CA949" s="120"/>
      <c r="CU949" s="120"/>
      <c r="CV949" s="121"/>
      <c r="CW949" s="120"/>
      <c r="CX949" s="122"/>
    </row>
    <row r="950" ht="15.75" customHeight="1">
      <c r="B950" s="111"/>
      <c r="E950" s="112"/>
      <c r="AA950" s="113"/>
      <c r="AV950" s="114"/>
      <c r="AW950" s="114"/>
      <c r="AX950" s="115"/>
      <c r="AY950" s="116"/>
      <c r="AZ950" s="115"/>
      <c r="BA950" s="116"/>
      <c r="BB950" s="116"/>
      <c r="BC950" s="116"/>
      <c r="BP950" s="117"/>
      <c r="BQ950" s="117"/>
      <c r="BU950" s="117"/>
      <c r="BW950" s="118"/>
      <c r="BY950" s="119"/>
      <c r="BZ950" s="119"/>
      <c r="CA950" s="120"/>
      <c r="CU950" s="120"/>
      <c r="CV950" s="121"/>
      <c r="CW950" s="120"/>
      <c r="CX950" s="122"/>
    </row>
    <row r="951" ht="15.75" customHeight="1">
      <c r="B951" s="111"/>
      <c r="E951" s="112"/>
      <c r="AA951" s="113"/>
      <c r="AV951" s="114"/>
      <c r="AW951" s="114"/>
      <c r="AX951" s="115"/>
      <c r="AY951" s="116"/>
      <c r="AZ951" s="115"/>
      <c r="BA951" s="116"/>
      <c r="BB951" s="116"/>
      <c r="BC951" s="116"/>
      <c r="BP951" s="117"/>
      <c r="BQ951" s="117"/>
      <c r="BU951" s="117"/>
      <c r="BW951" s="118"/>
      <c r="BY951" s="119"/>
      <c r="BZ951" s="119"/>
      <c r="CA951" s="120"/>
      <c r="CU951" s="120"/>
      <c r="CV951" s="121"/>
      <c r="CW951" s="120"/>
      <c r="CX951" s="122"/>
    </row>
    <row r="952" ht="15.75" customHeight="1">
      <c r="B952" s="111"/>
      <c r="E952" s="112"/>
      <c r="AA952" s="113"/>
      <c r="AV952" s="114"/>
      <c r="AW952" s="114"/>
      <c r="AX952" s="115"/>
      <c r="AY952" s="116"/>
      <c r="AZ952" s="115"/>
      <c r="BA952" s="116"/>
      <c r="BB952" s="116"/>
      <c r="BC952" s="116"/>
      <c r="BP952" s="117"/>
      <c r="BQ952" s="117"/>
      <c r="BU952" s="117"/>
      <c r="BW952" s="118"/>
      <c r="BY952" s="119"/>
      <c r="BZ952" s="119"/>
      <c r="CA952" s="120"/>
      <c r="CU952" s="120"/>
      <c r="CV952" s="121"/>
      <c r="CW952" s="120"/>
      <c r="CX952" s="122"/>
    </row>
    <row r="953" ht="15.75" customHeight="1">
      <c r="B953" s="111"/>
      <c r="E953" s="112"/>
      <c r="AA953" s="113"/>
      <c r="AV953" s="114"/>
      <c r="AW953" s="114"/>
      <c r="AX953" s="115"/>
      <c r="AY953" s="116"/>
      <c r="AZ953" s="115"/>
      <c r="BA953" s="116"/>
      <c r="BB953" s="116"/>
      <c r="BC953" s="116"/>
      <c r="BP953" s="117"/>
      <c r="BQ953" s="117"/>
      <c r="BU953" s="117"/>
      <c r="BW953" s="118"/>
      <c r="BY953" s="119"/>
      <c r="BZ953" s="119"/>
      <c r="CA953" s="120"/>
      <c r="CU953" s="120"/>
      <c r="CV953" s="121"/>
      <c r="CW953" s="120"/>
      <c r="CX953" s="122"/>
    </row>
    <row r="954" ht="15.75" customHeight="1">
      <c r="B954" s="111"/>
      <c r="E954" s="112"/>
      <c r="AA954" s="113"/>
      <c r="AV954" s="114"/>
      <c r="AW954" s="114"/>
      <c r="AX954" s="115"/>
      <c r="AY954" s="116"/>
      <c r="AZ954" s="115"/>
      <c r="BA954" s="116"/>
      <c r="BB954" s="116"/>
      <c r="BC954" s="116"/>
      <c r="BP954" s="117"/>
      <c r="BQ954" s="117"/>
      <c r="BU954" s="117"/>
      <c r="BW954" s="118"/>
      <c r="BY954" s="119"/>
      <c r="BZ954" s="119"/>
      <c r="CA954" s="120"/>
      <c r="CU954" s="120"/>
      <c r="CV954" s="121"/>
      <c r="CW954" s="120"/>
      <c r="CX954" s="122"/>
    </row>
    <row r="955" ht="15.75" customHeight="1">
      <c r="B955" s="111"/>
      <c r="E955" s="112"/>
      <c r="AA955" s="113"/>
      <c r="AV955" s="114"/>
      <c r="AW955" s="114"/>
      <c r="AX955" s="115"/>
      <c r="AY955" s="116"/>
      <c r="AZ955" s="115"/>
      <c r="BA955" s="116"/>
      <c r="BB955" s="116"/>
      <c r="BC955" s="116"/>
      <c r="BP955" s="117"/>
      <c r="BQ955" s="117"/>
      <c r="BU955" s="117"/>
      <c r="BW955" s="118"/>
      <c r="BY955" s="119"/>
      <c r="BZ955" s="119"/>
      <c r="CA955" s="120"/>
      <c r="CU955" s="120"/>
      <c r="CV955" s="121"/>
      <c r="CW955" s="120"/>
      <c r="CX955" s="122"/>
    </row>
    <row r="956" ht="15.75" customHeight="1">
      <c r="B956" s="111"/>
      <c r="E956" s="112"/>
      <c r="AA956" s="113"/>
      <c r="AV956" s="114"/>
      <c r="AW956" s="114"/>
      <c r="AX956" s="115"/>
      <c r="AY956" s="116"/>
      <c r="AZ956" s="115"/>
      <c r="BA956" s="116"/>
      <c r="BB956" s="116"/>
      <c r="BC956" s="116"/>
      <c r="BP956" s="117"/>
      <c r="BQ956" s="117"/>
      <c r="BU956" s="117"/>
      <c r="BW956" s="118"/>
      <c r="BY956" s="119"/>
      <c r="BZ956" s="119"/>
      <c r="CA956" s="120"/>
      <c r="CU956" s="120"/>
      <c r="CV956" s="121"/>
      <c r="CW956" s="120"/>
      <c r="CX956" s="122"/>
    </row>
    <row r="957" ht="15.75" customHeight="1">
      <c r="B957" s="111"/>
      <c r="E957" s="112"/>
      <c r="AA957" s="113"/>
      <c r="AV957" s="114"/>
      <c r="AW957" s="114"/>
      <c r="AX957" s="115"/>
      <c r="AY957" s="116"/>
      <c r="AZ957" s="115"/>
      <c r="BA957" s="116"/>
      <c r="BB957" s="116"/>
      <c r="BC957" s="116"/>
      <c r="BP957" s="117"/>
      <c r="BQ957" s="117"/>
      <c r="BU957" s="117"/>
      <c r="BW957" s="118"/>
      <c r="BY957" s="119"/>
      <c r="BZ957" s="119"/>
      <c r="CA957" s="120"/>
      <c r="CU957" s="120"/>
      <c r="CV957" s="121"/>
      <c r="CW957" s="120"/>
      <c r="CX957" s="122"/>
    </row>
    <row r="958" ht="15.75" customHeight="1">
      <c r="B958" s="111"/>
      <c r="E958" s="112"/>
      <c r="AA958" s="113"/>
      <c r="AV958" s="114"/>
      <c r="AW958" s="114"/>
      <c r="AX958" s="115"/>
      <c r="AY958" s="116"/>
      <c r="AZ958" s="115"/>
      <c r="BA958" s="116"/>
      <c r="BB958" s="116"/>
      <c r="BC958" s="116"/>
      <c r="BP958" s="117"/>
      <c r="BQ958" s="117"/>
      <c r="BU958" s="117"/>
      <c r="BW958" s="118"/>
      <c r="BY958" s="119"/>
      <c r="BZ958" s="119"/>
      <c r="CA958" s="120"/>
      <c r="CU958" s="120"/>
      <c r="CV958" s="121"/>
      <c r="CW958" s="120"/>
      <c r="CX958" s="122"/>
    </row>
    <row r="959" ht="15.75" customHeight="1">
      <c r="B959" s="111"/>
      <c r="E959" s="112"/>
      <c r="AA959" s="113"/>
      <c r="AV959" s="114"/>
      <c r="AW959" s="114"/>
      <c r="AX959" s="115"/>
      <c r="AY959" s="116"/>
      <c r="AZ959" s="115"/>
      <c r="BA959" s="116"/>
      <c r="BB959" s="116"/>
      <c r="BC959" s="116"/>
      <c r="BP959" s="117"/>
      <c r="BQ959" s="117"/>
      <c r="BU959" s="117"/>
      <c r="BW959" s="118"/>
      <c r="BY959" s="119"/>
      <c r="BZ959" s="119"/>
      <c r="CA959" s="120"/>
      <c r="CU959" s="120"/>
      <c r="CV959" s="121"/>
      <c r="CW959" s="120"/>
      <c r="CX959" s="122"/>
    </row>
    <row r="960" ht="15.75" customHeight="1">
      <c r="B960" s="111"/>
      <c r="E960" s="112"/>
      <c r="AA960" s="113"/>
      <c r="AV960" s="114"/>
      <c r="AW960" s="114"/>
      <c r="AX960" s="115"/>
      <c r="AY960" s="116"/>
      <c r="AZ960" s="115"/>
      <c r="BA960" s="116"/>
      <c r="BB960" s="116"/>
      <c r="BC960" s="116"/>
      <c r="BP960" s="117"/>
      <c r="BQ960" s="117"/>
      <c r="BU960" s="117"/>
      <c r="BW960" s="118"/>
      <c r="BY960" s="119"/>
      <c r="BZ960" s="119"/>
      <c r="CA960" s="120"/>
      <c r="CU960" s="120"/>
      <c r="CV960" s="121"/>
      <c r="CW960" s="120"/>
      <c r="CX960" s="122"/>
    </row>
    <row r="961" ht="15.75" customHeight="1">
      <c r="B961" s="111"/>
      <c r="E961" s="112"/>
      <c r="AA961" s="113"/>
      <c r="AV961" s="114"/>
      <c r="AW961" s="114"/>
      <c r="AX961" s="115"/>
      <c r="AY961" s="116"/>
      <c r="AZ961" s="115"/>
      <c r="BA961" s="116"/>
      <c r="BB961" s="116"/>
      <c r="BC961" s="116"/>
      <c r="BP961" s="117"/>
      <c r="BQ961" s="117"/>
      <c r="BU961" s="117"/>
      <c r="BW961" s="118"/>
      <c r="BY961" s="119"/>
      <c r="BZ961" s="119"/>
      <c r="CA961" s="120"/>
      <c r="CU961" s="120"/>
      <c r="CV961" s="121"/>
      <c r="CW961" s="120"/>
      <c r="CX961" s="122"/>
    </row>
    <row r="962" ht="15.75" customHeight="1">
      <c r="B962" s="111"/>
      <c r="E962" s="112"/>
      <c r="AA962" s="113"/>
      <c r="AV962" s="114"/>
      <c r="AW962" s="114"/>
      <c r="AX962" s="115"/>
      <c r="AY962" s="116"/>
      <c r="AZ962" s="115"/>
      <c r="BA962" s="116"/>
      <c r="BB962" s="116"/>
      <c r="BC962" s="116"/>
      <c r="BP962" s="117"/>
      <c r="BQ962" s="117"/>
      <c r="BU962" s="117"/>
      <c r="BW962" s="118"/>
      <c r="BY962" s="119"/>
      <c r="BZ962" s="119"/>
      <c r="CA962" s="120"/>
      <c r="CU962" s="120"/>
      <c r="CV962" s="121"/>
      <c r="CW962" s="120"/>
      <c r="CX962" s="122"/>
    </row>
    <row r="963" ht="15.75" customHeight="1">
      <c r="B963" s="111"/>
      <c r="E963" s="112"/>
      <c r="AA963" s="113"/>
      <c r="AV963" s="114"/>
      <c r="AW963" s="114"/>
      <c r="AX963" s="115"/>
      <c r="AY963" s="116"/>
      <c r="AZ963" s="115"/>
      <c r="BA963" s="116"/>
      <c r="BB963" s="116"/>
      <c r="BC963" s="116"/>
      <c r="BP963" s="117"/>
      <c r="BQ963" s="117"/>
      <c r="BU963" s="117"/>
      <c r="BW963" s="118"/>
      <c r="BY963" s="119"/>
      <c r="BZ963" s="119"/>
      <c r="CA963" s="120"/>
      <c r="CU963" s="120"/>
      <c r="CV963" s="121"/>
      <c r="CW963" s="120"/>
      <c r="CX963" s="122"/>
    </row>
    <row r="964" ht="15.75" customHeight="1">
      <c r="B964" s="111"/>
      <c r="E964" s="112"/>
      <c r="AA964" s="113"/>
      <c r="AV964" s="114"/>
      <c r="AW964" s="114"/>
      <c r="AX964" s="115"/>
      <c r="AY964" s="116"/>
      <c r="AZ964" s="115"/>
      <c r="BA964" s="116"/>
      <c r="BB964" s="116"/>
      <c r="BC964" s="116"/>
      <c r="BP964" s="117"/>
      <c r="BQ964" s="117"/>
      <c r="BU964" s="117"/>
      <c r="BW964" s="118"/>
      <c r="BY964" s="119"/>
      <c r="BZ964" s="119"/>
      <c r="CA964" s="120"/>
      <c r="CU964" s="120"/>
      <c r="CV964" s="121"/>
      <c r="CW964" s="120"/>
      <c r="CX964" s="122"/>
    </row>
    <row r="965" ht="15.75" customHeight="1">
      <c r="B965" s="111"/>
      <c r="E965" s="112"/>
      <c r="AA965" s="113"/>
      <c r="AV965" s="114"/>
      <c r="AW965" s="114"/>
      <c r="AX965" s="115"/>
      <c r="AY965" s="116"/>
      <c r="AZ965" s="115"/>
      <c r="BA965" s="116"/>
      <c r="BB965" s="116"/>
      <c r="BC965" s="116"/>
      <c r="BP965" s="117"/>
      <c r="BQ965" s="117"/>
      <c r="BU965" s="117"/>
      <c r="BW965" s="118"/>
      <c r="BY965" s="119"/>
      <c r="BZ965" s="119"/>
      <c r="CA965" s="120"/>
      <c r="CU965" s="120"/>
      <c r="CV965" s="121"/>
      <c r="CW965" s="120"/>
      <c r="CX965" s="122"/>
    </row>
    <row r="966" ht="15.75" customHeight="1">
      <c r="B966" s="111"/>
      <c r="E966" s="112"/>
      <c r="AA966" s="113"/>
      <c r="AV966" s="114"/>
      <c r="AW966" s="114"/>
      <c r="AX966" s="115"/>
      <c r="AY966" s="116"/>
      <c r="AZ966" s="115"/>
      <c r="BA966" s="116"/>
      <c r="BB966" s="116"/>
      <c r="BC966" s="116"/>
      <c r="BP966" s="117"/>
      <c r="BQ966" s="117"/>
      <c r="BU966" s="117"/>
      <c r="BW966" s="118"/>
      <c r="BY966" s="119"/>
      <c r="BZ966" s="119"/>
      <c r="CA966" s="120"/>
      <c r="CU966" s="120"/>
      <c r="CV966" s="121"/>
      <c r="CW966" s="120"/>
      <c r="CX966" s="122"/>
    </row>
    <row r="967" ht="15.75" customHeight="1">
      <c r="B967" s="111"/>
      <c r="E967" s="112"/>
      <c r="AA967" s="113"/>
      <c r="AV967" s="114"/>
      <c r="AW967" s="114"/>
      <c r="AX967" s="115"/>
      <c r="AY967" s="116"/>
      <c r="AZ967" s="115"/>
      <c r="BA967" s="116"/>
      <c r="BB967" s="116"/>
      <c r="BC967" s="116"/>
      <c r="BP967" s="117"/>
      <c r="BQ967" s="117"/>
      <c r="BU967" s="117"/>
      <c r="BW967" s="118"/>
      <c r="BY967" s="119"/>
      <c r="BZ967" s="119"/>
      <c r="CA967" s="120"/>
      <c r="CU967" s="120"/>
      <c r="CV967" s="121"/>
      <c r="CW967" s="120"/>
      <c r="CX967" s="122"/>
    </row>
    <row r="968" ht="15.75" customHeight="1">
      <c r="B968" s="111"/>
      <c r="E968" s="112"/>
      <c r="AA968" s="113"/>
      <c r="AV968" s="114"/>
      <c r="AW968" s="114"/>
      <c r="AX968" s="115"/>
      <c r="AY968" s="116"/>
      <c r="AZ968" s="115"/>
      <c r="BA968" s="116"/>
      <c r="BB968" s="116"/>
      <c r="BC968" s="116"/>
      <c r="BP968" s="117"/>
      <c r="BQ968" s="117"/>
      <c r="BU968" s="117"/>
      <c r="BW968" s="118"/>
      <c r="BY968" s="119"/>
      <c r="BZ968" s="119"/>
      <c r="CA968" s="120"/>
      <c r="CU968" s="120"/>
      <c r="CV968" s="121"/>
      <c r="CW968" s="120"/>
      <c r="CX968" s="122"/>
    </row>
    <row r="969" ht="15.75" customHeight="1">
      <c r="B969" s="111"/>
      <c r="E969" s="112"/>
      <c r="AA969" s="113"/>
      <c r="AV969" s="114"/>
      <c r="AW969" s="114"/>
      <c r="AX969" s="115"/>
      <c r="AY969" s="116"/>
      <c r="AZ969" s="115"/>
      <c r="BA969" s="116"/>
      <c r="BB969" s="116"/>
      <c r="BC969" s="116"/>
      <c r="BP969" s="117"/>
      <c r="BQ969" s="117"/>
      <c r="BU969" s="117"/>
      <c r="BW969" s="118"/>
      <c r="BY969" s="119"/>
      <c r="BZ969" s="119"/>
      <c r="CA969" s="120"/>
      <c r="CU969" s="120"/>
      <c r="CV969" s="121"/>
      <c r="CW969" s="120"/>
      <c r="CX969" s="122"/>
    </row>
    <row r="970" ht="15.75" customHeight="1">
      <c r="B970" s="111"/>
      <c r="E970" s="112"/>
      <c r="AA970" s="113"/>
      <c r="AV970" s="114"/>
      <c r="AW970" s="114"/>
      <c r="AX970" s="115"/>
      <c r="AY970" s="116"/>
      <c r="AZ970" s="115"/>
      <c r="BA970" s="116"/>
      <c r="BB970" s="116"/>
      <c r="BC970" s="116"/>
      <c r="BP970" s="117"/>
      <c r="BQ970" s="117"/>
      <c r="BU970" s="117"/>
      <c r="BW970" s="118"/>
      <c r="BY970" s="119"/>
      <c r="BZ970" s="119"/>
      <c r="CA970" s="120"/>
      <c r="CU970" s="120"/>
      <c r="CV970" s="121"/>
      <c r="CW970" s="120"/>
      <c r="CX970" s="122"/>
    </row>
    <row r="971" ht="15.75" customHeight="1">
      <c r="B971" s="111"/>
      <c r="E971" s="112"/>
      <c r="AA971" s="113"/>
      <c r="AV971" s="114"/>
      <c r="AW971" s="114"/>
      <c r="AX971" s="115"/>
      <c r="AY971" s="116"/>
      <c r="AZ971" s="115"/>
      <c r="BA971" s="116"/>
      <c r="BB971" s="116"/>
      <c r="BC971" s="116"/>
      <c r="BP971" s="117"/>
      <c r="BQ971" s="117"/>
      <c r="BU971" s="117"/>
      <c r="BW971" s="118"/>
      <c r="BY971" s="119"/>
      <c r="BZ971" s="119"/>
      <c r="CA971" s="120"/>
      <c r="CU971" s="120"/>
      <c r="CV971" s="121"/>
      <c r="CW971" s="120"/>
      <c r="CX971" s="122"/>
    </row>
    <row r="972" ht="15.75" customHeight="1">
      <c r="B972" s="111"/>
      <c r="E972" s="112"/>
      <c r="AA972" s="113"/>
      <c r="AV972" s="114"/>
      <c r="AW972" s="114"/>
      <c r="AX972" s="115"/>
      <c r="AY972" s="116"/>
      <c r="AZ972" s="115"/>
      <c r="BA972" s="116"/>
      <c r="BB972" s="116"/>
      <c r="BC972" s="116"/>
      <c r="BP972" s="117"/>
      <c r="BQ972" s="117"/>
      <c r="BU972" s="117"/>
      <c r="BW972" s="118"/>
      <c r="BY972" s="119"/>
      <c r="BZ972" s="119"/>
      <c r="CA972" s="120"/>
      <c r="CU972" s="120"/>
      <c r="CV972" s="121"/>
      <c r="CW972" s="120"/>
      <c r="CX972" s="122"/>
    </row>
    <row r="973" ht="15.75" customHeight="1">
      <c r="B973" s="111"/>
      <c r="E973" s="112"/>
      <c r="AA973" s="113"/>
      <c r="AV973" s="114"/>
      <c r="AW973" s="114"/>
      <c r="AX973" s="115"/>
      <c r="AY973" s="116"/>
      <c r="AZ973" s="115"/>
      <c r="BA973" s="116"/>
      <c r="BB973" s="116"/>
      <c r="BC973" s="116"/>
      <c r="BP973" s="117"/>
      <c r="BQ973" s="117"/>
      <c r="BU973" s="117"/>
      <c r="BW973" s="118"/>
      <c r="BY973" s="119"/>
      <c r="BZ973" s="119"/>
      <c r="CA973" s="120"/>
      <c r="CU973" s="120"/>
      <c r="CV973" s="121"/>
      <c r="CW973" s="120"/>
      <c r="CX973" s="122"/>
    </row>
    <row r="974" ht="15.75" customHeight="1">
      <c r="B974" s="111"/>
      <c r="E974" s="112"/>
      <c r="AA974" s="113"/>
      <c r="AV974" s="114"/>
      <c r="AW974" s="114"/>
      <c r="AX974" s="115"/>
      <c r="AY974" s="116"/>
      <c r="AZ974" s="115"/>
      <c r="BA974" s="116"/>
      <c r="BB974" s="116"/>
      <c r="BC974" s="116"/>
      <c r="BP974" s="117"/>
      <c r="BQ974" s="117"/>
      <c r="BU974" s="117"/>
      <c r="BW974" s="118"/>
      <c r="BY974" s="119"/>
      <c r="BZ974" s="119"/>
      <c r="CA974" s="120"/>
      <c r="CU974" s="120"/>
      <c r="CV974" s="121"/>
      <c r="CW974" s="120"/>
      <c r="CX974" s="122"/>
    </row>
    <row r="975" ht="15.75" customHeight="1">
      <c r="B975" s="111"/>
      <c r="E975" s="112"/>
      <c r="AA975" s="113"/>
      <c r="AV975" s="114"/>
      <c r="AW975" s="114"/>
      <c r="AX975" s="115"/>
      <c r="AY975" s="116"/>
      <c r="AZ975" s="115"/>
      <c r="BA975" s="116"/>
      <c r="BB975" s="116"/>
      <c r="BC975" s="116"/>
      <c r="BP975" s="117"/>
      <c r="BQ975" s="117"/>
      <c r="BU975" s="117"/>
      <c r="BW975" s="118"/>
      <c r="BY975" s="119"/>
      <c r="BZ975" s="119"/>
      <c r="CA975" s="120"/>
      <c r="CU975" s="120"/>
      <c r="CV975" s="121"/>
      <c r="CW975" s="120"/>
      <c r="CX975" s="122"/>
    </row>
    <row r="976" ht="15.75" customHeight="1">
      <c r="B976" s="111"/>
      <c r="E976" s="112"/>
      <c r="AA976" s="113"/>
      <c r="AV976" s="114"/>
      <c r="AW976" s="114"/>
      <c r="AX976" s="115"/>
      <c r="AY976" s="116"/>
      <c r="AZ976" s="115"/>
      <c r="BA976" s="116"/>
      <c r="BB976" s="116"/>
      <c r="BC976" s="116"/>
      <c r="BP976" s="117"/>
      <c r="BQ976" s="117"/>
      <c r="BU976" s="117"/>
      <c r="BW976" s="118"/>
      <c r="BY976" s="119"/>
      <c r="BZ976" s="119"/>
      <c r="CA976" s="120"/>
      <c r="CU976" s="120"/>
      <c r="CV976" s="121"/>
      <c r="CW976" s="120"/>
      <c r="CX976" s="122"/>
    </row>
    <row r="977" ht="15.75" customHeight="1">
      <c r="B977" s="111"/>
      <c r="E977" s="112"/>
      <c r="AA977" s="113"/>
      <c r="AV977" s="114"/>
      <c r="AW977" s="114"/>
      <c r="AX977" s="115"/>
      <c r="AY977" s="116"/>
      <c r="AZ977" s="115"/>
      <c r="BA977" s="116"/>
      <c r="BB977" s="116"/>
      <c r="BC977" s="116"/>
      <c r="BP977" s="117"/>
      <c r="BQ977" s="117"/>
      <c r="BU977" s="117"/>
      <c r="BW977" s="118"/>
      <c r="BY977" s="119"/>
      <c r="BZ977" s="119"/>
      <c r="CA977" s="120"/>
      <c r="CU977" s="120"/>
      <c r="CV977" s="121"/>
      <c r="CW977" s="120"/>
      <c r="CX977" s="122"/>
    </row>
  </sheetData>
  <conditionalFormatting sqref="BI1:BI977">
    <cfRule type="cellIs" dxfId="0" priority="1" operator="greaterThanOrEqual">
      <formula>"75%"</formula>
    </cfRule>
  </conditionalFormatting>
  <printOptions/>
  <pageMargins bottom="1.0" footer="0.0" header="0.0" left="0.75" right="0.75" top="1.0"/>
  <pageSetup orientation="landscape"/>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2.71"/>
    <col customWidth="1" min="2" max="2" width="12.0"/>
    <col customWidth="1" min="4" max="4" width="9.0"/>
    <col customWidth="1" min="5" max="5" width="10.43"/>
    <col customWidth="1" min="6" max="6" width="11.43"/>
    <col customWidth="1" min="7" max="7" width="7.86"/>
    <col customWidth="1" min="8" max="8" width="12.14"/>
    <col customWidth="1" min="9" max="9" width="9.0"/>
    <col customWidth="1" min="10" max="10" width="16.86"/>
    <col customWidth="1" min="11" max="11" width="11.29"/>
    <col customWidth="1" min="12" max="13" width="9.43"/>
    <col customWidth="1" min="14" max="14" width="9.71"/>
    <col customWidth="1" min="15" max="15" width="8.43"/>
    <col customWidth="1" min="16" max="16" width="9.29"/>
  </cols>
  <sheetData>
    <row r="1">
      <c r="A1" s="228" t="str">
        <f>Raw!A1</f>
        <v>Reference</v>
      </c>
      <c r="B1" s="230" t="str">
        <f>Raw!E1</f>
        <v>Date</v>
      </c>
      <c r="C1" s="229" t="str">
        <f>Display_All!Q1</f>
        <v>Int. Dia (cm)</v>
      </c>
      <c r="D1" s="229" t="str">
        <f>Display_All!R1</f>
        <v>Tuyere Dia (cm)</v>
      </c>
      <c r="E1" s="232" t="str">
        <f>Calcs!B1</f>
        <v>Calc. Area (cm2)</v>
      </c>
      <c r="F1" s="229" t="str">
        <f>Display_All!V1</f>
        <v>Tuyere Type</v>
      </c>
      <c r="G1" s="229" t="str">
        <f>Display_All!W1</f>
        <v>Tuyere ID (cm)</v>
      </c>
      <c r="H1" s="229" t="str">
        <f>Display_All!X1</f>
        <v>Tuyere Angle (Deg)</v>
      </c>
      <c r="I1" s="229" t="str">
        <f>Display_All!Y1</f>
        <v>Tuyere Insert (cm)</v>
      </c>
      <c r="J1" s="229" t="str">
        <f>Display_All!AB1</f>
        <v>Blower</v>
      </c>
      <c r="K1" s="229" t="str">
        <f>Display_All!AC1</f>
        <v>Air Volume Avg (L/min)</v>
      </c>
      <c r="L1" s="295" t="str">
        <f>Raw!AV1</f>
        <v>Corrected (L/min)</v>
      </c>
      <c r="M1" s="295" t="str">
        <f>Display_All!AD1</f>
        <v>Ideal @ 1.2 (L/Min)</v>
      </c>
      <c r="N1" s="296" t="str">
        <f>Display_All!AP1</f>
        <v>Burn Rate (Min/Kg)</v>
      </c>
      <c r="O1" s="296" t="str">
        <f>Display_All!AW1</f>
        <v>Yield (%)</v>
      </c>
      <c r="P1" s="297" t="str">
        <f>Display_All!AX1</f>
        <v>Yield % Fe</v>
      </c>
      <c r="Q1" s="288" t="str">
        <f>Raw!H1</f>
        <v>Expt Group</v>
      </c>
      <c r="R1" s="288" t="str">
        <f>Raw!G1</f>
        <v>Demo</v>
      </c>
    </row>
    <row r="2">
      <c r="A2" s="238">
        <f>Raw!A2</f>
        <v>1</v>
      </c>
      <c r="B2" s="240">
        <f>Raw!E2</f>
        <v>37069</v>
      </c>
      <c r="C2" s="239" t="str">
        <f>Display_All!Q2</f>
        <v>35 x 30</v>
      </c>
      <c r="D2" s="239" t="str">
        <f>Display_All!R2</f>
        <v/>
      </c>
      <c r="E2" s="241">
        <f>Calcs!B2</f>
        <v>1050</v>
      </c>
      <c r="F2" s="239" t="str">
        <f>Display_All!V2</f>
        <v>steel pipe</v>
      </c>
      <c r="G2" s="239" t="str">
        <f>Display_All!W2</f>
        <v>2.5</v>
      </c>
      <c r="H2" s="239" t="str">
        <f>Display_All!X2</f>
        <v>NR Up</v>
      </c>
      <c r="I2" s="239" t="str">
        <f>Display_All!Y2</f>
        <v>3</v>
      </c>
      <c r="J2" s="239" t="str">
        <f>Display_All!AB2</f>
        <v>Norse twin smith's</v>
      </c>
      <c r="K2" s="239" t="str">
        <f>Display_All!AC2</f>
        <v>120 (E)</v>
      </c>
      <c r="L2" s="298" t="str">
        <f>Raw!AV2</f>
        <v/>
      </c>
      <c r="M2" s="299">
        <f>Display_All!AD2</f>
        <v>1260</v>
      </c>
      <c r="N2" s="300">
        <f>Display_All!AP2</f>
        <v>13.55555556</v>
      </c>
      <c r="O2" s="301">
        <f>Display_All!AW2</f>
        <v>0.06666666667</v>
      </c>
      <c r="P2" s="302">
        <f>Display_All!AX2</f>
        <v>0.1056246008</v>
      </c>
      <c r="Q2" s="264" t="str">
        <f>Raw!H2</f>
        <v>Vinland</v>
      </c>
      <c r="R2" s="264" t="str">
        <f>Raw!G2</f>
        <v>N</v>
      </c>
    </row>
    <row r="3">
      <c r="A3" s="249" t="str">
        <f>Raw!A3</f>
        <v>2 / D1</v>
      </c>
      <c r="B3" s="251">
        <f>Raw!E3</f>
        <v>37402</v>
      </c>
      <c r="C3" s="250" t="str">
        <f>Display_All!Q3</f>
        <v>45 x 40</v>
      </c>
      <c r="D3" s="250" t="str">
        <f>Display_All!R3</f>
        <v/>
      </c>
      <c r="E3" s="262">
        <f>Calcs!B3</f>
        <v>1800</v>
      </c>
      <c r="F3" s="250" t="str">
        <f>Display_All!V3</f>
        <v>steel pipe</v>
      </c>
      <c r="G3" s="250" t="str">
        <f>Display_All!W3</f>
        <v>2.5</v>
      </c>
      <c r="H3" s="250" t="str">
        <f>Display_All!X3</f>
        <v>5 Up (E)</v>
      </c>
      <c r="I3" s="250" t="str">
        <f>Display_All!Y3</f>
        <v>NR</v>
      </c>
      <c r="J3" s="250" t="str">
        <f>Display_All!AB3</f>
        <v>Norse twin smith's</v>
      </c>
      <c r="K3" s="250" t="str">
        <f>Display_All!AC3</f>
        <v>100 (E)</v>
      </c>
      <c r="L3" s="303" t="str">
        <f>Raw!AV3</f>
        <v/>
      </c>
      <c r="M3" s="304">
        <f>Display_All!AD3</f>
        <v>2160</v>
      </c>
      <c r="N3" s="305">
        <f>Display_All!AP3</f>
        <v>10.35</v>
      </c>
      <c r="O3" s="301" t="str">
        <f>Display_All!AW3</f>
        <v>na</v>
      </c>
      <c r="P3" s="278" t="str">
        <f>Display_All!AX3</f>
        <v>na</v>
      </c>
      <c r="Q3" s="264" t="str">
        <f>Raw!H3</f>
        <v>Vinland</v>
      </c>
      <c r="R3" s="264" t="str">
        <f>Raw!G3</f>
        <v>N</v>
      </c>
    </row>
    <row r="4">
      <c r="A4" s="249" t="str">
        <f>Raw!A4</f>
        <v>3 / D2</v>
      </c>
      <c r="B4" s="251">
        <f>Raw!E4</f>
        <v>37778</v>
      </c>
      <c r="C4" s="250" t="str">
        <f>Display_All!Q4</f>
        <v>27 to 24</v>
      </c>
      <c r="D4" s="250" t="str">
        <f>Display_All!R4</f>
        <v>26 (E)</v>
      </c>
      <c r="E4" s="262" t="str">
        <f>Calcs!B4</f>
        <v>530.9 (E)</v>
      </c>
      <c r="F4" s="250" t="str">
        <f>Display_All!V4</f>
        <v>steel pipe</v>
      </c>
      <c r="G4" s="250" t="str">
        <f>Display_All!W4</f>
        <v>2 (T)</v>
      </c>
      <c r="H4" s="250" t="str">
        <f>Display_All!X4</f>
        <v>0 Flat</v>
      </c>
      <c r="I4" s="250" t="str">
        <f>Display_All!Y4</f>
        <v>5</v>
      </c>
      <c r="J4" s="250" t="str">
        <f>Display_All!AB4</f>
        <v>vacuum blower</v>
      </c>
      <c r="K4" s="250" t="str">
        <f>Display_All!AC4</f>
        <v>NR</v>
      </c>
      <c r="L4" s="303" t="str">
        <f>Raw!AV4</f>
        <v/>
      </c>
      <c r="M4" s="304">
        <f>Display_All!AD4</f>
        <v>637.08</v>
      </c>
      <c r="N4" s="305">
        <f>Display_All!AP4</f>
        <v>4.864197531</v>
      </c>
      <c r="O4" s="301" t="str">
        <f>Display_All!AW4</f>
        <v>na</v>
      </c>
      <c r="P4" s="302" t="str">
        <f>Display_All!AX4</f>
        <v>na</v>
      </c>
      <c r="Q4" s="264" t="str">
        <f>Raw!H4</f>
        <v/>
      </c>
      <c r="R4" s="264" t="str">
        <f>Raw!G4</f>
        <v>N</v>
      </c>
    </row>
    <row r="5">
      <c r="A5" s="249" t="str">
        <f>Raw!A5</f>
        <v>4 / D3</v>
      </c>
      <c r="B5" s="251">
        <f>Raw!E5</f>
        <v>38150</v>
      </c>
      <c r="C5" s="250">
        <f>Display_All!Q5</f>
        <v>25</v>
      </c>
      <c r="D5" s="250" t="str">
        <f>Display_All!R5</f>
        <v/>
      </c>
      <c r="E5" s="262">
        <f>Calcs!B5</f>
        <v>490.9</v>
      </c>
      <c r="F5" s="250" t="str">
        <f>Display_All!V5</f>
        <v>steel pipe</v>
      </c>
      <c r="G5" s="250" t="str">
        <f>Display_All!W5</f>
        <v>2.5</v>
      </c>
      <c r="H5" s="250" t="str">
        <f>Display_All!X5</f>
        <v>15 Down</v>
      </c>
      <c r="I5" s="250" t="str">
        <f>Display_All!Y5</f>
        <v>5</v>
      </c>
      <c r="J5" s="250" t="str">
        <f>Display_All!AB5</f>
        <v>Norse / hand crank</v>
      </c>
      <c r="K5" s="250" t="str">
        <f>Display_All!AC5</f>
        <v>125 / ? (E)</v>
      </c>
      <c r="L5" s="303" t="str">
        <f>Raw!AV5</f>
        <v/>
      </c>
      <c r="M5" s="304">
        <f>Display_All!AD5</f>
        <v>589.08</v>
      </c>
      <c r="N5" s="305">
        <f>Display_All!AP5</f>
        <v>17.25</v>
      </c>
      <c r="O5" s="301" t="str">
        <f>Display_All!AW5</f>
        <v>na</v>
      </c>
      <c r="P5" s="302" t="str">
        <f>Display_All!AX5</f>
        <v>na</v>
      </c>
      <c r="Q5" s="264" t="str">
        <f>Raw!H5</f>
        <v/>
      </c>
      <c r="R5" s="264" t="str">
        <f>Raw!G5</f>
        <v>N</v>
      </c>
    </row>
    <row r="6">
      <c r="A6" s="249">
        <f>Raw!A6</f>
        <v>5</v>
      </c>
      <c r="B6" s="251">
        <f>Raw!E6</f>
        <v>38271</v>
      </c>
      <c r="C6" s="250" t="str">
        <f>Display_All!Q6</f>
        <v>28 to 27</v>
      </c>
      <c r="D6" s="250">
        <f>Display_All!R6</f>
        <v>27</v>
      </c>
      <c r="E6" s="262">
        <f>Calcs!B6</f>
        <v>572.6</v>
      </c>
      <c r="F6" s="250" t="str">
        <f>Display_All!V6</f>
        <v>steel pipe</v>
      </c>
      <c r="G6" s="250" t="str">
        <f>Display_All!W6</f>
        <v>2.5</v>
      </c>
      <c r="H6" s="250" t="str">
        <f>Display_All!X6</f>
        <v>15 Down</v>
      </c>
      <c r="I6" s="250" t="str">
        <f>Display_All!Y6</f>
        <v>3</v>
      </c>
      <c r="J6" s="250" t="str">
        <f>Display_All!AB6</f>
        <v>Norse twin smith's</v>
      </c>
      <c r="K6" s="250" t="str">
        <f>Display_All!AC6</f>
        <v>125 (E)</v>
      </c>
      <c r="L6" s="303" t="str">
        <f>Raw!AV6</f>
        <v/>
      </c>
      <c r="M6" s="304">
        <f>Display_All!AD6</f>
        <v>687.12</v>
      </c>
      <c r="N6" s="305">
        <f>Display_All!AP6</f>
        <v>15.92063492</v>
      </c>
      <c r="O6" s="301" t="str">
        <f>Display_All!AW6</f>
        <v>na</v>
      </c>
      <c r="P6" s="302" t="str">
        <f>Display_All!AX6</f>
        <v>na</v>
      </c>
      <c r="Q6" s="264" t="str">
        <f>Raw!H6</f>
        <v/>
      </c>
      <c r="R6" s="264" t="str">
        <f>Raw!G6</f>
        <v>Y</v>
      </c>
    </row>
    <row r="7">
      <c r="A7" s="249" t="str">
        <f>Raw!A7</f>
        <v>6 / D4</v>
      </c>
      <c r="B7" s="251">
        <f>Raw!E7</f>
        <v>38283</v>
      </c>
      <c r="C7" s="250">
        <f>Display_All!Q7</f>
        <v>35</v>
      </c>
      <c r="D7" s="250" t="str">
        <f>Display_All!R7</f>
        <v/>
      </c>
      <c r="E7" s="262">
        <f>Calcs!B7</f>
        <v>1003.2</v>
      </c>
      <c r="F7" s="250" t="str">
        <f>Display_All!V7</f>
        <v>steel pipe</v>
      </c>
      <c r="G7" s="250" t="str">
        <f>Display_All!W7</f>
        <v>2.5</v>
      </c>
      <c r="H7" s="250" t="str">
        <f>Display_All!X7</f>
        <v>20 Down</v>
      </c>
      <c r="I7" s="250" t="str">
        <f>Display_All!Y7</f>
        <v>5</v>
      </c>
      <c r="J7" s="250" t="str">
        <f>Display_All!AB7</f>
        <v>vacuum blower</v>
      </c>
      <c r="K7" s="250" t="str">
        <f>Display_All!AC7</f>
        <v>550</v>
      </c>
      <c r="L7" s="303" t="str">
        <f>Raw!AV7</f>
        <v/>
      </c>
      <c r="M7" s="304">
        <f>Display_All!AD7</f>
        <v>1203.84</v>
      </c>
      <c r="N7" s="305">
        <f>Display_All!AP7</f>
        <v>19.11013942</v>
      </c>
      <c r="O7" s="301">
        <f>Display_All!AW7</f>
        <v>0.25</v>
      </c>
      <c r="P7" s="302">
        <f>Display_All!AX7</f>
        <v>0.4310344828</v>
      </c>
      <c r="Q7" s="264" t="str">
        <f>Raw!H7</f>
        <v/>
      </c>
      <c r="R7" s="264" t="str">
        <f>Raw!G7</f>
        <v>N</v>
      </c>
    </row>
    <row r="8">
      <c r="A8" s="249">
        <f>Raw!A8</f>
        <v>7</v>
      </c>
      <c r="B8" s="251">
        <f>Raw!E8</f>
        <v>38408</v>
      </c>
      <c r="C8" s="250">
        <f>Display_All!Q8</f>
        <v>25</v>
      </c>
      <c r="D8" s="250" t="str">
        <f>Display_All!R8</f>
        <v/>
      </c>
      <c r="E8" s="262">
        <f>Calcs!B8</f>
        <v>526.7</v>
      </c>
      <c r="F8" s="250" t="str">
        <f>Display_All!V8</f>
        <v>sheet copper</v>
      </c>
      <c r="G8" s="250" t="str">
        <f>Display_All!W8</f>
        <v>2.5 (T)</v>
      </c>
      <c r="H8" s="250" t="str">
        <f>Display_All!X8</f>
        <v>20 Down</v>
      </c>
      <c r="I8" s="250" t="str">
        <f>Display_All!Y8</f>
        <v>5</v>
      </c>
      <c r="J8" s="250" t="str">
        <f>Display_All!AB8</f>
        <v>vacuum blower</v>
      </c>
      <c r="K8" s="250" t="str">
        <f>Display_All!AC8</f>
        <v>815</v>
      </c>
      <c r="L8" s="303" t="str">
        <f>Raw!AV8</f>
        <v/>
      </c>
      <c r="M8" s="304">
        <f>Display_All!AD8</f>
        <v>632.04</v>
      </c>
      <c r="N8" s="305">
        <f>Display_All!AP8</f>
        <v>5.119230769</v>
      </c>
      <c r="O8" s="301">
        <f>Display_All!AW8</f>
        <v>0.1858108108</v>
      </c>
      <c r="P8" s="302" t="str">
        <f>Display_All!AX8</f>
        <v>?</v>
      </c>
      <c r="Q8" s="264" t="str">
        <f>Raw!H8</f>
        <v/>
      </c>
      <c r="R8" s="264" t="str">
        <f>Raw!G8</f>
        <v>N</v>
      </c>
    </row>
    <row r="9">
      <c r="A9" s="249">
        <f>Raw!A9</f>
        <v>8</v>
      </c>
      <c r="B9" s="251">
        <f>Raw!E9</f>
        <v>38410</v>
      </c>
      <c r="C9" s="250">
        <f>Display_All!Q9</f>
        <v>25</v>
      </c>
      <c r="D9" s="250" t="str">
        <f>Display_All!R9</f>
        <v/>
      </c>
      <c r="E9" s="262">
        <f>Calcs!B9</f>
        <v>526.7</v>
      </c>
      <c r="F9" s="250" t="str">
        <f>Display_All!V9</f>
        <v>sheet copper</v>
      </c>
      <c r="G9" s="250" t="str">
        <f>Display_All!W9</f>
        <v>2.5 (T)</v>
      </c>
      <c r="H9" s="250" t="str">
        <f>Display_All!X9</f>
        <v>20 Down</v>
      </c>
      <c r="I9" s="250" t="str">
        <f>Display_All!Y9</f>
        <v>5</v>
      </c>
      <c r="J9" s="250" t="str">
        <f>Display_All!AB9</f>
        <v>vacuum blower</v>
      </c>
      <c r="K9" s="250" t="str">
        <f>Display_All!AC9</f>
        <v>815</v>
      </c>
      <c r="L9" s="303" t="str">
        <f>Raw!AV9</f>
        <v/>
      </c>
      <c r="M9" s="304">
        <f>Display_All!AD9</f>
        <v>632.04</v>
      </c>
      <c r="N9" s="305">
        <f>Display_All!AP9</f>
        <v>5.203846154</v>
      </c>
      <c r="O9" s="301">
        <f>Display_All!AW9</f>
        <v>0.2678571429</v>
      </c>
      <c r="P9" s="302">
        <f>Display_All!AX9</f>
        <v>0.4618226601</v>
      </c>
      <c r="Q9" s="264" t="str">
        <f>Raw!H9</f>
        <v/>
      </c>
      <c r="R9" s="264" t="str">
        <f>Raw!G9</f>
        <v>N</v>
      </c>
    </row>
    <row r="10">
      <c r="A10" s="249">
        <f>Raw!A10</f>
        <v>9</v>
      </c>
      <c r="B10" s="251">
        <f>Raw!E10</f>
        <v>38486</v>
      </c>
      <c r="C10" s="250">
        <f>Display_All!Q10</f>
        <v>25</v>
      </c>
      <c r="D10" s="250" t="str">
        <f>Display_All!R10</f>
        <v/>
      </c>
      <c r="E10" s="262">
        <f>Calcs!B10</f>
        <v>517.8</v>
      </c>
      <c r="F10" s="250" t="str">
        <f>Display_All!V10</f>
        <v>steel pipe</v>
      </c>
      <c r="G10" s="250" t="str">
        <f>Display_All!W10</f>
        <v>2.5</v>
      </c>
      <c r="H10" s="250" t="str">
        <f>Display_All!X10</f>
        <v>20 Down</v>
      </c>
      <c r="I10" s="250" t="str">
        <f>Display_All!Y10</f>
        <v>5</v>
      </c>
      <c r="J10" s="250" t="str">
        <f>Display_All!AB10</f>
        <v>various</v>
      </c>
      <c r="K10" s="250" t="str">
        <f>Display_All!AC10</f>
        <v>inconsistant</v>
      </c>
      <c r="L10" s="303" t="str">
        <f>Raw!AV10</f>
        <v/>
      </c>
      <c r="M10" s="304">
        <f>Display_All!AD10</f>
        <v>621.36</v>
      </c>
      <c r="N10" s="305">
        <f>Display_All!AP10</f>
        <v>6.220689655</v>
      </c>
      <c r="O10" s="301">
        <f>Display_All!AW10</f>
        <v>0.4460093897</v>
      </c>
      <c r="P10" s="302">
        <f>Display_All!AX10</f>
        <v>0.6820051624</v>
      </c>
      <c r="Q10" s="264" t="str">
        <f>Raw!H10</f>
        <v/>
      </c>
      <c r="R10" s="264" t="str">
        <f>Raw!G10</f>
        <v>Y</v>
      </c>
    </row>
    <row r="11">
      <c r="A11" s="249" t="str">
        <f>Raw!A11</f>
        <v>10 / D5</v>
      </c>
      <c r="B11" s="251">
        <f>Raw!E11</f>
        <v>38514</v>
      </c>
      <c r="C11" s="250">
        <f>Display_All!Q11</f>
        <v>25</v>
      </c>
      <c r="D11" s="250" t="str">
        <f>Display_All!R11</f>
        <v/>
      </c>
      <c r="E11" s="262">
        <f>Calcs!B11</f>
        <v>490.9</v>
      </c>
      <c r="F11" s="250" t="str">
        <f>Display_All!V11</f>
        <v>steel pipe</v>
      </c>
      <c r="G11" s="250" t="str">
        <f>Display_All!W11</f>
        <v>2.5</v>
      </c>
      <c r="H11" s="250" t="str">
        <f>Display_All!X11</f>
        <v>20 Down</v>
      </c>
      <c r="I11" s="250" t="str">
        <f>Display_All!Y11</f>
        <v>5</v>
      </c>
      <c r="J11" s="250" t="str">
        <f>Display_All!AB11</f>
        <v>Ubber Bellows</v>
      </c>
      <c r="K11" s="250" t="str">
        <f>Display_All!AC11</f>
        <v>600 (E)</v>
      </c>
      <c r="L11" s="303" t="str">
        <f>Raw!AV11</f>
        <v/>
      </c>
      <c r="M11" s="304">
        <f>Display_All!AD11</f>
        <v>589.08</v>
      </c>
      <c r="N11" s="305">
        <f>Display_All!AP11</f>
        <v>7.020588235</v>
      </c>
      <c r="O11" s="301">
        <f>Display_All!AW11</f>
        <v>0.2935779817</v>
      </c>
      <c r="P11" s="302">
        <f>Display_All!AX11</f>
        <v>0.4489181252</v>
      </c>
      <c r="Q11" s="264" t="str">
        <f>Raw!H11</f>
        <v/>
      </c>
      <c r="R11" s="264" t="str">
        <f>Raw!G11</f>
        <v>N</v>
      </c>
    </row>
    <row r="12">
      <c r="A12" s="249" t="str">
        <f>Raw!A12</f>
        <v>11 / D6</v>
      </c>
      <c r="B12" s="251">
        <f>Raw!E12</f>
        <v>38596</v>
      </c>
      <c r="C12" s="250">
        <f>Display_All!Q12</f>
        <v>25</v>
      </c>
      <c r="D12" s="250" t="str">
        <f>Display_All!R12</f>
        <v/>
      </c>
      <c r="E12" s="262">
        <f>Calcs!B12</f>
        <v>490.9</v>
      </c>
      <c r="F12" s="250" t="str">
        <f>Display_All!V12</f>
        <v>steel pipe</v>
      </c>
      <c r="G12" s="250" t="str">
        <f>Display_All!W12</f>
        <v>2.5</v>
      </c>
      <c r="H12" s="250" t="str">
        <f>Display_All!X12</f>
        <v>20 Down</v>
      </c>
      <c r="I12" s="250" t="str">
        <f>Display_All!Y12</f>
        <v>5</v>
      </c>
      <c r="J12" s="250" t="str">
        <f>Display_All!AB12</f>
        <v>Ubber Bellows</v>
      </c>
      <c r="K12" s="250" t="str">
        <f>Display_All!AC12</f>
        <v>600 (E)</v>
      </c>
      <c r="L12" s="303" t="str">
        <f>Raw!AV12</f>
        <v/>
      </c>
      <c r="M12" s="304">
        <f>Display_All!AD12</f>
        <v>589.08</v>
      </c>
      <c r="N12" s="305">
        <f>Display_All!AP12</f>
        <v>10.52857143</v>
      </c>
      <c r="O12" s="301">
        <f>Display_All!AW12</f>
        <v>0.1729323308</v>
      </c>
      <c r="P12" s="302">
        <f>Display_All!AX12</f>
        <v>0.3226599025</v>
      </c>
      <c r="Q12" s="264" t="str">
        <f>Raw!H12</f>
        <v/>
      </c>
      <c r="R12" s="264" t="str">
        <f>Raw!G12</f>
        <v>Y</v>
      </c>
    </row>
    <row r="13">
      <c r="A13" s="249">
        <f>Raw!A13</f>
        <v>12</v>
      </c>
      <c r="B13" s="251">
        <f>Raw!E13</f>
        <v>38626</v>
      </c>
      <c r="C13" s="250" t="str">
        <f>Display_All!Q13</f>
        <v>25 x 25</v>
      </c>
      <c r="D13" s="250" t="str">
        <f>Display_All!R13</f>
        <v/>
      </c>
      <c r="E13" s="262">
        <f>Calcs!B13</f>
        <v>625</v>
      </c>
      <c r="F13" s="250" t="str">
        <f>Display_All!V13</f>
        <v>forged copper</v>
      </c>
      <c r="G13" s="250" t="str">
        <f>Display_All!W13</f>
        <v>2.5 (T)</v>
      </c>
      <c r="H13" s="250" t="str">
        <f>Display_All!X13</f>
        <v>20 Down</v>
      </c>
      <c r="I13" s="250" t="str">
        <f>Display_All!Y13</f>
        <v>5</v>
      </c>
      <c r="J13" s="250" t="str">
        <f>Display_All!AB13</f>
        <v>electric blower</v>
      </c>
      <c r="K13" s="250" t="str">
        <f>Display_All!AC13</f>
        <v>1000 (E)</v>
      </c>
      <c r="L13" s="303" t="str">
        <f>Raw!AV13</f>
        <v/>
      </c>
      <c r="M13" s="304">
        <f>Display_All!AD13</f>
        <v>750</v>
      </c>
      <c r="N13" s="305">
        <f>Display_All!AP13</f>
        <v>6.801834862</v>
      </c>
      <c r="O13" s="301">
        <f>Display_All!AW13</f>
        <v>0.213836478</v>
      </c>
      <c r="P13" s="302">
        <f>Display_All!AX13</f>
        <v>0.3686835827</v>
      </c>
      <c r="Q13" s="264" t="str">
        <f>Raw!H13</f>
        <v>Teaching</v>
      </c>
      <c r="R13" s="264" t="str">
        <f>Raw!G13</f>
        <v>N</v>
      </c>
    </row>
    <row r="14">
      <c r="A14" s="249" t="str">
        <f>Raw!A14</f>
        <v>13 / D7</v>
      </c>
      <c r="B14" s="251">
        <f>Raw!E14</f>
        <v>38668</v>
      </c>
      <c r="C14" s="250">
        <f>Display_All!Q14</f>
        <v>25</v>
      </c>
      <c r="D14" s="250" t="str">
        <f>Display_All!R14</f>
        <v/>
      </c>
      <c r="E14" s="262">
        <f>Calcs!B14</f>
        <v>490.9</v>
      </c>
      <c r="F14" s="250" t="str">
        <f>Display_All!V14</f>
        <v>ceramic tube</v>
      </c>
      <c r="G14" s="250" t="str">
        <f>Display_All!W14</f>
        <v>2.5</v>
      </c>
      <c r="H14" s="250" t="str">
        <f>Display_All!X14</f>
        <v>20 Down</v>
      </c>
      <c r="I14" s="250" t="str">
        <f>Display_All!Y14</f>
        <v>5</v>
      </c>
      <c r="J14" s="250" t="str">
        <f>Display_All!AB14</f>
        <v>vacuum blower</v>
      </c>
      <c r="K14" s="250" t="str">
        <f>Display_All!AC14</f>
        <v>600 (E)</v>
      </c>
      <c r="L14" s="303" t="str">
        <f>Raw!AV14</f>
        <v/>
      </c>
      <c r="M14" s="304">
        <f>Display_All!AD14</f>
        <v>589.08</v>
      </c>
      <c r="N14" s="305">
        <f>Display_All!AP14</f>
        <v>3.383448276</v>
      </c>
      <c r="O14" s="301">
        <f>Display_All!AW14</f>
        <v>0.2057416268</v>
      </c>
      <c r="P14" s="302" t="str">
        <f>Display_All!AX14</f>
        <v>?</v>
      </c>
      <c r="Q14" s="264" t="str">
        <f>Raw!H14</f>
        <v/>
      </c>
      <c r="R14" s="264" t="str">
        <f>Raw!G14</f>
        <v>N</v>
      </c>
    </row>
    <row r="15">
      <c r="A15" s="249">
        <f>Raw!A15</f>
        <v>14</v>
      </c>
      <c r="B15" s="251">
        <f>Raw!E15</f>
        <v>38766</v>
      </c>
      <c r="C15" s="250">
        <f>Display_All!Q15</f>
        <v>25</v>
      </c>
      <c r="D15" s="250" t="str">
        <f>Display_All!R15</f>
        <v/>
      </c>
      <c r="E15" s="262">
        <f>Calcs!B15</f>
        <v>517.8</v>
      </c>
      <c r="F15" s="250" t="str">
        <f>Display_All!V15</f>
        <v>ceramic tube</v>
      </c>
      <c r="G15" s="250" t="str">
        <f>Display_All!W15</f>
        <v>2.5</v>
      </c>
      <c r="H15" s="250" t="str">
        <f>Display_All!X15</f>
        <v>20 Down</v>
      </c>
      <c r="I15" s="250" t="str">
        <f>Display_All!Y15</f>
        <v>5</v>
      </c>
      <c r="J15" s="250" t="str">
        <f>Display_All!AB15</f>
        <v>vacuum blower</v>
      </c>
      <c r="K15" s="250" t="str">
        <f>Display_All!AC15</f>
        <v>800 (E)</v>
      </c>
      <c r="L15" s="303" t="str">
        <f>Raw!AV15</f>
        <v/>
      </c>
      <c r="M15" s="304">
        <f>Display_All!AD15</f>
        <v>621.36</v>
      </c>
      <c r="N15" s="305">
        <f>Display_All!AP15</f>
        <v>3.912432432</v>
      </c>
      <c r="O15" s="301">
        <f>Display_All!AW15</f>
        <v>0.4299363057</v>
      </c>
      <c r="P15" s="302">
        <f>Display_All!AX15</f>
        <v>0.6923076923</v>
      </c>
      <c r="Q15" s="264" t="str">
        <f>Raw!H15</f>
        <v/>
      </c>
      <c r="R15" s="264" t="str">
        <f>Raw!G15</f>
        <v>Y</v>
      </c>
    </row>
    <row r="16">
      <c r="A16" s="249">
        <f>Raw!A16</f>
        <v>15</v>
      </c>
      <c r="B16" s="251">
        <f>Raw!E16</f>
        <v>38784</v>
      </c>
      <c r="C16" s="250" t="str">
        <f>Display_All!Q16</f>
        <v>40 to 30</v>
      </c>
      <c r="D16" s="250" t="str">
        <f>Display_All!R16</f>
        <v>35 (E)</v>
      </c>
      <c r="E16" s="262" t="str">
        <f>Calcs!B16</f>
        <v>962.1 (E)</v>
      </c>
      <c r="F16" s="250" t="str">
        <f>Display_All!V16</f>
        <v>ceramic tube</v>
      </c>
      <c r="G16" s="250" t="str">
        <f>Display_All!W16</f>
        <v>2.5</v>
      </c>
      <c r="H16" s="250" t="str">
        <f>Display_All!X16</f>
        <v>22 Down</v>
      </c>
      <c r="I16" s="250" t="str">
        <f>Display_All!Y16</f>
        <v>6</v>
      </c>
      <c r="J16" s="250" t="str">
        <f>Display_All!AB16</f>
        <v>vacuum blower</v>
      </c>
      <c r="K16" s="250" t="str">
        <f>Display_All!AC16</f>
        <v>970</v>
      </c>
      <c r="L16" s="303" t="str">
        <f>Raw!AV16</f>
        <v/>
      </c>
      <c r="M16" s="304">
        <f>Display_All!AD16</f>
        <v>1154.52</v>
      </c>
      <c r="N16" s="305">
        <f>Display_All!AP16</f>
        <v>2.928275862</v>
      </c>
      <c r="O16" s="301">
        <f>Display_All!AW16</f>
        <v>0.4791208791</v>
      </c>
      <c r="P16" s="302">
        <f>Display_All!AX16</f>
        <v>0.6977138439</v>
      </c>
      <c r="Q16" s="264" t="str">
        <f>Raw!H16</f>
        <v/>
      </c>
      <c r="R16" s="264" t="str">
        <f>Raw!G16</f>
        <v>N</v>
      </c>
    </row>
    <row r="17">
      <c r="A17" s="249">
        <f>Raw!A17</f>
        <v>16</v>
      </c>
      <c r="B17" s="251">
        <f>Raw!E17</f>
        <v>38786</v>
      </c>
      <c r="C17" s="250" t="str">
        <f>Display_All!Q17</f>
        <v>40 to 28</v>
      </c>
      <c r="D17" s="250" t="str">
        <f>Display_All!R17</f>
        <v>35 (E)</v>
      </c>
      <c r="E17" s="262" t="str">
        <f>Calcs!B17</f>
        <v>962.1 (E)</v>
      </c>
      <c r="F17" s="250" t="str">
        <f>Display_All!V17</f>
        <v>ceramic tube</v>
      </c>
      <c r="G17" s="250" t="str">
        <f>Display_All!W17</f>
        <v>2.5</v>
      </c>
      <c r="H17" s="250" t="str">
        <f>Display_All!X17</f>
        <v>22 Down</v>
      </c>
      <c r="I17" s="250" t="str">
        <f>Display_All!Y17</f>
        <v>6</v>
      </c>
      <c r="J17" s="250" t="str">
        <f>Display_All!AB17</f>
        <v>vacuum blower</v>
      </c>
      <c r="K17" s="250" t="str">
        <f>Display_All!AC17</f>
        <v>970</v>
      </c>
      <c r="L17" s="303" t="str">
        <f>Raw!AV17</f>
        <v/>
      </c>
      <c r="M17" s="304">
        <f>Display_All!AD17</f>
        <v>1154.52</v>
      </c>
      <c r="N17" s="305">
        <f>Display_All!AP17</f>
        <v>3.186206897</v>
      </c>
      <c r="O17" s="301">
        <f>Display_All!AW17</f>
        <v>0.4395604396</v>
      </c>
      <c r="P17" s="302">
        <f>Display_All!AX17</f>
        <v>0.6401044439</v>
      </c>
      <c r="Q17" s="264" t="str">
        <f>Raw!H17</f>
        <v/>
      </c>
      <c r="R17" s="264" t="str">
        <f>Raw!G17</f>
        <v>N</v>
      </c>
    </row>
    <row r="18">
      <c r="A18" s="249" t="str">
        <f>Raw!A18</f>
        <v>17 / D8</v>
      </c>
      <c r="B18" s="251">
        <f>Raw!E18</f>
        <v>38878</v>
      </c>
      <c r="C18" s="250">
        <f>Display_All!Q18</f>
        <v>23</v>
      </c>
      <c r="D18" s="250" t="str">
        <f>Display_All!R18</f>
        <v/>
      </c>
      <c r="E18" s="262">
        <f>Calcs!B18</f>
        <v>415.5</v>
      </c>
      <c r="F18" s="250" t="str">
        <f>Display_All!V18</f>
        <v>ceramic tube</v>
      </c>
      <c r="G18" s="250" t="str">
        <f>Display_All!W18</f>
        <v>2.5</v>
      </c>
      <c r="H18" s="250" t="str">
        <f>Display_All!X18</f>
        <v>20 Down</v>
      </c>
      <c r="I18" s="250" t="str">
        <f>Display_All!Y18</f>
        <v>5</v>
      </c>
      <c r="J18" s="250" t="str">
        <f>Display_All!AB18</f>
        <v>vacuum blower</v>
      </c>
      <c r="K18" s="250" t="str">
        <f>Display_All!AC18</f>
        <v>1060</v>
      </c>
      <c r="L18" s="303" t="str">
        <f>Raw!AV18</f>
        <v/>
      </c>
      <c r="M18" s="304">
        <f>Display_All!AD18</f>
        <v>498.6</v>
      </c>
      <c r="N18" s="305">
        <f>Display_All!AP18</f>
        <v>4.989285714</v>
      </c>
      <c r="O18" s="301">
        <f>Display_All!AW18</f>
        <v>0.1421319797</v>
      </c>
      <c r="P18" s="302">
        <f>Display_All!AX18</f>
        <v>0.3426333823</v>
      </c>
      <c r="Q18" s="264" t="str">
        <f>Raw!H18</f>
        <v/>
      </c>
      <c r="R18" s="264" t="str">
        <f>Raw!G18</f>
        <v>N</v>
      </c>
    </row>
    <row r="19">
      <c r="A19" s="249" t="str">
        <f>Raw!A19</f>
        <v>18 / D9</v>
      </c>
      <c r="B19" s="251">
        <f>Raw!E19</f>
        <v>38962</v>
      </c>
      <c r="C19" s="250" t="str">
        <f>Display_All!Q19</f>
        <v>25 to 22</v>
      </c>
      <c r="D19" s="250" t="str">
        <f>Display_All!R19</f>
        <v>21.5 (E)</v>
      </c>
      <c r="E19" s="262" t="str">
        <f>Calcs!B19</f>
        <v>363.1 (E)</v>
      </c>
      <c r="F19" s="250" t="str">
        <f>Display_All!V19</f>
        <v>ceramic tube</v>
      </c>
      <c r="G19" s="250" t="str">
        <f>Display_All!W19</f>
        <v>2.5</v>
      </c>
      <c r="H19" s="250" t="str">
        <f>Display_All!X19</f>
        <v>20 Down (E)</v>
      </c>
      <c r="I19" s="250" t="str">
        <f>Display_All!Y19</f>
        <v>5 (E)</v>
      </c>
      <c r="J19" s="250" t="str">
        <f>Display_All!AB19</f>
        <v>Ubber Bellows</v>
      </c>
      <c r="K19" s="250" t="str">
        <f>Display_All!AC19</f>
        <v>600 (E)</v>
      </c>
      <c r="L19" s="303" t="str">
        <f>Raw!AV19</f>
        <v/>
      </c>
      <c r="M19" s="304">
        <f>Display_All!AD19</f>
        <v>435.72</v>
      </c>
      <c r="N19" s="305">
        <f>Display_All!AP19</f>
        <v>9.498823529</v>
      </c>
      <c r="O19" s="301">
        <f>Display_All!AW19</f>
        <v>0.1428571429</v>
      </c>
      <c r="P19" s="302">
        <f>Display_All!AX19</f>
        <v>0.2463054187</v>
      </c>
      <c r="Q19" s="264" t="str">
        <f>Raw!H19</f>
        <v>Air</v>
      </c>
      <c r="R19" s="264" t="str">
        <f>Raw!G19</f>
        <v>N</v>
      </c>
    </row>
    <row r="20">
      <c r="A20" s="249">
        <f>Raw!A20</f>
        <v>19</v>
      </c>
      <c r="B20" s="251">
        <f>Raw!E20</f>
        <v>38997</v>
      </c>
      <c r="C20" s="250">
        <f>Display_All!Q20</f>
        <v>20</v>
      </c>
      <c r="D20" s="250" t="str">
        <f>Display_All!R20</f>
        <v/>
      </c>
      <c r="E20" s="262">
        <f>Calcs!B20</f>
        <v>314.2</v>
      </c>
      <c r="F20" s="250" t="str">
        <f>Display_All!V20</f>
        <v>ceramic tube</v>
      </c>
      <c r="G20" s="250" t="str">
        <f>Display_All!W20</f>
        <v>2.5</v>
      </c>
      <c r="H20" s="250" t="str">
        <f>Display_All!X20</f>
        <v>20 Down</v>
      </c>
      <c r="I20" s="250" t="str">
        <f>Display_All!Y20</f>
        <v>5</v>
      </c>
      <c r="J20" s="250" t="str">
        <f>Display_All!AB20</f>
        <v>vacuum blower</v>
      </c>
      <c r="K20" s="250" t="str">
        <f>Display_All!AC20</f>
        <v>700</v>
      </c>
      <c r="L20" s="303" t="str">
        <f>Raw!AV20</f>
        <v/>
      </c>
      <c r="M20" s="304">
        <f>Display_All!AD20</f>
        <v>377.04</v>
      </c>
      <c r="N20" s="305">
        <f>Display_All!AP20</f>
        <v>7.04</v>
      </c>
      <c r="O20" s="301">
        <f>Display_All!AW20</f>
        <v>0.07954545455</v>
      </c>
      <c r="P20" s="302">
        <f>Display_All!AX20</f>
        <v>0.1868389152</v>
      </c>
      <c r="Q20" s="264" t="str">
        <f>Raw!H20</f>
        <v/>
      </c>
      <c r="R20" s="264" t="str">
        <f>Raw!G20</f>
        <v>N</v>
      </c>
    </row>
    <row r="21">
      <c r="A21" s="249">
        <f>Raw!A21</f>
        <v>20</v>
      </c>
      <c r="B21" s="251">
        <f>Raw!E21</f>
        <v>38999</v>
      </c>
      <c r="C21" s="250" t="str">
        <f>Display_All!Q21</f>
        <v>25 x 25</v>
      </c>
      <c r="D21" s="250" t="str">
        <f>Display_All!R21</f>
        <v/>
      </c>
      <c r="E21" s="262">
        <f>Calcs!B21</f>
        <v>625</v>
      </c>
      <c r="F21" s="250" t="str">
        <f>Display_All!V21</f>
        <v>forged copper</v>
      </c>
      <c r="G21" s="250" t="str">
        <f>Display_All!W21</f>
        <v>2.5 (T)</v>
      </c>
      <c r="H21" s="250" t="str">
        <f>Display_All!X21</f>
        <v>20 Down (E)</v>
      </c>
      <c r="I21" s="250" t="str">
        <f>Display_All!Y21</f>
        <v>5 (E)</v>
      </c>
      <c r="J21" s="250" t="str">
        <f>Display_All!AB21</f>
        <v>electric blower</v>
      </c>
      <c r="K21" s="250" t="str">
        <f>Display_All!AC21</f>
        <v>1000 (E)</v>
      </c>
      <c r="L21" s="303" t="str">
        <f>Raw!AV21</f>
        <v/>
      </c>
      <c r="M21" s="304">
        <f>Display_All!AD21</f>
        <v>750</v>
      </c>
      <c r="N21" s="305">
        <f>Display_All!AP21</f>
        <v>4.9</v>
      </c>
      <c r="O21" s="301" t="str">
        <f>Display_All!AW21</f>
        <v>NR</v>
      </c>
      <c r="P21" s="302" t="str">
        <f>Display_All!AX21</f>
        <v>NR</v>
      </c>
      <c r="Q21" s="264" t="str">
        <f>Raw!H21</f>
        <v/>
      </c>
      <c r="R21" s="264" t="str">
        <f>Raw!G21</f>
        <v>N</v>
      </c>
    </row>
    <row r="22">
      <c r="A22" s="249" t="str">
        <f>Raw!A22</f>
        <v>21 / D10</v>
      </c>
      <c r="B22" s="251">
        <f>Raw!E22</f>
        <v>39026</v>
      </c>
      <c r="C22" s="250">
        <f>Display_All!Q22</f>
        <v>23</v>
      </c>
      <c r="D22" s="250" t="str">
        <f>Display_All!R22</f>
        <v/>
      </c>
      <c r="E22" s="262">
        <f>Calcs!B22</f>
        <v>415.5</v>
      </c>
      <c r="F22" s="250" t="str">
        <f>Display_All!V22</f>
        <v>ceramic tube</v>
      </c>
      <c r="G22" s="250" t="str">
        <f>Display_All!W22</f>
        <v>2.5</v>
      </c>
      <c r="H22" s="250" t="str">
        <f>Display_All!X22</f>
        <v>20 Down</v>
      </c>
      <c r="I22" s="250" t="str">
        <f>Display_All!Y22</f>
        <v>5</v>
      </c>
      <c r="J22" s="250" t="str">
        <f>Display_All!AB22</f>
        <v>vacuum blower</v>
      </c>
      <c r="K22" s="250" t="str">
        <f>Display_All!AC22</f>
        <v>1060</v>
      </c>
      <c r="L22" s="303" t="str">
        <f>Raw!AV22</f>
        <v/>
      </c>
      <c r="M22" s="304">
        <f>Display_All!AD22</f>
        <v>498.6</v>
      </c>
      <c r="N22" s="305">
        <f>Display_All!AP22</f>
        <v>6.363636364</v>
      </c>
      <c r="O22" s="301" t="str">
        <f>Display_All!AW22</f>
        <v>na</v>
      </c>
      <c r="P22" s="302" t="str">
        <f>Display_All!AX22</f>
        <v>na</v>
      </c>
      <c r="Q22" s="264" t="str">
        <f>Raw!H22</f>
        <v/>
      </c>
      <c r="R22" s="264" t="str">
        <f>Raw!G22</f>
        <v>N</v>
      </c>
    </row>
    <row r="23">
      <c r="A23" s="249">
        <f>Raw!A23</f>
        <v>22</v>
      </c>
      <c r="B23" s="251">
        <f>Raw!E23</f>
        <v>39027</v>
      </c>
      <c r="C23" s="250">
        <f>Display_All!Q23</f>
        <v>23</v>
      </c>
      <c r="D23" s="250" t="str">
        <f>Display_All!R23</f>
        <v/>
      </c>
      <c r="E23" s="262">
        <f>Calcs!B23</f>
        <v>415.5</v>
      </c>
      <c r="F23" s="250" t="str">
        <f>Display_All!V23</f>
        <v>ceramic tube</v>
      </c>
      <c r="G23" s="250" t="str">
        <f>Display_All!W23</f>
        <v>2.5</v>
      </c>
      <c r="H23" s="250" t="str">
        <f>Display_All!X23</f>
        <v>20 Down</v>
      </c>
      <c r="I23" s="250" t="str">
        <f>Display_All!Y23</f>
        <v>5</v>
      </c>
      <c r="J23" s="250" t="str">
        <f>Display_All!AB23</f>
        <v>vacuum blower</v>
      </c>
      <c r="K23" s="250" t="str">
        <f>Display_All!AC23</f>
        <v>1060</v>
      </c>
      <c r="L23" s="303" t="str">
        <f>Raw!AV23</f>
        <v/>
      </c>
      <c r="M23" s="304">
        <f>Display_All!AD23</f>
        <v>498.6</v>
      </c>
      <c r="N23" s="305">
        <f>Display_All!AP23</f>
        <v>3.618421053</v>
      </c>
      <c r="O23" s="301">
        <f>Display_All!AW23</f>
        <v>0.3560209424</v>
      </c>
      <c r="P23" s="278" t="str">
        <f>Display_All!AX23</f>
        <v>?</v>
      </c>
      <c r="Q23" s="264" t="str">
        <f>Raw!H23</f>
        <v/>
      </c>
      <c r="R23" s="264" t="str">
        <f>Raw!G23</f>
        <v>N</v>
      </c>
    </row>
    <row r="24">
      <c r="A24" s="249">
        <f>Raw!A24</f>
        <v>23</v>
      </c>
      <c r="B24" s="251">
        <f>Raw!E24</f>
        <v>39235</v>
      </c>
      <c r="C24" s="250">
        <f>Display_All!Q24</f>
        <v>25</v>
      </c>
      <c r="D24" s="250" t="str">
        <f>Display_All!R24</f>
        <v/>
      </c>
      <c r="E24" s="262">
        <f>Calcs!B24</f>
        <v>541.3</v>
      </c>
      <c r="F24" s="250" t="str">
        <f>Display_All!V24</f>
        <v>ceramic tube</v>
      </c>
      <c r="G24" s="250" t="str">
        <f>Display_All!W24</f>
        <v>2.5</v>
      </c>
      <c r="H24" s="250" t="str">
        <f>Display_All!X24</f>
        <v>20 Down</v>
      </c>
      <c r="I24" s="250" t="str">
        <f>Display_All!Y24</f>
        <v>5</v>
      </c>
      <c r="J24" s="250" t="str">
        <f>Display_All!AB24</f>
        <v>vacuum blower</v>
      </c>
      <c r="K24" s="250" t="str">
        <f>Display_All!AC24</f>
        <v>800</v>
      </c>
      <c r="L24" s="303" t="str">
        <f>Raw!AV24</f>
        <v/>
      </c>
      <c r="M24" s="304">
        <f>Display_All!AD24</f>
        <v>649.56</v>
      </c>
      <c r="N24" s="305">
        <f>Display_All!AP24</f>
        <v>4.447826087</v>
      </c>
      <c r="O24" s="301">
        <f>Display_All!AW24</f>
        <v>0.5695067265</v>
      </c>
      <c r="P24" s="302">
        <f>Display_All!AX24</f>
        <v>0.8293371142</v>
      </c>
      <c r="Q24" s="264" t="str">
        <f>Raw!H24</f>
        <v>Teaching</v>
      </c>
      <c r="R24" s="264" t="str">
        <f>Raw!G24</f>
        <v>N</v>
      </c>
    </row>
    <row r="25">
      <c r="A25" s="249" t="str">
        <f>Raw!A25</f>
        <v>24 / D11</v>
      </c>
      <c r="B25" s="251">
        <f>Raw!E25</f>
        <v>39242</v>
      </c>
      <c r="C25" s="250">
        <f>Display_All!Q25</f>
        <v>23</v>
      </c>
      <c r="D25" s="250" t="str">
        <f>Display_All!R25</f>
        <v/>
      </c>
      <c r="E25" s="262">
        <f>Calcs!B25</f>
        <v>415.5</v>
      </c>
      <c r="F25" s="250" t="str">
        <f>Display_All!V25</f>
        <v>ceramic tube</v>
      </c>
      <c r="G25" s="250" t="str">
        <f>Display_All!W25</f>
        <v>2.5</v>
      </c>
      <c r="H25" s="250" t="str">
        <f>Display_All!X25</f>
        <v>15 Down</v>
      </c>
      <c r="I25" s="250" t="str">
        <f>Display_All!Y25</f>
        <v>5</v>
      </c>
      <c r="J25" s="250" t="str">
        <f>Display_All!AB25</f>
        <v>vacuum blower</v>
      </c>
      <c r="K25" s="250" t="str">
        <f>Display_All!AC25</f>
        <v>900</v>
      </c>
      <c r="L25" s="303" t="str">
        <f>Raw!AV25</f>
        <v/>
      </c>
      <c r="M25" s="304">
        <f>Display_All!AD25</f>
        <v>498.6</v>
      </c>
      <c r="N25" s="305">
        <f>Display_All!AP25</f>
        <v>5.247916667</v>
      </c>
      <c r="O25" s="301">
        <f>Display_All!AW25</f>
        <v>0.045</v>
      </c>
      <c r="P25" s="302">
        <f>Display_All!AX25</f>
        <v>0.09922583875</v>
      </c>
      <c r="Q25" s="264" t="str">
        <f>Raw!H25</f>
        <v/>
      </c>
      <c r="R25" s="264" t="str">
        <f>Raw!G25</f>
        <v>N</v>
      </c>
    </row>
    <row r="26">
      <c r="A26" s="249" t="str">
        <f>Raw!A26</f>
        <v>25 / D12</v>
      </c>
      <c r="B26" s="251">
        <f>Raw!E26</f>
        <v>39242</v>
      </c>
      <c r="C26" s="250">
        <f>Display_All!Q26</f>
        <v>23</v>
      </c>
      <c r="D26" s="250" t="str">
        <f>Display_All!R26</f>
        <v/>
      </c>
      <c r="E26" s="262">
        <f>Calcs!B26</f>
        <v>415.5</v>
      </c>
      <c r="F26" s="250" t="str">
        <f>Display_All!V26</f>
        <v>ceramic tube</v>
      </c>
      <c r="G26" s="250" t="str">
        <f>Display_All!W26</f>
        <v>2.5</v>
      </c>
      <c r="H26" s="250" t="str">
        <f>Display_All!X26</f>
        <v>15 Down</v>
      </c>
      <c r="I26" s="250" t="str">
        <f>Display_All!Y26</f>
        <v>?</v>
      </c>
      <c r="J26" s="250" t="str">
        <f>Display_All!AB26</f>
        <v>vacuum blower</v>
      </c>
      <c r="K26" s="250" t="str">
        <f>Display_All!AC26</f>
        <v>900</v>
      </c>
      <c r="L26" s="303" t="str">
        <f>Raw!AV26</f>
        <v/>
      </c>
      <c r="M26" s="304">
        <f>Display_All!AD26</f>
        <v>498.6</v>
      </c>
      <c r="N26" s="305">
        <f>Display_All!AP26</f>
        <v>4.308333333</v>
      </c>
      <c r="O26" s="301" t="str">
        <f>Display_All!AW26</f>
        <v>NR</v>
      </c>
      <c r="P26" s="302">
        <f>Display_All!AX26</f>
        <v>0.2275563385</v>
      </c>
      <c r="Q26" s="264" t="str">
        <f>Raw!H26</f>
        <v/>
      </c>
      <c r="R26" s="264" t="str">
        <f>Raw!G26</f>
        <v>N</v>
      </c>
    </row>
    <row r="27">
      <c r="A27" s="249">
        <f>Raw!A27</f>
        <v>26</v>
      </c>
      <c r="B27" s="251">
        <f>Raw!E27</f>
        <v>39362</v>
      </c>
      <c r="C27" s="250" t="str">
        <f>Display_All!Q27</f>
        <v>27 to 23</v>
      </c>
      <c r="D27" s="250" t="str">
        <f>Display_All!R27</f>
        <v/>
      </c>
      <c r="E27" s="262">
        <f>Calcs!B27</f>
        <v>519.7069702</v>
      </c>
      <c r="F27" s="250" t="str">
        <f>Display_All!V27</f>
        <v>ceramic tube</v>
      </c>
      <c r="G27" s="250" t="str">
        <f>Display_All!W27</f>
        <v>2.5</v>
      </c>
      <c r="H27" s="250" t="str">
        <f>Display_All!X27</f>
        <v>20 Down</v>
      </c>
      <c r="I27" s="250" t="str">
        <f>Display_All!Y27</f>
        <v>0</v>
      </c>
      <c r="J27" s="250" t="str">
        <f>Display_All!AB27</f>
        <v>vacuum blower</v>
      </c>
      <c r="K27" s="250" t="str">
        <f>Display_All!AC27</f>
        <v>800</v>
      </c>
      <c r="L27" s="303" t="str">
        <f>Raw!AV27</f>
        <v/>
      </c>
      <c r="M27" s="304">
        <f>Display_All!AD27</f>
        <v>623.6483643</v>
      </c>
      <c r="N27" s="305">
        <f>Display_All!AP27</f>
        <v>3.85665529</v>
      </c>
      <c r="O27" s="301">
        <f>Display_All!AW27</f>
        <v>0.487804878</v>
      </c>
      <c r="P27" s="302">
        <f>Display_All!AX27</f>
        <v>0.7103598097</v>
      </c>
      <c r="Q27" s="264" t="str">
        <f>Raw!H27</f>
        <v>Icelandic</v>
      </c>
      <c r="R27" s="264" t="str">
        <f>Raw!G27</f>
        <v>N</v>
      </c>
    </row>
    <row r="28">
      <c r="A28" s="249" t="str">
        <f>Raw!A28</f>
        <v>27 / D13</v>
      </c>
      <c r="B28" s="251">
        <f>Raw!E28</f>
        <v>39382</v>
      </c>
      <c r="C28" s="250" t="str">
        <f>Display_All!Q28</f>
        <v>35 x 25</v>
      </c>
      <c r="D28" s="250">
        <f>Display_All!R28</f>
        <v>35</v>
      </c>
      <c r="E28" s="262">
        <f>Calcs!B28</f>
        <v>875</v>
      </c>
      <c r="F28" s="250" t="str">
        <f>Display_All!V28</f>
        <v>ceramic tube</v>
      </c>
      <c r="G28" s="250" t="str">
        <f>Display_All!W28</f>
        <v>2.5</v>
      </c>
      <c r="H28" s="250" t="str">
        <f>Display_All!X28</f>
        <v>26 Down</v>
      </c>
      <c r="I28" s="250" t="str">
        <f>Display_All!Y28</f>
        <v>0</v>
      </c>
      <c r="J28" s="250" t="str">
        <f>Display_All!AB28</f>
        <v>vacuum blower</v>
      </c>
      <c r="K28" s="250" t="str">
        <f>Display_All!AC28</f>
        <v>410</v>
      </c>
      <c r="L28" s="303" t="str">
        <f>Raw!AV28</f>
        <v/>
      </c>
      <c r="M28" s="304">
        <f>Display_All!AD28</f>
        <v>1050</v>
      </c>
      <c r="N28" s="305">
        <f>Display_All!AP28</f>
        <v>13.16056911</v>
      </c>
      <c r="O28" s="301">
        <f>Display_All!AW28</f>
        <v>0.162601626</v>
      </c>
      <c r="P28" s="302">
        <f>Display_All!AX28</f>
        <v>0.2528417421</v>
      </c>
      <c r="Q28" s="264" t="str">
        <f>Raw!H28</f>
        <v>Icelandic</v>
      </c>
      <c r="R28" s="264" t="str">
        <f>Raw!G28</f>
        <v>N</v>
      </c>
    </row>
    <row r="29">
      <c r="A29" s="249">
        <f>Raw!A29</f>
        <v>28</v>
      </c>
      <c r="B29" s="251">
        <f>Raw!E29</f>
        <v>39411</v>
      </c>
      <c r="C29" s="250">
        <f>Display_All!Q29</f>
        <v>25</v>
      </c>
      <c r="D29" s="250" t="str">
        <f>Display_All!R29</f>
        <v/>
      </c>
      <c r="E29" s="262">
        <f>Calcs!B29</f>
        <v>490.9</v>
      </c>
      <c r="F29" s="250" t="str">
        <f>Display_All!V29</f>
        <v>ceramic tube</v>
      </c>
      <c r="G29" s="250" t="str">
        <f>Display_All!W29</f>
        <v>2.5</v>
      </c>
      <c r="H29" s="250" t="str">
        <f>Display_All!X29</f>
        <v>20 Down</v>
      </c>
      <c r="I29" s="250" t="str">
        <f>Display_All!Y29</f>
        <v>5</v>
      </c>
      <c r="J29" s="250" t="str">
        <f>Display_All!AB29</f>
        <v>vacuum blower</v>
      </c>
      <c r="K29" s="250" t="str">
        <f>Display_All!AC29</f>
        <v>770</v>
      </c>
      <c r="L29" s="303" t="str">
        <f>Raw!AV29</f>
        <v/>
      </c>
      <c r="M29" s="304">
        <f>Display_All!AD29</f>
        <v>589.08</v>
      </c>
      <c r="N29" s="305">
        <f>Display_All!AP29</f>
        <v>4.179166667</v>
      </c>
      <c r="O29" s="301">
        <f>Display_All!AW29</f>
        <v>0.3055555556</v>
      </c>
      <c r="P29" s="302">
        <f>Display_All!AX29</f>
        <v>0.4820080685</v>
      </c>
      <c r="Q29" s="264" t="str">
        <f>Raw!H29</f>
        <v>Teaching</v>
      </c>
      <c r="R29" s="264" t="str">
        <f>Raw!G29</f>
        <v>N</v>
      </c>
    </row>
    <row r="30">
      <c r="A30" s="249">
        <f>Raw!A30</f>
        <v>29</v>
      </c>
      <c r="B30" s="251">
        <f>Raw!E30</f>
        <v>39520</v>
      </c>
      <c r="C30" s="250">
        <f>Display_All!Q30</f>
        <v>30</v>
      </c>
      <c r="D30" s="250" t="str">
        <f>Display_All!R30</f>
        <v/>
      </c>
      <c r="E30" s="262">
        <f>Calcs!B30</f>
        <v>706.9</v>
      </c>
      <c r="F30" s="250" t="str">
        <f>Display_All!V30</f>
        <v>plate &amp; hole</v>
      </c>
      <c r="G30" s="250" t="str">
        <f>Display_All!W30</f>
        <v>3</v>
      </c>
      <c r="H30" s="250" t="str">
        <f>Display_All!X30</f>
        <v>22 Down</v>
      </c>
      <c r="I30" s="250" t="str">
        <f>Display_All!Y30</f>
        <v>-6</v>
      </c>
      <c r="J30" s="250" t="str">
        <f>Display_All!AB30</f>
        <v>electric blower</v>
      </c>
      <c r="K30" s="250" t="str">
        <f>Display_All!AC30</f>
        <v>NR</v>
      </c>
      <c r="L30" s="303" t="str">
        <f>Raw!AV30</f>
        <v/>
      </c>
      <c r="M30" s="304">
        <f>Display_All!AD30</f>
        <v>848.28</v>
      </c>
      <c r="N30" s="305">
        <f>Display_All!AP30</f>
        <v>7.486868687</v>
      </c>
      <c r="O30" s="301">
        <f>Display_All!AW30</f>
        <v>0.2391304348</v>
      </c>
      <c r="P30" s="302">
        <f>Display_All!AX30</f>
        <v>0.4122938531</v>
      </c>
      <c r="Q30" s="264" t="str">
        <f>Raw!H30</f>
        <v/>
      </c>
      <c r="R30" s="264" t="str">
        <f>Raw!G30</f>
        <v>N</v>
      </c>
    </row>
    <row r="31">
      <c r="A31" s="249">
        <f>Raw!A31</f>
        <v>30</v>
      </c>
      <c r="B31" s="251">
        <f>Raw!E31</f>
        <v>39523</v>
      </c>
      <c r="C31" s="250">
        <f>Display_All!Q31</f>
        <v>30</v>
      </c>
      <c r="D31" s="250" t="str">
        <f>Display_All!R31</f>
        <v/>
      </c>
      <c r="E31" s="262">
        <f>Calcs!B31</f>
        <v>706.9</v>
      </c>
      <c r="F31" s="250" t="str">
        <f>Display_All!V31</f>
        <v>plate &amp; hole</v>
      </c>
      <c r="G31" s="250" t="str">
        <f>Display_All!W31</f>
        <v>3</v>
      </c>
      <c r="H31" s="250" t="str">
        <f>Display_All!X31</f>
        <v>22 Down</v>
      </c>
      <c r="I31" s="250" t="str">
        <f>Display_All!Y31</f>
        <v>-6</v>
      </c>
      <c r="J31" s="250" t="str">
        <f>Display_All!AB31</f>
        <v>electric blower</v>
      </c>
      <c r="K31" s="250" t="str">
        <f>Display_All!AC31</f>
        <v>NR</v>
      </c>
      <c r="L31" s="303" t="str">
        <f>Raw!AV31</f>
        <v/>
      </c>
      <c r="M31" s="304">
        <f>Display_All!AD31</f>
        <v>848.28</v>
      </c>
      <c r="N31" s="305">
        <f>Display_All!AP31</f>
        <v>6.9</v>
      </c>
      <c r="O31" s="301">
        <f>Display_All!AW31</f>
        <v>0.05629139073</v>
      </c>
      <c r="P31" s="302">
        <f>Display_All!AX31</f>
        <v>0.1129393685</v>
      </c>
      <c r="Q31" s="264" t="str">
        <f>Raw!H31</f>
        <v/>
      </c>
      <c r="R31" s="264" t="str">
        <f>Raw!G31</f>
        <v>N</v>
      </c>
    </row>
    <row r="32">
      <c r="A32" s="249">
        <f>Raw!A32</f>
        <v>31</v>
      </c>
      <c r="B32" s="251">
        <f>Raw!E32</f>
        <v>39524</v>
      </c>
      <c r="C32" s="250">
        <f>Display_All!Q32</f>
        <v>30</v>
      </c>
      <c r="D32" s="250" t="str">
        <f>Display_All!R32</f>
        <v/>
      </c>
      <c r="E32" s="262">
        <f>Calcs!B32</f>
        <v>706.9</v>
      </c>
      <c r="F32" s="250" t="str">
        <f>Display_All!V32</f>
        <v>plate &amp; hole</v>
      </c>
      <c r="G32" s="250" t="str">
        <f>Display_All!W32</f>
        <v>4</v>
      </c>
      <c r="H32" s="250" t="str">
        <f>Display_All!X32</f>
        <v>22 Down</v>
      </c>
      <c r="I32" s="250" t="str">
        <f>Display_All!Y32</f>
        <v>-13.5</v>
      </c>
      <c r="J32" s="250" t="str">
        <f>Display_All!AB32</f>
        <v>electric blower</v>
      </c>
      <c r="K32" s="250" t="str">
        <f>Display_All!AC32</f>
        <v>NR</v>
      </c>
      <c r="L32" s="303" t="str">
        <f>Raw!AV32</f>
        <v/>
      </c>
      <c r="M32" s="304">
        <f>Display_All!AD32</f>
        <v>848.28</v>
      </c>
      <c r="N32" s="305">
        <f>Display_All!AP32</f>
        <v>6.015428571</v>
      </c>
      <c r="O32" s="301">
        <f>Display_All!AW32</f>
        <v>0.1294117647</v>
      </c>
      <c r="P32" s="302">
        <f>Display_All!AX32</f>
        <v>0.2853553533</v>
      </c>
      <c r="Q32" s="264" t="str">
        <f>Raw!H32</f>
        <v/>
      </c>
      <c r="R32" s="264" t="str">
        <f>Raw!G32</f>
        <v>N</v>
      </c>
    </row>
    <row r="33">
      <c r="A33" s="249" t="str">
        <f>Raw!A33</f>
        <v>32 / D14</v>
      </c>
      <c r="B33" s="251">
        <f>Raw!E33</f>
        <v>39551</v>
      </c>
      <c r="C33" s="250">
        <f>Display_All!Q33</f>
        <v>20</v>
      </c>
      <c r="D33" s="250" t="str">
        <f>Display_All!R33</f>
        <v/>
      </c>
      <c r="E33" s="262">
        <f>Calcs!B33</f>
        <v>346.4</v>
      </c>
      <c r="F33" s="250" t="str">
        <f>Display_All!V33</f>
        <v>ceramic tube</v>
      </c>
      <c r="G33" s="250" t="str">
        <f>Display_All!W33</f>
        <v>2.5</v>
      </c>
      <c r="H33" s="250" t="str">
        <f>Display_All!X33</f>
        <v>20 Down</v>
      </c>
      <c r="I33" s="250" t="str">
        <f>Display_All!Y33</f>
        <v>5</v>
      </c>
      <c r="J33" s="250" t="str">
        <f>Display_All!AB33</f>
        <v>electric blower</v>
      </c>
      <c r="K33" s="250" t="str">
        <f>Display_All!AC33</f>
        <v>365 to 450</v>
      </c>
      <c r="L33" s="303" t="str">
        <f>Raw!AV33</f>
        <v/>
      </c>
      <c r="M33" s="304">
        <f>Display_All!AD33</f>
        <v>415.68</v>
      </c>
      <c r="N33" s="305">
        <f>Display_All!AP33</f>
        <v>7.05</v>
      </c>
      <c r="O33" s="301">
        <f>Display_All!AW33</f>
        <v>0.1111111111</v>
      </c>
      <c r="P33" s="302">
        <f>Display_All!AX33</f>
        <v>0.2229260737</v>
      </c>
      <c r="Q33" s="264" t="str">
        <f>Raw!H33</f>
        <v/>
      </c>
      <c r="R33" s="264" t="str">
        <f>Raw!G33</f>
        <v>N</v>
      </c>
    </row>
    <row r="34">
      <c r="A34" s="249">
        <f>Raw!A34</f>
        <v>33</v>
      </c>
      <c r="B34" s="251">
        <f>Raw!E34</f>
        <v>39568</v>
      </c>
      <c r="C34" s="250">
        <f>Display_All!Q34</f>
        <v>25</v>
      </c>
      <c r="D34" s="250" t="str">
        <f>Display_All!R34</f>
        <v/>
      </c>
      <c r="E34" s="262">
        <f>Calcs!B34</f>
        <v>490.9</v>
      </c>
      <c r="F34" s="250" t="str">
        <f>Display_All!V34</f>
        <v>steel pipe</v>
      </c>
      <c r="G34" s="250" t="str">
        <f>Display_All!W34</f>
        <v>2 (T)</v>
      </c>
      <c r="H34" s="250" t="str">
        <f>Display_All!X34</f>
        <v>20 Down</v>
      </c>
      <c r="I34" s="250" t="str">
        <f>Display_All!Y34</f>
        <v>0</v>
      </c>
      <c r="J34" s="250" t="str">
        <f>Display_All!AB34</f>
        <v>danish vacuum</v>
      </c>
      <c r="K34" s="250" t="str">
        <f>Display_All!AC34</f>
        <v>1000</v>
      </c>
      <c r="L34" s="303" t="str">
        <f>Raw!AV34</f>
        <v/>
      </c>
      <c r="M34" s="304">
        <f>Display_All!AD34</f>
        <v>589.08</v>
      </c>
      <c r="N34" s="305">
        <f>Display_All!AP34</f>
        <v>10.5</v>
      </c>
      <c r="O34" s="301" t="str">
        <f>Display_All!AW34</f>
        <v>na</v>
      </c>
      <c r="P34" s="302" t="str">
        <f>Display_All!AX34</f>
        <v>na</v>
      </c>
      <c r="Q34" s="264" t="str">
        <f>Raw!H34</f>
        <v/>
      </c>
      <c r="R34" s="264" t="str">
        <f>Raw!G34</f>
        <v>N</v>
      </c>
    </row>
    <row r="35">
      <c r="A35" s="249">
        <f>Raw!A35</f>
        <v>34</v>
      </c>
      <c r="B35" s="251">
        <f>Raw!E35</f>
        <v>39570</v>
      </c>
      <c r="C35" s="250">
        <f>Display_All!Q35</f>
        <v>25</v>
      </c>
      <c r="D35" s="250" t="str">
        <f>Display_All!R35</f>
        <v/>
      </c>
      <c r="E35" s="262">
        <f>Calcs!B35</f>
        <v>490.9</v>
      </c>
      <c r="F35" s="250" t="str">
        <f>Display_All!V35</f>
        <v>steel pipe</v>
      </c>
      <c r="G35" s="250" t="str">
        <f>Display_All!W35</f>
        <v>2 (T)</v>
      </c>
      <c r="H35" s="250" t="str">
        <f>Display_All!X35</f>
        <v>20 Down</v>
      </c>
      <c r="I35" s="250" t="str">
        <f>Display_All!Y35</f>
        <v>0</v>
      </c>
      <c r="J35" s="250" t="str">
        <f>Display_All!AB35</f>
        <v>danish vacuum</v>
      </c>
      <c r="K35" s="250" t="str">
        <f>Display_All!AC35</f>
        <v>1000</v>
      </c>
      <c r="L35" s="303" t="str">
        <f>Raw!AV35</f>
        <v/>
      </c>
      <c r="M35" s="304">
        <f>Display_All!AD35</f>
        <v>589.08</v>
      </c>
      <c r="N35" s="305">
        <f>Display_All!AP35</f>
        <v>7</v>
      </c>
      <c r="O35" s="301" t="str">
        <f>Display_All!AW35</f>
        <v>na</v>
      </c>
      <c r="P35" s="302" t="str">
        <f>Display_All!AX35</f>
        <v>?</v>
      </c>
      <c r="Q35" s="264" t="str">
        <f>Raw!H35</f>
        <v/>
      </c>
      <c r="R35" s="264" t="str">
        <f>Raw!G35</f>
        <v>N</v>
      </c>
    </row>
    <row r="36">
      <c r="A36" s="249">
        <f>Raw!A36</f>
        <v>35</v>
      </c>
      <c r="B36" s="251">
        <f>Raw!E36</f>
        <v>39572</v>
      </c>
      <c r="C36" s="250">
        <f>Display_All!Q36</f>
        <v>25</v>
      </c>
      <c r="D36" s="250" t="str">
        <f>Display_All!R36</f>
        <v/>
      </c>
      <c r="E36" s="262">
        <f>Calcs!B36</f>
        <v>490.9</v>
      </c>
      <c r="F36" s="250" t="str">
        <f>Display_All!V36</f>
        <v>steel pipe</v>
      </c>
      <c r="G36" s="250" t="str">
        <f>Display_All!W36</f>
        <v>2 (T)</v>
      </c>
      <c r="H36" s="250" t="str">
        <f>Display_All!X36</f>
        <v>23 Down</v>
      </c>
      <c r="I36" s="250" t="str">
        <f>Display_All!Y36</f>
        <v>0</v>
      </c>
      <c r="J36" s="250" t="str">
        <f>Display_All!AB36</f>
        <v>danish vacuum</v>
      </c>
      <c r="K36" s="250" t="str">
        <f>Display_All!AC36</f>
        <v>1000</v>
      </c>
      <c r="L36" s="303" t="str">
        <f>Raw!AV36</f>
        <v/>
      </c>
      <c r="M36" s="304">
        <f>Display_All!AD36</f>
        <v>589.08</v>
      </c>
      <c r="N36" s="305">
        <f>Display_All!AP36</f>
        <v>11.84615385</v>
      </c>
      <c r="O36" s="301">
        <f>Display_All!AW36</f>
        <v>0.1184210526</v>
      </c>
      <c r="P36" s="302" t="str">
        <f>Display_All!AX36</f>
        <v>?</v>
      </c>
      <c r="Q36" s="264" t="str">
        <f>Raw!H36</f>
        <v/>
      </c>
      <c r="R36" s="264" t="str">
        <f>Raw!G36</f>
        <v>Y</v>
      </c>
    </row>
    <row r="37">
      <c r="A37" s="249" t="str">
        <f>Raw!A37</f>
        <v>36 / D15</v>
      </c>
      <c r="B37" s="251">
        <f>Raw!E37</f>
        <v>39613</v>
      </c>
      <c r="C37" s="250" t="str">
        <f>Display_All!Q37</f>
        <v>26 by 23</v>
      </c>
      <c r="D37" s="250" t="str">
        <f>Display_All!R37</f>
        <v/>
      </c>
      <c r="E37" s="262">
        <f>Calcs!B37</f>
        <v>469.7</v>
      </c>
      <c r="F37" s="250" t="str">
        <f>Display_All!V37</f>
        <v>ceramic tube</v>
      </c>
      <c r="G37" s="250" t="str">
        <f>Display_All!W37</f>
        <v>2.5</v>
      </c>
      <c r="H37" s="250" t="str">
        <f>Display_All!X37</f>
        <v>23.5 Down</v>
      </c>
      <c r="I37" s="250" t="str">
        <f>Display_All!Y37</f>
        <v>3.5</v>
      </c>
      <c r="J37" s="250" t="str">
        <f>Display_All!AB37</f>
        <v>electric blower</v>
      </c>
      <c r="K37" s="250" t="str">
        <f>Display_All!AC37</f>
        <v>660 to 780</v>
      </c>
      <c r="L37" s="303" t="str">
        <f>Raw!AV37</f>
        <v/>
      </c>
      <c r="M37" s="304">
        <f>Display_All!AD37</f>
        <v>563.64</v>
      </c>
      <c r="N37" s="305">
        <f>Display_All!AP37</f>
        <v>5.873015873</v>
      </c>
      <c r="O37" s="301">
        <f>Display_All!AW37</f>
        <v>0.095</v>
      </c>
      <c r="P37" s="302">
        <f>Display_All!AX37</f>
        <v>0.190601793</v>
      </c>
      <c r="Q37" s="264" t="str">
        <f>Raw!H37</f>
        <v/>
      </c>
      <c r="R37" s="264" t="str">
        <f>Raw!G37</f>
        <v>N</v>
      </c>
    </row>
    <row r="38">
      <c r="A38" s="249">
        <f>Raw!A38</f>
        <v>37</v>
      </c>
      <c r="B38" s="251">
        <f>Raw!E38</f>
        <v>39718</v>
      </c>
      <c r="C38" s="250">
        <f>Display_All!Q38</f>
        <v>25</v>
      </c>
      <c r="D38" s="250" t="str">
        <f>Display_All!R38</f>
        <v/>
      </c>
      <c r="E38" s="262">
        <f>Calcs!B38</f>
        <v>490.9</v>
      </c>
      <c r="F38" s="250" t="str">
        <f>Display_All!V38</f>
        <v>ceramic tube</v>
      </c>
      <c r="G38" s="250" t="str">
        <f>Display_All!W38</f>
        <v>2.5</v>
      </c>
      <c r="H38" s="250" t="str">
        <f>Display_All!X38</f>
        <v>20 Down</v>
      </c>
      <c r="I38" s="250" t="str">
        <f>Display_All!Y38</f>
        <v>5</v>
      </c>
      <c r="J38" s="250" t="str">
        <f>Display_All!AB38</f>
        <v>electric blower</v>
      </c>
      <c r="K38" s="250" t="str">
        <f>Display_All!AC38</f>
        <v>800</v>
      </c>
      <c r="L38" s="303">
        <f>Raw!AV38</f>
        <v>672</v>
      </c>
      <c r="M38" s="304">
        <f>Display_All!AD38</f>
        <v>589.08</v>
      </c>
      <c r="N38" s="305">
        <f>Display_All!AP38</f>
        <v>5.637065637</v>
      </c>
      <c r="O38" s="301">
        <f>Display_All!AW38</f>
        <v>0.2737752161</v>
      </c>
      <c r="P38" s="302">
        <f>Display_All!AX38</f>
        <v>0.5266116815</v>
      </c>
      <c r="Q38" s="264" t="str">
        <f>Raw!H38</f>
        <v/>
      </c>
      <c r="R38" s="264" t="str">
        <f>Raw!G38</f>
        <v>Y</v>
      </c>
    </row>
    <row r="39">
      <c r="A39" s="249" t="str">
        <f>Raw!A39</f>
        <v>38 / D16</v>
      </c>
      <c r="B39" s="251">
        <f>Raw!E39</f>
        <v>39733</v>
      </c>
      <c r="C39" s="250">
        <f>Display_All!Q39</f>
        <v>22</v>
      </c>
      <c r="D39" s="250" t="str">
        <f>Display_All!R39</f>
        <v/>
      </c>
      <c r="E39" s="262">
        <f>Calcs!B39</f>
        <v>380.1</v>
      </c>
      <c r="F39" s="250" t="str">
        <f>Display_All!V39</f>
        <v>plate &amp; hole</v>
      </c>
      <c r="G39" s="250" t="str">
        <f>Display_All!W39</f>
        <v>8</v>
      </c>
      <c r="H39" s="250" t="str">
        <f>Display_All!X39</f>
        <v>15 Down</v>
      </c>
      <c r="I39" s="250" t="str">
        <f>Display_All!Y39</f>
        <v>-4</v>
      </c>
      <c r="J39" s="250" t="str">
        <f>Display_All!AB39</f>
        <v>electric blower</v>
      </c>
      <c r="K39" s="250" t="str">
        <f>Display_All!AC39</f>
        <v>625 to 740</v>
      </c>
      <c r="L39" s="303" t="str">
        <f>Raw!AV39</f>
        <v/>
      </c>
      <c r="M39" s="304">
        <f>Display_All!AD39</f>
        <v>456.12</v>
      </c>
      <c r="N39" s="305">
        <f>Display_All!AP39</f>
        <v>7.417417417</v>
      </c>
      <c r="O39" s="301">
        <f>Display_All!AW39</f>
        <v>0.2130434783</v>
      </c>
      <c r="P39" s="302">
        <f>Display_All!AX39</f>
        <v>0.3646483494</v>
      </c>
      <c r="Q39" s="264" t="str">
        <f>Raw!H39</f>
        <v>Icelandic</v>
      </c>
      <c r="R39" s="264" t="str">
        <f>Raw!G39</f>
        <v>Y</v>
      </c>
    </row>
    <row r="40">
      <c r="A40" s="249" t="str">
        <f>Raw!A40</f>
        <v>39 / D17</v>
      </c>
      <c r="B40" s="251">
        <f>Raw!E40</f>
        <v>39760</v>
      </c>
      <c r="C40" s="250" t="str">
        <f>Display_All!Q40</f>
        <v>26 by 24</v>
      </c>
      <c r="D40" s="250" t="str">
        <f>Display_All!R40</f>
        <v/>
      </c>
      <c r="E40" s="262">
        <f>Calcs!B40</f>
        <v>490.1</v>
      </c>
      <c r="F40" s="250" t="str">
        <f>Display_All!V40</f>
        <v>plate &amp; hole</v>
      </c>
      <c r="G40" s="250" t="str">
        <f>Display_All!W40</f>
        <v>5</v>
      </c>
      <c r="H40" s="250" t="str">
        <f>Display_All!X40</f>
        <v>25 Down</v>
      </c>
      <c r="I40" s="250" t="str">
        <f>Display_All!Y40</f>
        <v>-2.5</v>
      </c>
      <c r="J40" s="250" t="str">
        <f>Display_All!AB40</f>
        <v>electric blower</v>
      </c>
      <c r="K40" s="250" t="str">
        <f>Display_All!AC40</f>
        <v>400 to 1000</v>
      </c>
      <c r="L40" s="303" t="str">
        <f>Raw!AV40</f>
        <v>500 to 840</v>
      </c>
      <c r="M40" s="304">
        <f>Display_All!AD40</f>
        <v>588.12</v>
      </c>
      <c r="N40" s="305">
        <f>Display_All!AP40</f>
        <v>5.970588235</v>
      </c>
      <c r="O40" s="301">
        <f>Display_All!AW40</f>
        <v>0.1365546218</v>
      </c>
      <c r="P40" s="302">
        <f>Display_All!AX40</f>
        <v>0.2259346745</v>
      </c>
      <c r="Q40" s="264" t="str">
        <f>Raw!H40</f>
        <v>Icelandic</v>
      </c>
      <c r="R40" s="264" t="str">
        <f>Raw!G40</f>
        <v>Y</v>
      </c>
    </row>
    <row r="41">
      <c r="A41" s="249" t="str">
        <f>Raw!A41</f>
        <v>40 / D18</v>
      </c>
      <c r="B41" s="251">
        <f>Raw!E41</f>
        <v>39963</v>
      </c>
      <c r="C41" s="250">
        <f>Display_All!Q41</f>
        <v>20</v>
      </c>
      <c r="D41" s="250" t="str">
        <f>Display_All!R41</f>
        <v/>
      </c>
      <c r="E41" s="262">
        <f>Calcs!B41</f>
        <v>314.2</v>
      </c>
      <c r="F41" s="250" t="str">
        <f>Display_All!V41</f>
        <v>ceramic tube</v>
      </c>
      <c r="G41" s="250" t="str">
        <f>Display_All!W41</f>
        <v>2.5</v>
      </c>
      <c r="H41" s="250" t="str">
        <f>Display_All!X41</f>
        <v>23 Down</v>
      </c>
      <c r="I41" s="250" t="str">
        <f>Display_All!Y41</f>
        <v>3</v>
      </c>
      <c r="J41" s="250" t="str">
        <f>Display_All!AB41</f>
        <v>electric blower</v>
      </c>
      <c r="K41" s="250" t="str">
        <f>Display_All!AC41</f>
        <v>640</v>
      </c>
      <c r="L41" s="303" t="str">
        <f>Raw!AV41</f>
        <v/>
      </c>
      <c r="M41" s="304">
        <f>Display_All!AD41</f>
        <v>377.04</v>
      </c>
      <c r="N41" s="305">
        <f>Display_All!AP41</f>
        <v>6.755263158</v>
      </c>
      <c r="O41" s="301">
        <f>Display_All!AW41</f>
        <v>0.2722222222</v>
      </c>
      <c r="P41" s="302">
        <f>Display_All!AX41</f>
        <v>0.4759105126</v>
      </c>
      <c r="Q41" s="264" t="str">
        <f>Raw!H41</f>
        <v>Vinland</v>
      </c>
      <c r="R41" s="264" t="str">
        <f>Raw!G41</f>
        <v>N</v>
      </c>
    </row>
    <row r="42">
      <c r="A42" s="249" t="str">
        <f>Raw!A42</f>
        <v>41 / D19</v>
      </c>
      <c r="B42" s="251">
        <f>Raw!E42</f>
        <v>40097</v>
      </c>
      <c r="C42" s="250">
        <f>Display_All!Q42</f>
        <v>20</v>
      </c>
      <c r="D42" s="250" t="str">
        <f>Display_All!R42</f>
        <v/>
      </c>
      <c r="E42" s="262">
        <f>Calcs!B42</f>
        <v>314.2</v>
      </c>
      <c r="F42" s="250" t="str">
        <f>Display_All!V42</f>
        <v>ceramic tube</v>
      </c>
      <c r="G42" s="250" t="str">
        <f>Display_All!W42</f>
        <v>2.5</v>
      </c>
      <c r="H42" s="250" t="str">
        <f>Display_All!X42</f>
        <v>22 Down</v>
      </c>
      <c r="I42" s="250" t="str">
        <f>Display_All!Y42</f>
        <v>3</v>
      </c>
      <c r="J42" s="250" t="str">
        <f>Display_All!AB42</f>
        <v>box / electric</v>
      </c>
      <c r="K42" s="250" t="str">
        <f>Display_All!AC42</f>
        <v>900 (E)</v>
      </c>
      <c r="L42" s="303">
        <f>Raw!AV42</f>
        <v>756</v>
      </c>
      <c r="M42" s="304">
        <f>Display_All!AD42</f>
        <v>377.04</v>
      </c>
      <c r="N42" s="305">
        <f>Display_All!AP42</f>
        <v>7.196969697</v>
      </c>
      <c r="O42" s="301">
        <f>Display_All!AW42</f>
        <v>0.270531401</v>
      </c>
      <c r="P42" s="302">
        <f>Display_All!AX42</f>
        <v>0.4459513724</v>
      </c>
      <c r="Q42" s="264" t="str">
        <f>Raw!H42</f>
        <v>Vinland</v>
      </c>
      <c r="R42" s="264" t="str">
        <f>Raw!G42</f>
        <v>N</v>
      </c>
    </row>
    <row r="43">
      <c r="A43" s="249" t="str">
        <f>Raw!A43</f>
        <v>42 / D20</v>
      </c>
      <c r="B43" s="251">
        <f>Raw!E43</f>
        <v>40124</v>
      </c>
      <c r="C43" s="250">
        <f>Display_All!Q43</f>
        <v>22</v>
      </c>
      <c r="D43" s="250" t="str">
        <f>Display_All!R43</f>
        <v/>
      </c>
      <c r="E43" s="262">
        <f>Calcs!B43</f>
        <v>380.1</v>
      </c>
      <c r="F43" s="250" t="str">
        <f>Display_All!V43</f>
        <v>forged steel pipe</v>
      </c>
      <c r="G43" s="250" t="str">
        <f>Display_All!W43</f>
        <v>2</v>
      </c>
      <c r="H43" s="250" t="str">
        <f>Display_All!X43</f>
        <v>20 Down</v>
      </c>
      <c r="I43" s="250" t="str">
        <f>Display_All!Y43</f>
        <v>5</v>
      </c>
      <c r="J43" s="250" t="str">
        <f>Display_All!AB43</f>
        <v>smelt bellows</v>
      </c>
      <c r="K43" s="250" t="str">
        <f>Display_All!AC43</f>
        <v>700 (E)</v>
      </c>
      <c r="L43" s="303">
        <f>Raw!AV43</f>
        <v>520</v>
      </c>
      <c r="M43" s="304">
        <f>Display_All!AD43</f>
        <v>456.12</v>
      </c>
      <c r="N43" s="305">
        <f>Display_All!AP43</f>
        <v>8.863636364</v>
      </c>
      <c r="O43" s="301">
        <f>Display_All!AW43</f>
        <v>0.1611111111</v>
      </c>
      <c r="P43" s="302">
        <f>Display_All!AX43</f>
        <v>0.2816613238</v>
      </c>
      <c r="Q43" s="264" t="str">
        <f>Raw!H43</f>
        <v>Vinland</v>
      </c>
      <c r="R43" s="264" t="str">
        <f>Raw!G43</f>
        <v>N</v>
      </c>
    </row>
    <row r="44">
      <c r="A44" s="249" t="str">
        <f>Raw!A44</f>
        <v>43 / D21</v>
      </c>
      <c r="B44" s="251">
        <f>Raw!E44</f>
        <v>40341</v>
      </c>
      <c r="C44" s="250" t="str">
        <f>Display_All!Q44</f>
        <v>28 to 23</v>
      </c>
      <c r="D44" s="250" t="str">
        <f>Display_All!R44</f>
        <v>28 (E)</v>
      </c>
      <c r="E44" s="262" t="str">
        <f>Calcs!B44</f>
        <v>615.8 (E)</v>
      </c>
      <c r="F44" s="250" t="str">
        <f>Display_All!V44</f>
        <v>forged steel pipe</v>
      </c>
      <c r="G44" s="250" t="str">
        <f>Display_All!W44</f>
        <v>2 (T)</v>
      </c>
      <c r="H44" s="250" t="str">
        <f>Display_All!X44</f>
        <v>22 to 30 Down</v>
      </c>
      <c r="I44" s="250" t="str">
        <f>Display_All!Y44</f>
        <v>5</v>
      </c>
      <c r="J44" s="250" t="str">
        <f>Display_All!AB44</f>
        <v>smelt bellows</v>
      </c>
      <c r="K44" s="250" t="str">
        <f>Display_All!AC44</f>
        <v>700 (E)</v>
      </c>
      <c r="L44" s="303">
        <f>Raw!AV44</f>
        <v>520</v>
      </c>
      <c r="M44" s="304">
        <f>Display_All!AD44</f>
        <v>738.96</v>
      </c>
      <c r="N44" s="305" t="str">
        <f>Display_All!AP44</f>
        <v>NR</v>
      </c>
      <c r="O44" s="301">
        <f>Display_All!AW44</f>
        <v>0.08</v>
      </c>
      <c r="P44" s="302">
        <f>Display_All!AX44</f>
        <v>0.1380782443</v>
      </c>
      <c r="Q44" s="264" t="str">
        <f>Raw!H44</f>
        <v>Vinland</v>
      </c>
      <c r="R44" s="264" t="str">
        <f>Raw!G44</f>
        <v>N</v>
      </c>
    </row>
    <row r="45">
      <c r="A45" s="249" t="str">
        <f>Raw!A45</f>
        <v>44 / D22</v>
      </c>
      <c r="B45" s="251">
        <f>Raw!E45</f>
        <v>40411</v>
      </c>
      <c r="C45" s="250" t="str">
        <f>Display_All!Q45</f>
        <v>24 by 22</v>
      </c>
      <c r="D45" s="250" t="str">
        <f>Display_All!R45</f>
        <v/>
      </c>
      <c r="E45" s="262">
        <f>Calcs!B45</f>
        <v>414.7</v>
      </c>
      <c r="F45" s="250" t="str">
        <f>Display_All!V45</f>
        <v>forged steel pipe</v>
      </c>
      <c r="G45" s="250" t="str">
        <f>Display_All!W45</f>
        <v>2 (T)</v>
      </c>
      <c r="H45" s="250" t="str">
        <f>Display_All!X45</f>
        <v>19 Down</v>
      </c>
      <c r="I45" s="250" t="str">
        <f>Display_All!Y45</f>
        <v>4.5</v>
      </c>
      <c r="J45" s="250" t="str">
        <f>Display_All!AB45</f>
        <v>smelt bellows</v>
      </c>
      <c r="K45" s="250" t="str">
        <f>Display_All!AC45</f>
        <v>700 (E)</v>
      </c>
      <c r="L45" s="303">
        <f>Raw!AV45</f>
        <v>520</v>
      </c>
      <c r="M45" s="304">
        <f>Display_All!AD45</f>
        <v>497.64</v>
      </c>
      <c r="N45" s="305">
        <f>Display_All!AP45</f>
        <v>8.12244898</v>
      </c>
      <c r="O45" s="301">
        <f>Display_All!AW45</f>
        <v>0.14</v>
      </c>
      <c r="P45" s="302">
        <f>Display_All!AX45</f>
        <v>0.2447539779</v>
      </c>
      <c r="Q45" s="264" t="str">
        <f>Raw!H45</f>
        <v>Vinland</v>
      </c>
      <c r="R45" s="264" t="str">
        <f>Raw!G45</f>
        <v>Y</v>
      </c>
    </row>
    <row r="46">
      <c r="A46" s="249" t="str">
        <f>Raw!A46</f>
        <v>45 / D23</v>
      </c>
      <c r="B46" s="251">
        <f>Raw!E46</f>
        <v>40488</v>
      </c>
      <c r="C46" s="250">
        <f>Display_All!Q46</f>
        <v>28</v>
      </c>
      <c r="D46" s="250" t="str">
        <f>Display_All!R46</f>
        <v/>
      </c>
      <c r="E46" s="262">
        <f>Calcs!B46</f>
        <v>649.5</v>
      </c>
      <c r="F46" s="250" t="str">
        <f>Display_All!V46</f>
        <v>ceramic tube</v>
      </c>
      <c r="G46" s="250" t="str">
        <f>Display_All!W46</f>
        <v>2.5</v>
      </c>
      <c r="H46" s="250" t="str">
        <f>Display_All!X46</f>
        <v>23 Down</v>
      </c>
      <c r="I46" s="250" t="str">
        <f>Display_All!Y46</f>
        <v>4</v>
      </c>
      <c r="J46" s="250" t="str">
        <f>Display_All!AB46</f>
        <v>electric blower</v>
      </c>
      <c r="K46" s="250" t="str">
        <f>Display_All!AC46</f>
        <v>800 to 900</v>
      </c>
      <c r="L46" s="303" t="str">
        <f>Raw!AV46</f>
        <v/>
      </c>
      <c r="M46" s="304">
        <f>Display_All!AD46</f>
        <v>779.4</v>
      </c>
      <c r="N46" s="305">
        <f>Display_All!AP46</f>
        <v>5.593869732</v>
      </c>
      <c r="O46" s="301">
        <f>Display_All!AW46</f>
        <v>0.3541666667</v>
      </c>
      <c r="P46" s="302">
        <f>Display_All!AX46</f>
        <v>0.5157508202</v>
      </c>
      <c r="Q46" s="264" t="str">
        <f>Raw!H46</f>
        <v/>
      </c>
      <c r="R46" s="264" t="str">
        <f>Raw!G46</f>
        <v>N</v>
      </c>
    </row>
    <row r="47">
      <c r="A47" s="249">
        <f>Raw!A47</f>
        <v>46</v>
      </c>
      <c r="B47" s="251">
        <f>Raw!E47</f>
        <v>40620</v>
      </c>
      <c r="C47" s="250">
        <f>Display_All!Q47</f>
        <v>65</v>
      </c>
      <c r="D47" s="250" t="str">
        <f>Display_All!R47</f>
        <v/>
      </c>
      <c r="E47" s="262">
        <f>Calcs!B47</f>
        <v>3318.3</v>
      </c>
      <c r="F47" s="250" t="str">
        <f>Display_All!V47</f>
        <v>mulitple - clay</v>
      </c>
      <c r="G47" s="250" t="str">
        <f>Display_All!W47</f>
        <v>2 (T)</v>
      </c>
      <c r="H47" s="250" t="str">
        <f>Display_All!X47</f>
        <v>5 Down (E)</v>
      </c>
      <c r="I47" s="250" t="str">
        <f>Display_All!Y47</f>
        <v>10</v>
      </c>
      <c r="J47" s="250" t="str">
        <f>Display_All!AB47</f>
        <v>passive</v>
      </c>
      <c r="K47" s="250" t="str">
        <f>Display_All!AC47</f>
        <v>?</v>
      </c>
      <c r="L47" s="303" t="str">
        <f>Raw!AV47</f>
        <v/>
      </c>
      <c r="M47" s="304">
        <f>Display_All!AD47</f>
        <v>3981.96</v>
      </c>
      <c r="N47" s="305">
        <f>Display_All!AP47</f>
        <v>5.58893617</v>
      </c>
      <c r="O47" s="301" t="str">
        <f>Display_All!AW47</f>
        <v>na</v>
      </c>
      <c r="P47" s="302" t="str">
        <f>Display_All!AX47</f>
        <v>na</v>
      </c>
      <c r="Q47" s="264" t="str">
        <f>Raw!H47</f>
        <v/>
      </c>
      <c r="R47" s="264" t="str">
        <f>Raw!G47</f>
        <v>N</v>
      </c>
    </row>
    <row r="48">
      <c r="A48" s="249">
        <f>Raw!A48</f>
        <v>47</v>
      </c>
      <c r="B48" s="251">
        <f>Raw!E48</f>
        <v>40654</v>
      </c>
      <c r="C48" s="250" t="str">
        <f>Display_All!Q48</f>
        <v>25 to 24</v>
      </c>
      <c r="D48" s="250" t="str">
        <f>Display_All!R48</f>
        <v>25 (E)</v>
      </c>
      <c r="E48" s="262" t="str">
        <f>Calcs!B48</f>
        <v>490.9 (E)</v>
      </c>
      <c r="F48" s="250" t="str">
        <f>Display_All!V48</f>
        <v>ceramic / pipe</v>
      </c>
      <c r="G48" s="250" t="str">
        <f>Display_All!W48</f>
        <v>2.5 / 2</v>
      </c>
      <c r="H48" s="250" t="str">
        <f>Display_All!X48</f>
        <v>20 Down</v>
      </c>
      <c r="I48" s="250" t="str">
        <f>Display_All!Y48</f>
        <v>4.5</v>
      </c>
      <c r="J48" s="250" t="str">
        <f>Display_All!AB48</f>
        <v>electric blower</v>
      </c>
      <c r="K48" s="250" t="str">
        <f>Display_All!AC48</f>
        <v>850</v>
      </c>
      <c r="L48" s="303">
        <f>Raw!AV48</f>
        <v>714</v>
      </c>
      <c r="M48" s="304">
        <f>Display_All!AD48</f>
        <v>589.08</v>
      </c>
      <c r="N48" s="305">
        <f>Display_All!AP48</f>
        <v>9.365079365</v>
      </c>
      <c r="O48" s="301">
        <f>Display_All!AW48</f>
        <v>0.07586206897</v>
      </c>
      <c r="P48" s="302">
        <f>Display_All!AX48</f>
        <v>0.1301460964</v>
      </c>
      <c r="Q48" s="264" t="str">
        <f>Raw!H48</f>
        <v>Teaching</v>
      </c>
      <c r="R48" s="264" t="str">
        <f>Raw!G48</f>
        <v>N</v>
      </c>
    </row>
    <row r="49">
      <c r="A49" s="249" t="str">
        <f>Raw!A49</f>
        <v>D24</v>
      </c>
      <c r="B49" s="251">
        <f>Raw!E49</f>
        <v>40705</v>
      </c>
      <c r="C49" s="250">
        <f>Display_All!Q49</f>
        <v>25</v>
      </c>
      <c r="D49" s="250" t="str">
        <f>Display_All!R49</f>
        <v/>
      </c>
      <c r="E49" s="262">
        <f>Calcs!B49</f>
        <v>517.8</v>
      </c>
      <c r="F49" s="250" t="str">
        <f>Display_All!V49</f>
        <v>ceramic tube</v>
      </c>
      <c r="G49" s="250" t="str">
        <f>Display_All!W49</f>
        <v>2.5</v>
      </c>
      <c r="H49" s="250" t="str">
        <f>Display_All!X49</f>
        <v>20 Down</v>
      </c>
      <c r="I49" s="250" t="str">
        <f>Display_All!Y49</f>
        <v>5</v>
      </c>
      <c r="J49" s="250" t="str">
        <f>Display_All!AB49</f>
        <v>electric blower</v>
      </c>
      <c r="K49" s="250" t="str">
        <f>Display_All!AC49</f>
        <v>900</v>
      </c>
      <c r="L49" s="303">
        <f>Raw!AV49</f>
        <v>756</v>
      </c>
      <c r="M49" s="304">
        <f>Display_All!AD49</f>
        <v>621.36</v>
      </c>
      <c r="N49" s="305">
        <f>Display_All!AP49</f>
        <v>5.195195195</v>
      </c>
      <c r="O49" s="301">
        <f>Display_All!AW49</f>
        <v>0.1104166667</v>
      </c>
      <c r="P49" s="302">
        <f>Display_All!AX49</f>
        <v>0.243470808</v>
      </c>
      <c r="Q49" s="264" t="str">
        <f>Raw!H49</f>
        <v/>
      </c>
      <c r="R49" s="264" t="str">
        <f>Raw!G49</f>
        <v>N</v>
      </c>
    </row>
    <row r="50">
      <c r="A50" s="249" t="str">
        <f>Raw!A50</f>
        <v>D25</v>
      </c>
      <c r="B50" s="251">
        <f>Raw!E50</f>
        <v>40752</v>
      </c>
      <c r="C50" s="250">
        <f>Display_All!Q50</f>
        <v>25</v>
      </c>
      <c r="D50" s="250" t="str">
        <f>Display_All!R50</f>
        <v/>
      </c>
      <c r="E50" s="262">
        <f>Calcs!B50</f>
        <v>517.8</v>
      </c>
      <c r="F50" s="250" t="str">
        <f>Display_All!V50</f>
        <v>ceramic tube</v>
      </c>
      <c r="G50" s="250" t="str">
        <f>Display_All!W50</f>
        <v>2.5</v>
      </c>
      <c r="H50" s="250" t="str">
        <f>Display_All!X50</f>
        <v>20 Down</v>
      </c>
      <c r="I50" s="250" t="str">
        <f>Display_All!Y50</f>
        <v>5</v>
      </c>
      <c r="J50" s="250" t="str">
        <f>Display_All!AB50</f>
        <v>electric blower</v>
      </c>
      <c r="K50" s="250" t="str">
        <f>Display_All!AC50</f>
        <v>900</v>
      </c>
      <c r="L50" s="303">
        <f>Raw!AV50</f>
        <v>756</v>
      </c>
      <c r="M50" s="304">
        <f>Display_All!AD50</f>
        <v>621.36</v>
      </c>
      <c r="N50" s="305">
        <f>Display_All!AP50</f>
        <v>6.893939394</v>
      </c>
      <c r="O50" s="301">
        <f>Display_All!AW50</f>
        <v>0.1923076923</v>
      </c>
      <c r="P50" s="302">
        <f>Display_All!AX50</f>
        <v>0.3368778467</v>
      </c>
      <c r="Q50" s="264" t="str">
        <f>Raw!H50</f>
        <v/>
      </c>
      <c r="R50" s="264" t="str">
        <f>Raw!G50</f>
        <v>Y</v>
      </c>
    </row>
    <row r="51">
      <c r="A51" s="249" t="str">
        <f>Raw!A51</f>
        <v>48 / D26</v>
      </c>
      <c r="B51" s="251">
        <f>Raw!E51</f>
        <v>40825</v>
      </c>
      <c r="C51" s="250">
        <f>Display_All!Q51</f>
        <v>25</v>
      </c>
      <c r="D51" s="250" t="str">
        <f>Display_All!R51</f>
        <v/>
      </c>
      <c r="E51" s="262">
        <f>Calcs!B51</f>
        <v>490.9</v>
      </c>
      <c r="F51" s="250" t="str">
        <f>Display_All!V51</f>
        <v>ceramic tube</v>
      </c>
      <c r="G51" s="250" t="str">
        <f>Display_All!W51</f>
        <v>2.5</v>
      </c>
      <c r="H51" s="250" t="str">
        <f>Display_All!X51</f>
        <v>20 Down</v>
      </c>
      <c r="I51" s="250" t="str">
        <f>Display_All!Y51</f>
        <v>5</v>
      </c>
      <c r="J51" s="250" t="str">
        <f>Display_All!AB51</f>
        <v>electric blower</v>
      </c>
      <c r="K51" s="250" t="str">
        <f>Display_All!AC51</f>
        <v>800</v>
      </c>
      <c r="L51" s="303">
        <f>Raw!AV51</f>
        <v>672</v>
      </c>
      <c r="M51" s="304">
        <f>Display_All!AD51</f>
        <v>589.08</v>
      </c>
      <c r="N51" s="305">
        <f>Display_All!AP51</f>
        <v>5.206030151</v>
      </c>
      <c r="O51" s="301" t="str">
        <f>Display_All!AW51</f>
        <v>na</v>
      </c>
      <c r="P51" s="302" t="str">
        <f>Display_All!AX51</f>
        <v>na</v>
      </c>
      <c r="Q51" s="264" t="str">
        <f>Raw!H51</f>
        <v/>
      </c>
      <c r="R51" s="264" t="str">
        <f>Raw!G51</f>
        <v>N</v>
      </c>
    </row>
    <row r="52">
      <c r="A52" s="249">
        <f>Raw!A52</f>
        <v>49</v>
      </c>
      <c r="B52" s="251">
        <f>Raw!E52</f>
        <v>40852</v>
      </c>
      <c r="C52" s="250">
        <f>Display_All!Q52</f>
        <v>25</v>
      </c>
      <c r="D52" s="250" t="str">
        <f>Display_All!R52</f>
        <v/>
      </c>
      <c r="E52" s="262">
        <f>Calcs!B52</f>
        <v>490.9</v>
      </c>
      <c r="F52" s="250" t="str">
        <f>Display_All!V52</f>
        <v>ceramic tube</v>
      </c>
      <c r="G52" s="250" t="str">
        <f>Display_All!W52</f>
        <v>2.5</v>
      </c>
      <c r="H52" s="250" t="str">
        <f>Display_All!X52</f>
        <v>20 Down</v>
      </c>
      <c r="I52" s="250" t="str">
        <f>Display_All!Y52</f>
        <v>5</v>
      </c>
      <c r="J52" s="250" t="str">
        <f>Display_All!AB52</f>
        <v>electric blower</v>
      </c>
      <c r="K52" s="250" t="str">
        <f>Display_All!AC52</f>
        <v>900</v>
      </c>
      <c r="L52" s="303">
        <f>Raw!AV52</f>
        <v>756</v>
      </c>
      <c r="M52" s="304">
        <f>Display_All!AD52</f>
        <v>589.08</v>
      </c>
      <c r="N52" s="305">
        <f>Display_All!AP52</f>
        <v>5.399239544</v>
      </c>
      <c r="O52" s="301">
        <f>Display_All!AW52</f>
        <v>0.3333333333</v>
      </c>
      <c r="P52" s="302">
        <f>Display_All!AX52</f>
        <v>0.5097091214</v>
      </c>
      <c r="Q52" s="264" t="str">
        <f>Raw!H52</f>
        <v/>
      </c>
      <c r="R52" s="264" t="str">
        <f>Raw!G52</f>
        <v>N</v>
      </c>
    </row>
    <row r="53">
      <c r="A53" s="249">
        <f>Raw!A53</f>
        <v>50</v>
      </c>
      <c r="B53" s="251">
        <f>Raw!E53</f>
        <v>41034</v>
      </c>
      <c r="C53" s="250" t="str">
        <f>Display_All!Q53</f>
        <v>29 to 25.5</v>
      </c>
      <c r="D53" s="250">
        <f>Display_All!R53</f>
        <v>28.5</v>
      </c>
      <c r="E53" s="262">
        <f>Calcs!B53</f>
        <v>637.9</v>
      </c>
      <c r="F53" s="250" t="str">
        <f>Display_All!V53</f>
        <v>forged copper</v>
      </c>
      <c r="G53" s="250" t="str">
        <f>Display_All!W53</f>
        <v>2.5 (T)</v>
      </c>
      <c r="H53" s="250" t="str">
        <f>Display_All!X53</f>
        <v>20 Down</v>
      </c>
      <c r="I53" s="250" t="str">
        <f>Display_All!Y53</f>
        <v>5</v>
      </c>
      <c r="J53" s="250" t="str">
        <f>Display_All!AB53</f>
        <v>electric blower</v>
      </c>
      <c r="K53" s="250" t="str">
        <f>Display_All!AC53</f>
        <v>800</v>
      </c>
      <c r="L53" s="303">
        <f>Raw!AV53</f>
        <v>672</v>
      </c>
      <c r="M53" s="304">
        <f>Display_All!AD53</f>
        <v>765.48</v>
      </c>
      <c r="N53" s="305">
        <f>Display_All!AP53</f>
        <v>8.728046833</v>
      </c>
      <c r="O53" s="301">
        <f>Display_All!AW53</f>
        <v>0.279498861</v>
      </c>
      <c r="P53" s="302">
        <f>Display_All!AX53</f>
        <v>0.5469822695</v>
      </c>
      <c r="Q53" s="264" t="str">
        <f>Raw!H53</f>
        <v/>
      </c>
      <c r="R53" s="264" t="str">
        <f>Raw!G53</f>
        <v>N</v>
      </c>
    </row>
    <row r="54">
      <c r="A54" s="249" t="str">
        <f>Raw!A54</f>
        <v>51 / D27</v>
      </c>
      <c r="B54" s="251">
        <f>Raw!E54</f>
        <v>41055</v>
      </c>
      <c r="C54" s="250" t="str">
        <f>Display_All!Q54</f>
        <v>28 by 26</v>
      </c>
      <c r="D54" s="250" t="str">
        <f>Display_All!R54</f>
        <v/>
      </c>
      <c r="E54" s="262">
        <f>Calcs!B54</f>
        <v>571.8</v>
      </c>
      <c r="F54" s="250" t="str">
        <f>Display_All!V54</f>
        <v>ceramic tube</v>
      </c>
      <c r="G54" s="250" t="str">
        <f>Display_All!W54</f>
        <v>2.5</v>
      </c>
      <c r="H54" s="250" t="str">
        <f>Display_All!X54</f>
        <v>22 Down</v>
      </c>
      <c r="I54" s="250" t="str">
        <f>Display_All!Y54</f>
        <v>5</v>
      </c>
      <c r="J54" s="250" t="str">
        <f>Display_All!AB54</f>
        <v>electric blower</v>
      </c>
      <c r="K54" s="250" t="str">
        <f>Display_All!AC54</f>
        <v>800</v>
      </c>
      <c r="L54" s="303">
        <f>Raw!AV54</f>
        <v>672</v>
      </c>
      <c r="M54" s="304">
        <f>Display_All!AD54</f>
        <v>686.16</v>
      </c>
      <c r="N54" s="305">
        <f>Display_All!AP54</f>
        <v>8.296296296</v>
      </c>
      <c r="O54" s="301">
        <f>Display_All!AW54</f>
        <v>0.1823899371</v>
      </c>
      <c r="P54" s="302">
        <f>Display_All!AX54</f>
        <v>0.3482170441</v>
      </c>
      <c r="Q54" s="264" t="str">
        <f>Raw!H54</f>
        <v>Icelandic</v>
      </c>
      <c r="R54" s="264" t="str">
        <f>Raw!G54</f>
        <v>Y</v>
      </c>
    </row>
    <row r="55">
      <c r="A55" s="249">
        <f>Raw!A55</f>
        <v>52</v>
      </c>
      <c r="B55" s="251">
        <f>Raw!E55</f>
        <v>41132</v>
      </c>
      <c r="C55" s="250" t="str">
        <f>Display_All!Q55</f>
        <v>29 by 27</v>
      </c>
      <c r="D55" s="250" t="str">
        <f>Display_All!R55</f>
        <v/>
      </c>
      <c r="E55" s="262">
        <f>Calcs!B55</f>
        <v>615</v>
      </c>
      <c r="F55" s="250" t="str">
        <f>Display_All!V55</f>
        <v>ceramic tube</v>
      </c>
      <c r="G55" s="250" t="str">
        <f>Display_All!W55</f>
        <v>2.5</v>
      </c>
      <c r="H55" s="250" t="str">
        <f>Display_All!X55</f>
        <v>20 Down</v>
      </c>
      <c r="I55" s="250" t="str">
        <f>Display_All!Y55</f>
        <v>5.5</v>
      </c>
      <c r="J55" s="250" t="str">
        <f>Display_All!AB55</f>
        <v>electric blower</v>
      </c>
      <c r="K55" s="250" t="str">
        <f>Display_All!AC55</f>
        <v>800</v>
      </c>
      <c r="L55" s="303">
        <f>Raw!AV55</f>
        <v>672</v>
      </c>
      <c r="M55" s="304">
        <f>Display_All!AD55</f>
        <v>738</v>
      </c>
      <c r="N55" s="305">
        <f>Display_All!AP55</f>
        <v>7.537537538</v>
      </c>
      <c r="O55" s="301">
        <f>Display_All!AW55</f>
        <v>0.2232704403</v>
      </c>
      <c r="P55" s="302">
        <f>Display_All!AX55</f>
        <v>0.3911172987</v>
      </c>
      <c r="Q55" s="264" t="str">
        <f>Raw!H55</f>
        <v>Teaching</v>
      </c>
      <c r="R55" s="264" t="str">
        <f>Raw!G55</f>
        <v>Y</v>
      </c>
    </row>
    <row r="56">
      <c r="A56" s="249">
        <f>Raw!A56</f>
        <v>53</v>
      </c>
      <c r="B56" s="251">
        <f>Raw!E56</f>
        <v>41405</v>
      </c>
      <c r="C56" s="250">
        <f>Display_All!Q56</f>
        <v>28</v>
      </c>
      <c r="D56" s="250" t="str">
        <f>Display_All!R56</f>
        <v/>
      </c>
      <c r="E56" s="262">
        <f>Calcs!B56</f>
        <v>615.8</v>
      </c>
      <c r="F56" s="250" t="str">
        <f>Display_All!V56</f>
        <v>ceramic tube</v>
      </c>
      <c r="G56" s="250" t="str">
        <f>Display_All!W56</f>
        <v>2.5</v>
      </c>
      <c r="H56" s="250" t="str">
        <f>Display_All!X56</f>
        <v>20 Down</v>
      </c>
      <c r="I56" s="250" t="str">
        <f>Display_All!Y56</f>
        <v>4</v>
      </c>
      <c r="J56" s="250" t="str">
        <f>Display_All!AB56</f>
        <v>electric blower</v>
      </c>
      <c r="K56" s="250" t="str">
        <f>Display_All!AC56</f>
        <v>900</v>
      </c>
      <c r="L56" s="303">
        <f>Raw!AV56</f>
        <v>756</v>
      </c>
      <c r="M56" s="304">
        <f>Display_All!AD56</f>
        <v>738.96</v>
      </c>
      <c r="N56" s="305">
        <f>Display_All!AP56</f>
        <v>5.789473684</v>
      </c>
      <c r="O56" s="301">
        <f>Display_All!AW56</f>
        <v>0.216</v>
      </c>
      <c r="P56" s="302">
        <f>Display_All!AX56</f>
        <v>0.3670549466</v>
      </c>
      <c r="Q56" s="264" t="str">
        <f>Raw!H56</f>
        <v/>
      </c>
      <c r="R56" s="264" t="str">
        <f>Raw!G56</f>
        <v>Y</v>
      </c>
    </row>
    <row r="57">
      <c r="A57" s="249">
        <f>Raw!A57</f>
        <v>54</v>
      </c>
      <c r="B57" s="251">
        <f>Raw!E57</f>
        <v>41420</v>
      </c>
      <c r="C57" s="250" t="str">
        <f>Display_All!Q57</f>
        <v>29 by 27</v>
      </c>
      <c r="D57" s="250" t="str">
        <f>Display_All!R57</f>
        <v/>
      </c>
      <c r="E57" s="262">
        <f>Calcs!B57</f>
        <v>615</v>
      </c>
      <c r="F57" s="250" t="str">
        <f>Display_All!V57</f>
        <v>ceramic tube</v>
      </c>
      <c r="G57" s="250" t="str">
        <f>Display_All!W57</f>
        <v>2.5</v>
      </c>
      <c r="H57" s="250" t="str">
        <f>Display_All!X57</f>
        <v>22 Down</v>
      </c>
      <c r="I57" s="250" t="str">
        <f>Display_All!Y57</f>
        <v>4</v>
      </c>
      <c r="J57" s="250" t="str">
        <f>Display_All!AB57</f>
        <v>electric blower</v>
      </c>
      <c r="K57" s="250" t="str">
        <f>Display_All!AC57</f>
        <v>800</v>
      </c>
      <c r="L57" s="303">
        <f>Raw!AV57</f>
        <v>672</v>
      </c>
      <c r="M57" s="304">
        <f>Display_All!AD57</f>
        <v>738</v>
      </c>
      <c r="N57" s="305">
        <f>Display_All!AP57</f>
        <v>5.243764172</v>
      </c>
      <c r="O57" s="301">
        <f>Display_All!AW57</f>
        <v>0.3453947368</v>
      </c>
      <c r="P57" s="302" t="str">
        <f>Display_All!AX57</f>
        <v>?</v>
      </c>
      <c r="Q57" s="264" t="str">
        <f>Raw!H57</f>
        <v>Teaching</v>
      </c>
      <c r="R57" s="264" t="str">
        <f>Raw!G57</f>
        <v>N</v>
      </c>
    </row>
    <row r="58">
      <c r="A58" s="249">
        <f>Raw!A58</f>
        <v>55</v>
      </c>
      <c r="B58" s="251">
        <f>Raw!E58</f>
        <v>41569</v>
      </c>
      <c r="C58" s="250">
        <f>Display_All!Q58</f>
        <v>28</v>
      </c>
      <c r="D58" s="250" t="str">
        <f>Display_All!R58</f>
        <v/>
      </c>
      <c r="E58" s="262">
        <f>Calcs!B58</f>
        <v>615.8</v>
      </c>
      <c r="F58" s="250" t="str">
        <f>Display_All!V58</f>
        <v>ceramic tube</v>
      </c>
      <c r="G58" s="250" t="str">
        <f>Display_All!W58</f>
        <v>2.5</v>
      </c>
      <c r="H58" s="250" t="str">
        <f>Display_All!X58</f>
        <v>23 Down</v>
      </c>
      <c r="I58" s="250" t="str">
        <f>Display_All!Y58</f>
        <v>5</v>
      </c>
      <c r="J58" s="250" t="str">
        <f>Display_All!AB58</f>
        <v>electric blower</v>
      </c>
      <c r="K58" s="250" t="str">
        <f>Display_All!AC58</f>
        <v>1000</v>
      </c>
      <c r="L58" s="303">
        <f>Raw!AV58</f>
        <v>840</v>
      </c>
      <c r="M58" s="304">
        <f>Display_All!AD58</f>
        <v>738.96</v>
      </c>
      <c r="N58" s="305">
        <f>Display_All!AP58</f>
        <v>6.642857143</v>
      </c>
      <c r="O58" s="301">
        <f>Display_All!AW58</f>
        <v>0.1035294118</v>
      </c>
      <c r="P58" s="302">
        <f>Display_All!AX58</f>
        <v>0.2282842826</v>
      </c>
      <c r="Q58" s="264" t="str">
        <f>Raw!H58</f>
        <v>Teaching</v>
      </c>
      <c r="R58" s="264" t="str">
        <f>Raw!G58</f>
        <v>N</v>
      </c>
    </row>
    <row r="59">
      <c r="A59" s="249">
        <f>Raw!A59</f>
        <v>56</v>
      </c>
      <c r="B59" s="251">
        <f>Raw!E59</f>
        <v>41804</v>
      </c>
      <c r="C59" s="250" t="str">
        <f>Display_All!Q59</f>
        <v>36 to 24</v>
      </c>
      <c r="D59" s="250" t="str">
        <f>Display_All!R59</f>
        <v>32 (E)</v>
      </c>
      <c r="E59" s="262" t="str">
        <f>Calcs!B59</f>
        <v>804.2 (E)</v>
      </c>
      <c r="F59" s="250" t="str">
        <f>Display_All!V59</f>
        <v>ceramic tube</v>
      </c>
      <c r="G59" s="250" t="str">
        <f>Display_All!W59</f>
        <v>2.5</v>
      </c>
      <c r="H59" s="250" t="str">
        <f>Display_All!X59</f>
        <v>? Down</v>
      </c>
      <c r="I59" s="250" t="str">
        <f>Display_All!Y59</f>
        <v>NR</v>
      </c>
      <c r="J59" s="250" t="str">
        <f>Display_All!AB59</f>
        <v>electric blower</v>
      </c>
      <c r="K59" s="250" t="str">
        <f>Display_All!AC59</f>
        <v>540</v>
      </c>
      <c r="L59" s="303" t="str">
        <f>Raw!AV59</f>
        <v/>
      </c>
      <c r="M59" s="304">
        <f>Display_All!AD59</f>
        <v>965.04</v>
      </c>
      <c r="N59" s="305">
        <f>Display_All!AP59</f>
        <v>5.617977528</v>
      </c>
      <c r="O59" s="301">
        <f>Display_All!AW59</f>
        <v>0.1677419355</v>
      </c>
      <c r="P59" s="302">
        <f>Display_All!AX59</f>
        <v>0.3273679198</v>
      </c>
      <c r="Q59" s="264" t="str">
        <f>Raw!H59</f>
        <v>Turf-to-Tools</v>
      </c>
      <c r="R59" s="264" t="str">
        <f>Raw!G59</f>
        <v>N</v>
      </c>
    </row>
    <row r="60">
      <c r="A60" s="249">
        <f>Raw!A60</f>
        <v>57</v>
      </c>
      <c r="B60" s="251">
        <f>Raw!E60</f>
        <v>41862</v>
      </c>
      <c r="C60" s="250" t="str">
        <f>Display_All!Q60</f>
        <v>29 by 20</v>
      </c>
      <c r="D60" s="250" t="str">
        <f>Display_All!R60</f>
        <v>24 (E)</v>
      </c>
      <c r="E60" s="262" t="str">
        <f>Calcs!B60</f>
        <v>455.5 (E)</v>
      </c>
      <c r="F60" s="250" t="str">
        <f>Display_All!V60</f>
        <v>ceramic tube</v>
      </c>
      <c r="G60" s="250" t="str">
        <f>Display_All!W60</f>
        <v>2.5</v>
      </c>
      <c r="H60" s="250" t="str">
        <f>Display_All!X60</f>
        <v>20 Down</v>
      </c>
      <c r="I60" s="250" t="str">
        <f>Display_All!Y60</f>
        <v>5</v>
      </c>
      <c r="J60" s="250" t="str">
        <f>Display_All!AB60</f>
        <v>leaf blower 1</v>
      </c>
      <c r="K60" s="250" t="str">
        <f>Display_All!AC60</f>
        <v>?</v>
      </c>
      <c r="L60" s="303" t="str">
        <f>Raw!AV60</f>
        <v/>
      </c>
      <c r="M60" s="304">
        <f>Display_All!AD60</f>
        <v>546.6</v>
      </c>
      <c r="N60" s="305">
        <f>Display_All!AP60</f>
        <v>5.447368421</v>
      </c>
      <c r="O60" s="301">
        <f>Display_All!AW60</f>
        <v>0.07666666667</v>
      </c>
      <c r="P60" s="302">
        <f>Display_All!AX60</f>
        <v>0.1841806621</v>
      </c>
      <c r="Q60" s="264" t="str">
        <f>Raw!H60</f>
        <v>Turf-to-Tools</v>
      </c>
      <c r="R60" s="264" t="str">
        <f>Raw!G60</f>
        <v>N</v>
      </c>
    </row>
    <row r="61">
      <c r="A61" s="249">
        <f>Raw!A61</f>
        <v>58</v>
      </c>
      <c r="B61" s="251">
        <f>Raw!E61</f>
        <v>41865</v>
      </c>
      <c r="C61" s="250" t="str">
        <f>Display_All!Q61</f>
        <v>29 by 20</v>
      </c>
      <c r="D61" s="250" t="str">
        <f>Display_All!R61</f>
        <v>24 (E)</v>
      </c>
      <c r="E61" s="262" t="str">
        <f>Calcs!B61</f>
        <v>455.5 (E)</v>
      </c>
      <c r="F61" s="250" t="str">
        <f>Display_All!V61</f>
        <v>ceramic tube</v>
      </c>
      <c r="G61" s="250" t="str">
        <f>Display_All!W61</f>
        <v>2.5</v>
      </c>
      <c r="H61" s="250" t="str">
        <f>Display_All!X61</f>
        <v>20 Down</v>
      </c>
      <c r="I61" s="250" t="str">
        <f>Display_All!Y61</f>
        <v>4</v>
      </c>
      <c r="J61" s="250" t="str">
        <f>Display_All!AB61</f>
        <v>leaf blower 1</v>
      </c>
      <c r="K61" s="250" t="str">
        <f>Display_All!AC61</f>
        <v>?</v>
      </c>
      <c r="L61" s="303" t="str">
        <f>Raw!AV61</f>
        <v/>
      </c>
      <c r="M61" s="304">
        <f>Display_All!AD61</f>
        <v>546.6</v>
      </c>
      <c r="N61" s="305">
        <f>Display_All!AP61</f>
        <v>8.05</v>
      </c>
      <c r="O61" s="301">
        <f>Display_All!AW61</f>
        <v>0.1146341463</v>
      </c>
      <c r="P61" s="302">
        <f>Display_All!AX61</f>
        <v>0.1961712195</v>
      </c>
      <c r="Q61" s="264" t="str">
        <f>Raw!H61</f>
        <v>Turf-to-Tools</v>
      </c>
      <c r="R61" s="264" t="str">
        <f>Raw!G61</f>
        <v>N</v>
      </c>
    </row>
    <row r="62">
      <c r="A62" s="249">
        <f>Raw!A62</f>
        <v>59</v>
      </c>
      <c r="B62" s="251">
        <f>Raw!E62</f>
        <v>41868</v>
      </c>
      <c r="C62" s="250" t="str">
        <f>Display_All!Q62</f>
        <v>NR to 20</v>
      </c>
      <c r="D62" s="250" t="str">
        <f>Display_All!R62</f>
        <v>23 (E)</v>
      </c>
      <c r="E62" s="262" t="str">
        <f>Calcs!B62</f>
        <v>415.5 (E)</v>
      </c>
      <c r="F62" s="250" t="str">
        <f>Display_All!V62</f>
        <v>ceramic tube</v>
      </c>
      <c r="G62" s="250" t="str">
        <f>Display_All!W62</f>
        <v>2.5</v>
      </c>
      <c r="H62" s="250" t="str">
        <f>Display_All!X62</f>
        <v>22 Down</v>
      </c>
      <c r="I62" s="250" t="str">
        <f>Display_All!Y62</f>
        <v>5</v>
      </c>
      <c r="J62" s="250" t="str">
        <f>Display_All!AB62</f>
        <v>leaf blower 2</v>
      </c>
      <c r="K62" s="250" t="str">
        <f>Display_All!AC62</f>
        <v>?</v>
      </c>
      <c r="L62" s="303" t="str">
        <f>Raw!AV62</f>
        <v/>
      </c>
      <c r="M62" s="304">
        <f>Display_All!AD62</f>
        <v>498.6</v>
      </c>
      <c r="N62" s="305">
        <f>Display_All!AP62</f>
        <v>6.973684211</v>
      </c>
      <c r="O62" s="301">
        <f>Display_All!AW62</f>
        <v>0.2829268293</v>
      </c>
      <c r="P62" s="302">
        <f>Display_All!AX62</f>
        <v>0.445812696</v>
      </c>
      <c r="Q62" s="264" t="str">
        <f>Raw!H62</f>
        <v>Turf-to-Tools</v>
      </c>
      <c r="R62" s="264" t="str">
        <f>Raw!G62</f>
        <v>Y</v>
      </c>
    </row>
    <row r="63">
      <c r="A63" s="249" t="str">
        <f>Raw!A63</f>
        <v>T1</v>
      </c>
      <c r="B63" s="251">
        <f>Raw!E63</f>
        <v>41872</v>
      </c>
      <c r="C63" s="250" t="str">
        <f>Display_All!Q63</f>
        <v>NR to 20</v>
      </c>
      <c r="D63" s="250" t="str">
        <f>Display_All!R63</f>
        <v>23 (E)</v>
      </c>
      <c r="E63" s="262" t="str">
        <f>Calcs!B63</f>
        <v>415.5 (E)</v>
      </c>
      <c r="F63" s="250" t="str">
        <f>Display_All!V63</f>
        <v>ceramic tube</v>
      </c>
      <c r="G63" s="250" t="str">
        <f>Display_All!W63</f>
        <v>2.5</v>
      </c>
      <c r="H63" s="250" t="str">
        <f>Display_All!X63</f>
        <v>22 Down</v>
      </c>
      <c r="I63" s="250" t="str">
        <f>Display_All!Y63</f>
        <v>5</v>
      </c>
      <c r="J63" s="250" t="str">
        <f>Display_All!AB63</f>
        <v>leaf blower 2</v>
      </c>
      <c r="K63" s="250" t="str">
        <f>Display_All!AC63</f>
        <v>?</v>
      </c>
      <c r="L63" s="303" t="str">
        <f>Raw!AV63</f>
        <v/>
      </c>
      <c r="M63" s="304">
        <f>Display_All!AD63</f>
        <v>498.6</v>
      </c>
      <c r="N63" s="305" t="str">
        <f>Display_All!AP63</f>
        <v/>
      </c>
      <c r="O63" s="301" t="str">
        <f>Display_All!AW63</f>
        <v>na</v>
      </c>
      <c r="P63" s="302" t="str">
        <f>Display_All!AX63</f>
        <v>?</v>
      </c>
      <c r="Q63" s="264" t="str">
        <f>Raw!H63</f>
        <v>Turf-to-Tools</v>
      </c>
      <c r="R63" s="264" t="str">
        <f>Raw!G63</f>
        <v>N</v>
      </c>
    </row>
    <row r="64">
      <c r="A64" s="249" t="str">
        <f>Raw!A64</f>
        <v>60 / D28</v>
      </c>
      <c r="B64" s="251">
        <f>Raw!E64</f>
        <v>42175</v>
      </c>
      <c r="C64" s="250">
        <f>Display_All!Q64</f>
        <v>34</v>
      </c>
      <c r="D64" s="250" t="str">
        <f>Display_All!R64</f>
        <v/>
      </c>
      <c r="E64" s="262">
        <f>Calcs!B64</f>
        <v>907.9</v>
      </c>
      <c r="F64" s="250" t="str">
        <f>Display_All!V64</f>
        <v>ceramic tube</v>
      </c>
      <c r="G64" s="250" t="str">
        <f>Display_All!W64</f>
        <v>2.5</v>
      </c>
      <c r="H64" s="250" t="str">
        <f>Display_All!X64</f>
        <v>22 to 12 Down</v>
      </c>
      <c r="I64" s="250" t="str">
        <f>Display_All!Y64</f>
        <v>5.6</v>
      </c>
      <c r="J64" s="250" t="str">
        <f>Display_All!AB64</f>
        <v>electric blower</v>
      </c>
      <c r="K64" s="250" t="str">
        <f>Display_All!AC64</f>
        <v>1400- (E)</v>
      </c>
      <c r="L64" s="303" t="str">
        <f>Raw!AV64</f>
        <v/>
      </c>
      <c r="M64" s="304">
        <f>Display_All!AD64</f>
        <v>1089.48</v>
      </c>
      <c r="N64" s="305">
        <f>Display_All!AP64</f>
        <v>6.895604396</v>
      </c>
      <c r="O64" s="301">
        <f>Display_All!AW64</f>
        <v>0.2483870968</v>
      </c>
      <c r="P64" s="302">
        <f>Display_All!AX64</f>
        <v>0.4421137902</v>
      </c>
      <c r="Q64" s="264" t="str">
        <f>Raw!H64</f>
        <v>Icelandic</v>
      </c>
      <c r="R64" s="264" t="str">
        <f>Raw!G64</f>
        <v>Y</v>
      </c>
    </row>
    <row r="65">
      <c r="A65" s="249" t="str">
        <f>Raw!A65</f>
        <v>61 / D29</v>
      </c>
      <c r="B65" s="251">
        <f>Raw!E65</f>
        <v>42289</v>
      </c>
      <c r="C65" s="250">
        <f>Display_All!Q65</f>
        <v>29</v>
      </c>
      <c r="D65" s="250" t="str">
        <f>Display_All!R65</f>
        <v/>
      </c>
      <c r="E65" s="262">
        <f>Calcs!B65</f>
        <v>660.5</v>
      </c>
      <c r="F65" s="250" t="str">
        <f>Display_All!V65</f>
        <v>ceramic tube</v>
      </c>
      <c r="G65" s="250" t="str">
        <f>Display_All!W65</f>
        <v>2.5</v>
      </c>
      <c r="H65" s="250" t="str">
        <f>Display_All!X65</f>
        <v>20 Down</v>
      </c>
      <c r="I65" s="250" t="str">
        <f>Display_All!Y65</f>
        <v>5</v>
      </c>
      <c r="J65" s="250" t="str">
        <f>Display_All!AB65</f>
        <v>electric blower</v>
      </c>
      <c r="K65" s="250" t="str">
        <f>Display_All!AC65</f>
        <v>1000</v>
      </c>
      <c r="L65" s="303">
        <f>Raw!AV65</f>
        <v>840</v>
      </c>
      <c r="M65" s="304">
        <f>Display_All!AD65</f>
        <v>792.6</v>
      </c>
      <c r="N65" s="305">
        <f>Display_All!AP65</f>
        <v>7.867036011</v>
      </c>
      <c r="O65" s="301">
        <f>Display_All!AW65</f>
        <v>0.1409836066</v>
      </c>
      <c r="P65" s="302">
        <f>Display_All!AX65</f>
        <v>0.2509421683</v>
      </c>
      <c r="Q65" s="264" t="str">
        <f>Raw!H65</f>
        <v>Icelandic</v>
      </c>
      <c r="R65" s="264" t="str">
        <f>Raw!G65</f>
        <v>Y</v>
      </c>
    </row>
    <row r="66">
      <c r="A66" s="249">
        <f>Raw!A66</f>
        <v>62</v>
      </c>
      <c r="B66" s="251">
        <f>Raw!E66</f>
        <v>42512</v>
      </c>
      <c r="C66" s="250" t="str">
        <f>Display_All!Q66</f>
        <v>29 to 25.5</v>
      </c>
      <c r="D66" s="250">
        <f>Display_All!R66</f>
        <v>28</v>
      </c>
      <c r="E66" s="262">
        <f>Calcs!B66</f>
        <v>615.8</v>
      </c>
      <c r="F66" s="250" t="str">
        <f>Display_All!V66</f>
        <v>forged copper</v>
      </c>
      <c r="G66" s="250" t="str">
        <f>Display_All!W66</f>
        <v>2.5 (T)</v>
      </c>
      <c r="H66" s="250" t="str">
        <f>Display_All!X66</f>
        <v>20 Down</v>
      </c>
      <c r="I66" s="250" t="str">
        <f>Display_All!Y66</f>
        <v>5</v>
      </c>
      <c r="J66" s="250" t="str">
        <f>Display_All!AB66</f>
        <v>electric blower</v>
      </c>
      <c r="K66" s="250" t="str">
        <f>Display_All!AC66</f>
        <v>800</v>
      </c>
      <c r="L66" s="303">
        <f>Raw!AV66</f>
        <v>672</v>
      </c>
      <c r="M66" s="304">
        <f>Display_All!AD66</f>
        <v>738.96</v>
      </c>
      <c r="N66" s="305">
        <f>Display_All!AP66</f>
        <v>6.761363636</v>
      </c>
      <c r="O66" s="301" t="str">
        <f>Display_All!AW66</f>
        <v>NR</v>
      </c>
      <c r="P66" s="302" t="str">
        <f>Display_All!AX66</f>
        <v>NR</v>
      </c>
      <c r="Q66" s="264" t="str">
        <f>Raw!H66</f>
        <v/>
      </c>
      <c r="R66" s="264" t="str">
        <f>Raw!G66</f>
        <v>N</v>
      </c>
    </row>
    <row r="67">
      <c r="A67" s="249">
        <f>Raw!A67</f>
        <v>63</v>
      </c>
      <c r="B67" s="251">
        <f>Raw!E67</f>
        <v>42541</v>
      </c>
      <c r="C67" s="250">
        <f>Display_All!Q67</f>
        <v>26</v>
      </c>
      <c r="D67" s="250" t="str">
        <f>Display_All!R67</f>
        <v/>
      </c>
      <c r="E67" s="262">
        <f>Calcs!B67</f>
        <v>530.9</v>
      </c>
      <c r="F67" s="250" t="str">
        <f>Display_All!V67</f>
        <v>forged copper</v>
      </c>
      <c r="G67" s="250" t="str">
        <f>Display_All!W67</f>
        <v>2.5 (T)</v>
      </c>
      <c r="H67" s="250" t="str">
        <f>Display_All!X67</f>
        <v>20 Down</v>
      </c>
      <c r="I67" s="250" t="str">
        <f>Display_All!Y67</f>
        <v>4</v>
      </c>
      <c r="J67" s="250" t="str">
        <f>Display_All!AB67</f>
        <v>multiple twin</v>
      </c>
      <c r="K67" s="250" t="str">
        <f>Display_All!AC67</f>
        <v>NR</v>
      </c>
      <c r="L67" s="303" t="str">
        <f>Raw!AV67</f>
        <v/>
      </c>
      <c r="M67" s="304">
        <f>Display_All!AD67</f>
        <v>637.08</v>
      </c>
      <c r="N67" s="305">
        <f>Display_All!AP67</f>
        <v>19.44444444</v>
      </c>
      <c r="O67" s="301">
        <f>Display_All!AW67</f>
        <v>0.2487309645</v>
      </c>
      <c r="P67" s="302">
        <f>Display_All!AX67</f>
        <v>0.4663758511</v>
      </c>
      <c r="Q67" s="264" t="str">
        <f>Raw!H67</f>
        <v>Air</v>
      </c>
      <c r="R67" s="264" t="str">
        <f>Raw!G67</f>
        <v>Y</v>
      </c>
    </row>
    <row r="68">
      <c r="A68" s="249">
        <f>Raw!A68</f>
        <v>64</v>
      </c>
      <c r="B68" s="251">
        <f>Raw!E68</f>
        <v>42622</v>
      </c>
      <c r="C68" s="250">
        <f>Display_All!Q68</f>
        <v>28</v>
      </c>
      <c r="D68" s="250" t="str">
        <f>Display_All!R68</f>
        <v/>
      </c>
      <c r="E68" s="262">
        <f>Calcs!B68</f>
        <v>615.8</v>
      </c>
      <c r="F68" s="250" t="str">
        <f>Display_All!V68</f>
        <v>forged copper</v>
      </c>
      <c r="G68" s="250" t="str">
        <f>Display_All!W68</f>
        <v>2.5 (T)</v>
      </c>
      <c r="H68" s="250" t="str">
        <f>Display_All!X68</f>
        <v>20 Down (E)</v>
      </c>
      <c r="I68" s="250" t="str">
        <f>Display_All!Y68</f>
        <v>5</v>
      </c>
      <c r="J68" s="250" t="str">
        <f>Display_All!AB68</f>
        <v>danish vacuum</v>
      </c>
      <c r="K68" s="250" t="str">
        <f>Display_All!AC68</f>
        <v>?</v>
      </c>
      <c r="L68" s="303" t="str">
        <f>Raw!AV68</f>
        <v/>
      </c>
      <c r="M68" s="304">
        <f>Display_All!AD68</f>
        <v>738.96</v>
      </c>
      <c r="N68" s="305">
        <f>Display_All!AP68</f>
        <v>5.857142857</v>
      </c>
      <c r="O68" s="301">
        <f>Display_All!AW68</f>
        <v>0.1933333333</v>
      </c>
      <c r="P68" s="302" t="str">
        <f>Display_All!AX68</f>
        <v>?</v>
      </c>
      <c r="Q68" s="264" t="str">
        <f>Raw!H68</f>
        <v/>
      </c>
      <c r="R68" s="264" t="str">
        <f>Raw!G68</f>
        <v>Y</v>
      </c>
    </row>
    <row r="69">
      <c r="A69" s="249">
        <f>Raw!A69</f>
        <v>65</v>
      </c>
      <c r="B69" s="251">
        <f>Raw!E69</f>
        <v>42624</v>
      </c>
      <c r="C69" s="250" t="str">
        <f>Display_All!Q69</f>
        <v>30 to 22</v>
      </c>
      <c r="D69" s="250" t="str">
        <f>Display_All!R69</f>
        <v>28 (E)</v>
      </c>
      <c r="E69" s="262" t="str">
        <f>Calcs!B69</f>
        <v>615.8 (E)</v>
      </c>
      <c r="F69" s="250" t="str">
        <f>Display_All!V69</f>
        <v>forged copper</v>
      </c>
      <c r="G69" s="250" t="str">
        <f>Display_All!W69</f>
        <v>2.5 (T)</v>
      </c>
      <c r="H69" s="250" t="str">
        <f>Display_All!X69</f>
        <v>20 Down (E)</v>
      </c>
      <c r="I69" s="250" t="str">
        <f>Display_All!Y69</f>
        <v>5</v>
      </c>
      <c r="J69" s="250" t="str">
        <f>Display_All!AB69</f>
        <v>danish vacuum</v>
      </c>
      <c r="K69" s="250" t="str">
        <f>Display_All!AC69</f>
        <v>?</v>
      </c>
      <c r="L69" s="303" t="str">
        <f>Raw!AV69</f>
        <v/>
      </c>
      <c r="M69" s="304">
        <f>Display_All!AD69</f>
        <v>738.96</v>
      </c>
      <c r="N69" s="305">
        <f>Display_All!AP69</f>
        <v>5.80952381</v>
      </c>
      <c r="O69" s="301">
        <f>Display_All!AW69</f>
        <v>0.2</v>
      </c>
      <c r="P69" s="302" t="str">
        <f>Display_All!AX69</f>
        <v>?</v>
      </c>
      <c r="Q69" s="264" t="str">
        <f>Raw!H69</f>
        <v/>
      </c>
      <c r="R69" s="264" t="str">
        <f>Raw!G69</f>
        <v>Y</v>
      </c>
    </row>
    <row r="70">
      <c r="A70" s="249">
        <f>Raw!A70</f>
        <v>66</v>
      </c>
      <c r="B70" s="251">
        <f>Raw!E70</f>
        <v>42630</v>
      </c>
      <c r="C70" s="250" t="str">
        <f>Display_All!Q70</f>
        <v>30 to 20</v>
      </c>
      <c r="D70" s="250">
        <f>Display_All!R70</f>
        <v>25</v>
      </c>
      <c r="E70" s="262">
        <f>Calcs!B70</f>
        <v>490.9</v>
      </c>
      <c r="F70" s="250" t="str">
        <f>Display_All!V70</f>
        <v>forged copper</v>
      </c>
      <c r="G70" s="250" t="str">
        <f>Display_All!W70</f>
        <v>2.5 (T)</v>
      </c>
      <c r="H70" s="250" t="str">
        <f>Display_All!X70</f>
        <v>20 Down (E)</v>
      </c>
      <c r="I70" s="250" t="str">
        <f>Display_All!Y70</f>
        <v>5</v>
      </c>
      <c r="J70" s="250" t="str">
        <f>Display_All!AB70</f>
        <v>leaf blower 2</v>
      </c>
      <c r="K70" s="250" t="str">
        <f>Display_All!AC70</f>
        <v>?</v>
      </c>
      <c r="L70" s="303" t="str">
        <f>Raw!AV70</f>
        <v/>
      </c>
      <c r="M70" s="304">
        <f>Display_All!AD70</f>
        <v>589.08</v>
      </c>
      <c r="N70" s="305">
        <f>Display_All!AP70</f>
        <v>8.253968254</v>
      </c>
      <c r="O70" s="301">
        <f>Display_All!AW70</f>
        <v>0.09589041096</v>
      </c>
      <c r="P70" s="302" t="str">
        <f>Display_All!AX70</f>
        <v>?</v>
      </c>
      <c r="Q70" s="264" t="str">
        <f>Raw!H70</f>
        <v>Turf-to-Tools</v>
      </c>
      <c r="R70" s="264" t="str">
        <f>Raw!G70</f>
        <v>N</v>
      </c>
    </row>
    <row r="71">
      <c r="A71" s="249">
        <f>Raw!A71</f>
        <v>67</v>
      </c>
      <c r="B71" s="251">
        <f>Raw!E71</f>
        <v>42637</v>
      </c>
      <c r="C71" s="250" t="str">
        <f>Display_All!Q71</f>
        <v>30 to 20</v>
      </c>
      <c r="D71" s="250">
        <f>Display_All!R71</f>
        <v>25</v>
      </c>
      <c r="E71" s="262">
        <f>Calcs!B71</f>
        <v>490.9</v>
      </c>
      <c r="F71" s="250" t="str">
        <f>Display_All!V71</f>
        <v>forged copper</v>
      </c>
      <c r="G71" s="250" t="str">
        <f>Display_All!W71</f>
        <v>2.5 (T)</v>
      </c>
      <c r="H71" s="250" t="str">
        <f>Display_All!X71</f>
        <v>20 Down (E)</v>
      </c>
      <c r="I71" s="250" t="str">
        <f>Display_All!Y71</f>
        <v>5</v>
      </c>
      <c r="J71" s="250" t="str">
        <f>Display_All!AB71</f>
        <v>leaf blower 2</v>
      </c>
      <c r="K71" s="250" t="str">
        <f>Display_All!AC71</f>
        <v>?</v>
      </c>
      <c r="L71" s="303" t="str">
        <f>Raw!AV71</f>
        <v/>
      </c>
      <c r="M71" s="304">
        <f>Display_All!AD71</f>
        <v>589.08</v>
      </c>
      <c r="N71" s="305">
        <f>Display_All!AP71</f>
        <v>4.700854701</v>
      </c>
      <c r="O71" s="301">
        <f>Display_All!AW71</f>
        <v>0.04120879121</v>
      </c>
      <c r="P71" s="302">
        <f>Display_All!AX71</f>
        <v>0.07516238748</v>
      </c>
      <c r="Q71" s="264" t="str">
        <f>Raw!H71</f>
        <v>Turf-to-Tools</v>
      </c>
      <c r="R71" s="264" t="str">
        <f>Raw!G71</f>
        <v>N</v>
      </c>
    </row>
    <row r="72">
      <c r="A72" s="249">
        <f>Raw!A72</f>
        <v>68</v>
      </c>
      <c r="B72" s="251">
        <f>Raw!E72</f>
        <v>42640</v>
      </c>
      <c r="C72" s="250" t="str">
        <f>Display_All!Q72</f>
        <v>30 to 20</v>
      </c>
      <c r="D72" s="250">
        <f>Display_All!R72</f>
        <v>25</v>
      </c>
      <c r="E72" s="262">
        <f>Calcs!B72</f>
        <v>490.9</v>
      </c>
      <c r="F72" s="250" t="str">
        <f>Display_All!V72</f>
        <v>forged copper</v>
      </c>
      <c r="G72" s="250" t="str">
        <f>Display_All!W72</f>
        <v>2.5 (T)</v>
      </c>
      <c r="H72" s="250" t="str">
        <f>Display_All!X72</f>
        <v>20 Down (E)</v>
      </c>
      <c r="I72" s="250" t="str">
        <f>Display_All!Y72</f>
        <v>5</v>
      </c>
      <c r="J72" s="250" t="str">
        <f>Display_All!AB72</f>
        <v>leaf blower 2</v>
      </c>
      <c r="K72" s="250" t="str">
        <f>Display_All!AC72</f>
        <v>?</v>
      </c>
      <c r="L72" s="303" t="str">
        <f>Raw!AV72</f>
        <v/>
      </c>
      <c r="M72" s="304">
        <f>Display_All!AD72</f>
        <v>589.08</v>
      </c>
      <c r="N72" s="305">
        <f>Display_All!AP72</f>
        <v>4.84375</v>
      </c>
      <c r="O72" s="301">
        <f>Display_All!AW72</f>
        <v>0.2647058824</v>
      </c>
      <c r="P72" s="302" t="str">
        <f>Display_All!AX72</f>
        <v>?</v>
      </c>
      <c r="Q72" s="264" t="str">
        <f>Raw!H72</f>
        <v>Turf-to-Tools</v>
      </c>
      <c r="R72" s="264" t="str">
        <f>Raw!G72</f>
        <v>Y</v>
      </c>
    </row>
    <row r="73">
      <c r="A73" s="249">
        <f>Raw!A73</f>
        <v>69</v>
      </c>
      <c r="B73" s="251">
        <f>Raw!E73</f>
        <v>42622</v>
      </c>
      <c r="C73" s="250" t="str">
        <f>Display_All!Q73</f>
        <v>40 to 20</v>
      </c>
      <c r="D73" s="250">
        <f>Display_All!R73</f>
        <v>35</v>
      </c>
      <c r="E73" s="262">
        <f>Calcs!B73</f>
        <v>962.1</v>
      </c>
      <c r="F73" s="250" t="str">
        <f>Display_All!V73</f>
        <v>steel pipe</v>
      </c>
      <c r="G73" s="250" t="str">
        <f>Display_All!W73</f>
        <v>2.5</v>
      </c>
      <c r="H73" s="250" t="str">
        <f>Display_All!X73</f>
        <v>20 Down</v>
      </c>
      <c r="I73" s="250" t="str">
        <f>Display_All!Y73</f>
        <v>4.5</v>
      </c>
      <c r="J73" s="250" t="str">
        <f>Display_All!AB73</f>
        <v>shop vac</v>
      </c>
      <c r="K73" s="250" t="str">
        <f>Display_All!AC73</f>
        <v>?</v>
      </c>
      <c r="L73" s="303" t="str">
        <f>Raw!AV73</f>
        <v/>
      </c>
      <c r="M73" s="304">
        <f>Display_All!AD73</f>
        <v>1154.52</v>
      </c>
      <c r="N73" s="305" t="str">
        <f>Display_All!AP73</f>
        <v>na</v>
      </c>
      <c r="O73" s="301" t="str">
        <f>Display_All!AW73</f>
        <v>na</v>
      </c>
      <c r="P73" s="302" t="str">
        <f>Display_All!AX73</f>
        <v>?</v>
      </c>
      <c r="Q73" s="264" t="str">
        <f>Raw!H73</f>
        <v>Teaching</v>
      </c>
      <c r="R73" s="264" t="str">
        <f>Raw!G73</f>
        <v>N</v>
      </c>
    </row>
    <row r="74">
      <c r="A74" s="249" t="str">
        <f>Raw!A74</f>
        <v>70 / D30</v>
      </c>
      <c r="B74" s="251">
        <f>Raw!E74</f>
        <v>42672</v>
      </c>
      <c r="C74" s="250" t="str">
        <f>Display_All!Q74</f>
        <v>33 to 26</v>
      </c>
      <c r="D74" s="250" t="str">
        <f>Display_All!R74</f>
        <v/>
      </c>
      <c r="E74" s="262">
        <f>Calcs!B74</f>
        <v>785.4645792</v>
      </c>
      <c r="F74" s="250" t="str">
        <f>Display_All!V74</f>
        <v>forged copper</v>
      </c>
      <c r="G74" s="250" t="str">
        <f>Display_All!W74</f>
        <v>2.5 (T)</v>
      </c>
      <c r="H74" s="250" t="str">
        <f>Display_All!X74</f>
        <v>25 Down</v>
      </c>
      <c r="I74" s="250" t="str">
        <f>Display_All!Y74</f>
        <v>4</v>
      </c>
      <c r="J74" s="250" t="str">
        <f>Display_All!AB74</f>
        <v>electric blower</v>
      </c>
      <c r="K74" s="250" t="str">
        <f>Display_All!AC74</f>
        <v>1400- (E)</v>
      </c>
      <c r="L74" s="303">
        <f>Raw!AV74</f>
        <v>1008</v>
      </c>
      <c r="M74" s="304">
        <f>Display_All!AD74</f>
        <v>942.5574951</v>
      </c>
      <c r="N74" s="305">
        <f>Display_All!AP74</f>
        <v>6.626865672</v>
      </c>
      <c r="O74" s="301">
        <f>Display_All!AW74</f>
        <v>0.1</v>
      </c>
      <c r="P74" s="302">
        <f>Display_All!AX74</f>
        <v>0.1823940603</v>
      </c>
      <c r="Q74" s="264" t="str">
        <f>Raw!H74</f>
        <v>Icelandic</v>
      </c>
      <c r="R74" s="264" t="str">
        <f>Raw!G74</f>
        <v>N</v>
      </c>
    </row>
    <row r="75">
      <c r="A75" s="249">
        <f>Raw!A75</f>
        <v>71</v>
      </c>
      <c r="B75" s="251">
        <f>Raw!E75</f>
        <v>42693</v>
      </c>
      <c r="C75" s="250">
        <f>Display_All!Q75</f>
        <v>25</v>
      </c>
      <c r="D75" s="250" t="str">
        <f>Display_All!R75</f>
        <v/>
      </c>
      <c r="E75" s="262">
        <f>Calcs!B75</f>
        <v>490.9</v>
      </c>
      <c r="F75" s="250" t="str">
        <f>Display_All!V75</f>
        <v>forged copper</v>
      </c>
      <c r="G75" s="250" t="str">
        <f>Display_All!W75</f>
        <v>2.5 (T)</v>
      </c>
      <c r="H75" s="250" t="str">
        <f>Display_All!X75</f>
        <v>20 Down</v>
      </c>
      <c r="I75" s="250" t="str">
        <f>Display_All!Y75</f>
        <v>5</v>
      </c>
      <c r="J75" s="250" t="str">
        <f>Display_All!AB75</f>
        <v>smelt bellows</v>
      </c>
      <c r="K75" s="250" t="str">
        <f>Display_All!AC75</f>
        <v>400 (A) (E)</v>
      </c>
      <c r="L75" s="303" t="str">
        <f>Raw!AV75</f>
        <v/>
      </c>
      <c r="M75" s="304">
        <f>Display_All!AD75</f>
        <v>589.08</v>
      </c>
      <c r="N75" s="305">
        <f>Display_All!AP75</f>
        <v>9.722222222</v>
      </c>
      <c r="O75" s="301" t="str">
        <f>Display_All!AW75</f>
        <v>na</v>
      </c>
      <c r="P75" s="302" t="str">
        <f>Display_All!AX75</f>
        <v>na</v>
      </c>
      <c r="Q75" s="264" t="str">
        <f>Raw!H75</f>
        <v>Teaching</v>
      </c>
      <c r="R75" s="264" t="str">
        <f>Raw!G75</f>
        <v>Y</v>
      </c>
    </row>
    <row r="76">
      <c r="A76" s="249">
        <f>Raw!A76</f>
        <v>72</v>
      </c>
      <c r="B76" s="251">
        <f>Raw!E76</f>
        <v>42704</v>
      </c>
      <c r="C76" s="250">
        <f>Display_All!Q76</f>
        <v>25</v>
      </c>
      <c r="D76" s="250" t="str">
        <f>Display_All!R76</f>
        <v/>
      </c>
      <c r="E76" s="262">
        <f>Calcs!B76</f>
        <v>490.9</v>
      </c>
      <c r="F76" s="250" t="str">
        <f>Display_All!V76</f>
        <v>forged copper</v>
      </c>
      <c r="G76" s="250" t="str">
        <f>Display_All!W76</f>
        <v>2.5 (T)</v>
      </c>
      <c r="H76" s="250" t="str">
        <f>Display_All!X76</f>
        <v>23.5 Down</v>
      </c>
      <c r="I76" s="250" t="str">
        <f>Display_All!Y76</f>
        <v>5</v>
      </c>
      <c r="J76" s="250" t="str">
        <f>Display_All!AB76</f>
        <v>electric blower</v>
      </c>
      <c r="K76" s="250" t="str">
        <f>Display_All!AC76</f>
        <v>465</v>
      </c>
      <c r="L76" s="303" t="str">
        <f>Raw!AV76</f>
        <v/>
      </c>
      <c r="M76" s="304">
        <f>Display_All!AD76</f>
        <v>589.08</v>
      </c>
      <c r="N76" s="305">
        <f>Display_All!AP76</f>
        <v>7.42872807</v>
      </c>
      <c r="O76" s="301">
        <f>Display_All!AW76</f>
        <v>0.2460567823</v>
      </c>
      <c r="P76" s="302">
        <f>Display_All!AX76</f>
        <v>0.435078689</v>
      </c>
      <c r="Q76" s="264" t="str">
        <f>Raw!H76</f>
        <v>Teaching</v>
      </c>
      <c r="R76" s="264" t="str">
        <f>Raw!G76</f>
        <v>N</v>
      </c>
    </row>
    <row r="77">
      <c r="A77" s="249">
        <f>Raw!A77</f>
        <v>73</v>
      </c>
      <c r="B77" s="251">
        <f>Raw!E77</f>
        <v>42907</v>
      </c>
      <c r="C77" s="250">
        <f>Display_All!Q77</f>
        <v>25</v>
      </c>
      <c r="D77" s="250" t="str">
        <f>Display_All!R77</f>
        <v/>
      </c>
      <c r="E77" s="262">
        <f>Calcs!B77</f>
        <v>490.9</v>
      </c>
      <c r="F77" s="250" t="str">
        <f>Display_All!V77</f>
        <v>forged copper</v>
      </c>
      <c r="G77" s="250" t="str">
        <f>Display_All!W77</f>
        <v>2.5 (T)</v>
      </c>
      <c r="H77" s="250" t="str">
        <f>Display_All!X77</f>
        <v>23 Down</v>
      </c>
      <c r="I77" s="250" t="str">
        <f>Display_All!Y77</f>
        <v>5</v>
      </c>
      <c r="J77" s="250" t="str">
        <f>Display_All!AB77</f>
        <v>smelt bellows</v>
      </c>
      <c r="K77" s="250" t="str">
        <f>Display_All!AC77</f>
        <v>480 (A)</v>
      </c>
      <c r="L77" s="303" t="str">
        <f>Raw!AV77</f>
        <v/>
      </c>
      <c r="M77" s="304">
        <f>Display_All!AD77</f>
        <v>589.08</v>
      </c>
      <c r="N77" s="305">
        <f>Display_All!AP77</f>
        <v>12.2324159</v>
      </c>
      <c r="O77" s="301">
        <f>Display_All!AW77</f>
        <v>0.1821561338</v>
      </c>
      <c r="P77" s="302">
        <f>Display_All!AX77</f>
        <v>0.3242267403</v>
      </c>
      <c r="Q77" s="264" t="str">
        <f>Raw!H77</f>
        <v>Teaching</v>
      </c>
      <c r="R77" s="264" t="str">
        <f>Raw!G77</f>
        <v>N</v>
      </c>
    </row>
    <row r="78">
      <c r="A78" s="249">
        <f>Raw!A78</f>
        <v>74</v>
      </c>
      <c r="B78" s="251">
        <f>Raw!E78</f>
        <v>42932</v>
      </c>
      <c r="C78" s="250">
        <f>Display_All!Q78</f>
        <v>23.5</v>
      </c>
      <c r="D78" s="250" t="str">
        <f>Display_All!R78</f>
        <v/>
      </c>
      <c r="E78" s="262">
        <f>Calcs!B78</f>
        <v>433.7</v>
      </c>
      <c r="F78" s="250" t="str">
        <f>Display_All!V78</f>
        <v>ceramic tube</v>
      </c>
      <c r="G78" s="250" t="str">
        <f>Display_All!W78</f>
        <v>2.5</v>
      </c>
      <c r="H78" s="250" t="str">
        <f>Display_All!X78</f>
        <v>23 Down</v>
      </c>
      <c r="I78" s="250" t="str">
        <f>Display_All!Y78</f>
        <v>5</v>
      </c>
      <c r="J78" s="250" t="str">
        <f>Display_All!AB78</f>
        <v>smelt bellows</v>
      </c>
      <c r="K78" s="250" t="str">
        <f>Display_All!AC78</f>
        <v>500</v>
      </c>
      <c r="L78" s="303" t="str">
        <f>Raw!AV78</f>
        <v>520 A</v>
      </c>
      <c r="M78" s="304">
        <f>Display_All!AD78</f>
        <v>520.44</v>
      </c>
      <c r="N78" s="305">
        <f>Display_All!AP78</f>
        <v>8.5</v>
      </c>
      <c r="O78" s="301">
        <f>Display_All!AW78</f>
        <v>0.2</v>
      </c>
      <c r="P78" s="302">
        <f>Display_All!AX78</f>
        <v>0.3647881206</v>
      </c>
      <c r="Q78" s="264" t="str">
        <f>Raw!H78</f>
        <v>Vinland</v>
      </c>
      <c r="R78" s="264" t="str">
        <f>Raw!G78</f>
        <v>Y</v>
      </c>
    </row>
    <row r="79">
      <c r="A79" s="249">
        <f>Raw!A79</f>
        <v>75</v>
      </c>
      <c r="B79" s="251">
        <f>Raw!E79</f>
        <v>42953</v>
      </c>
      <c r="C79" s="250" t="str">
        <f>Display_All!Q79</f>
        <v>30 to 22</v>
      </c>
      <c r="D79" s="250" t="str">
        <f>Display_All!R79</f>
        <v>25 (E)</v>
      </c>
      <c r="E79" s="262" t="str">
        <f>Calcs!B79</f>
        <v>490.9 (E)</v>
      </c>
      <c r="F79" s="250" t="str">
        <f>Display_All!V79</f>
        <v>ceramic tube</v>
      </c>
      <c r="G79" s="250" t="str">
        <f>Display_All!W79</f>
        <v>2.5 (T)</v>
      </c>
      <c r="H79" s="250" t="str">
        <f>Display_All!X79</f>
        <v>23 Down</v>
      </c>
      <c r="I79" s="250" t="str">
        <f>Display_All!Y79</f>
        <v>4</v>
      </c>
      <c r="J79" s="250" t="str">
        <f>Display_All!AB79</f>
        <v>shop vac</v>
      </c>
      <c r="K79" s="250" t="str">
        <f>Display_All!AC79</f>
        <v>NR</v>
      </c>
      <c r="L79" s="303" t="str">
        <f>Raw!AV79</f>
        <v/>
      </c>
      <c r="M79" s="304">
        <f>Display_All!AD79</f>
        <v>589.08</v>
      </c>
      <c r="N79" s="305">
        <f>Display_All!AP79</f>
        <v>5.263157895</v>
      </c>
      <c r="O79" s="301">
        <f>Display_All!AW79</f>
        <v>0.145</v>
      </c>
      <c r="P79" s="302">
        <f>Display_All!AX79</f>
        <v>0.2644713874</v>
      </c>
      <c r="Q79" s="264" t="str">
        <f>Raw!H79</f>
        <v/>
      </c>
      <c r="R79" s="264" t="str">
        <f>Raw!G79</f>
        <v>Y</v>
      </c>
    </row>
    <row r="80">
      <c r="A80" s="249">
        <f>Raw!A80</f>
        <v>76</v>
      </c>
      <c r="B80" s="251">
        <f>Raw!E80</f>
        <v>43274</v>
      </c>
      <c r="C80" s="250" t="str">
        <f>Display_All!Q80</f>
        <v>29 to 25.5</v>
      </c>
      <c r="D80" s="250">
        <f>Display_All!R80</f>
        <v>28</v>
      </c>
      <c r="E80" s="262">
        <f>Calcs!B80</f>
        <v>615.8</v>
      </c>
      <c r="F80" s="250" t="str">
        <f>Display_All!V80</f>
        <v>forged copper</v>
      </c>
      <c r="G80" s="250" t="str">
        <f>Display_All!W80</f>
        <v>2.5 (T)</v>
      </c>
      <c r="H80" s="250" t="str">
        <f>Display_All!X80</f>
        <v>20 Down</v>
      </c>
      <c r="I80" s="250" t="str">
        <f>Display_All!Y80</f>
        <v>5</v>
      </c>
      <c r="J80" s="250" t="str">
        <f>Display_All!AB80</f>
        <v>electric blower</v>
      </c>
      <c r="K80" s="250" t="str">
        <f>Display_All!AC80</f>
        <v>900 to 1000</v>
      </c>
      <c r="L80" s="303" t="str">
        <f>Raw!AV80</f>
        <v>756 to 840</v>
      </c>
      <c r="M80" s="304">
        <f>Display_All!AD80</f>
        <v>738.96</v>
      </c>
      <c r="N80" s="305">
        <f>Display_All!AP80</f>
        <v>7.875816993</v>
      </c>
      <c r="O80" s="301">
        <f>Display_All!AW80</f>
        <v>0.201986755</v>
      </c>
      <c r="P80" s="302" t="str">
        <f>Display_All!AX80</f>
        <v>?</v>
      </c>
      <c r="Q80" s="264" t="str">
        <f>Raw!H80</f>
        <v/>
      </c>
      <c r="R80" s="264" t="str">
        <f>Raw!G80</f>
        <v>N</v>
      </c>
    </row>
    <row r="81">
      <c r="A81" s="249">
        <f>Raw!A81</f>
        <v>77</v>
      </c>
      <c r="B81" s="251">
        <f>Raw!E81</f>
        <v>43281</v>
      </c>
      <c r="C81" s="250" t="str">
        <f>Display_All!Q81</f>
        <v>36 to 19</v>
      </c>
      <c r="D81" s="250">
        <f>Display_All!R81</f>
        <v>33</v>
      </c>
      <c r="E81" s="262">
        <f>Calcs!B81</f>
        <v>855.3</v>
      </c>
      <c r="F81" s="250" t="str">
        <f>Display_All!V81</f>
        <v>ceramic tube</v>
      </c>
      <c r="G81" s="250" t="str">
        <f>Display_All!W81</f>
        <v>2.5</v>
      </c>
      <c r="H81" s="250" t="str">
        <f>Display_All!X81</f>
        <v>22 Down</v>
      </c>
      <c r="I81" s="250" t="str">
        <f>Display_All!Y81</f>
        <v>5</v>
      </c>
      <c r="J81" s="250" t="str">
        <f>Display_All!AB81</f>
        <v>electric blower</v>
      </c>
      <c r="K81" s="250" t="str">
        <f>Display_All!AC81</f>
        <v>900</v>
      </c>
      <c r="L81" s="303">
        <f>Raw!AV81</f>
        <v>756</v>
      </c>
      <c r="M81" s="304">
        <f>Display_All!AD81</f>
        <v>1026.36</v>
      </c>
      <c r="N81" s="305">
        <f>Display_All!AP81</f>
        <v>6.695906433</v>
      </c>
      <c r="O81" s="301">
        <f>Display_All!AW81</f>
        <v>0.3630363036</v>
      </c>
      <c r="P81" s="302" t="str">
        <f>Display_All!AX81</f>
        <v>?</v>
      </c>
      <c r="Q81" s="264" t="str">
        <f>Raw!H81</f>
        <v>Teaching</v>
      </c>
      <c r="R81" s="264" t="str">
        <f>Raw!G81</f>
        <v>N</v>
      </c>
    </row>
    <row r="82">
      <c r="A82" s="249">
        <f>Raw!A82</f>
        <v>78</v>
      </c>
      <c r="B82" s="251">
        <f>Raw!E82</f>
        <v>43359</v>
      </c>
      <c r="C82" s="250">
        <f>Display_All!Q82</f>
        <v>26</v>
      </c>
      <c r="D82" s="250" t="str">
        <f>Display_All!R82</f>
        <v/>
      </c>
      <c r="E82" s="262">
        <f>Calcs!B82</f>
        <v>530.9</v>
      </c>
      <c r="F82" s="250" t="str">
        <f>Display_All!V82</f>
        <v>forged copper</v>
      </c>
      <c r="G82" s="250" t="str">
        <f>Display_All!W82</f>
        <v>2.5 (T)</v>
      </c>
      <c r="H82" s="250" t="str">
        <f>Display_All!X82</f>
        <v>22 Down</v>
      </c>
      <c r="I82" s="250" t="str">
        <f>Display_All!Y82</f>
        <v>5</v>
      </c>
      <c r="J82" s="250" t="str">
        <f>Display_All!AB82</f>
        <v>electric blower</v>
      </c>
      <c r="K82" s="250" t="str">
        <f>Display_All!AC82</f>
        <v>900</v>
      </c>
      <c r="L82" s="303">
        <f>Raw!AV82</f>
        <v>756</v>
      </c>
      <c r="M82" s="304">
        <f>Display_All!AD82</f>
        <v>637.08</v>
      </c>
      <c r="N82" s="305">
        <f>Display_All!AP82</f>
        <v>6.900584795</v>
      </c>
      <c r="O82" s="301">
        <f>Display_All!AW82</f>
        <v>0.1764705882</v>
      </c>
      <c r="P82" s="302">
        <f>Display_All!AX82</f>
        <v>0.3141068181</v>
      </c>
      <c r="Q82" s="264" t="str">
        <f>Raw!H82</f>
        <v/>
      </c>
      <c r="R82" s="264" t="str">
        <f>Raw!G82</f>
        <v>Y</v>
      </c>
    </row>
    <row r="83">
      <c r="A83" s="249">
        <f>Raw!A83</f>
        <v>79</v>
      </c>
      <c r="B83" s="251">
        <f>Raw!E83</f>
        <v>43386</v>
      </c>
      <c r="C83" s="250">
        <f>Display_All!Q83</f>
        <v>27</v>
      </c>
      <c r="D83" s="250" t="str">
        <f>Display_All!R83</f>
        <v/>
      </c>
      <c r="E83" s="262">
        <f>Calcs!B83</f>
        <v>572.6</v>
      </c>
      <c r="F83" s="250" t="str">
        <f>Display_All!V83</f>
        <v>forged copper</v>
      </c>
      <c r="G83" s="250" t="str">
        <f>Display_All!W83</f>
        <v>2.5 (T)</v>
      </c>
      <c r="H83" s="250" t="str">
        <f>Display_All!X83</f>
        <v>20 Down (E)</v>
      </c>
      <c r="I83" s="250" t="str">
        <f>Display_All!Y83</f>
        <v>5</v>
      </c>
      <c r="J83" s="250" t="str">
        <f>Display_All!AB83</f>
        <v>electric blower</v>
      </c>
      <c r="K83" s="250" t="str">
        <f>Display_All!AC83</f>
        <v>1100</v>
      </c>
      <c r="L83" s="303">
        <f>Raw!AV83</f>
        <v>924</v>
      </c>
      <c r="M83" s="304">
        <f>Display_All!AD83</f>
        <v>687.12</v>
      </c>
      <c r="N83" s="305">
        <f>Display_All!AP83</f>
        <v>7.777777778</v>
      </c>
      <c r="O83" s="301">
        <f>Display_All!AW83</f>
        <v>0.2833333333</v>
      </c>
      <c r="P83" s="302">
        <f>Display_All!AX83</f>
        <v>0.5010725634</v>
      </c>
      <c r="Q83" s="264" t="str">
        <f>Raw!H83</f>
        <v/>
      </c>
      <c r="R83" s="264" t="str">
        <f>Raw!G83</f>
        <v>Y</v>
      </c>
    </row>
    <row r="84">
      <c r="A84" s="249">
        <f>Raw!A84</f>
        <v>80</v>
      </c>
      <c r="B84" s="251">
        <f>Raw!E84</f>
        <v>43391</v>
      </c>
      <c r="C84" s="250">
        <f>Display_All!Q84</f>
        <v>27</v>
      </c>
      <c r="D84" s="250" t="str">
        <f>Display_All!R84</f>
        <v/>
      </c>
      <c r="E84" s="262">
        <f>Calcs!B84</f>
        <v>572.6</v>
      </c>
      <c r="F84" s="250" t="str">
        <f>Display_All!V84</f>
        <v> 4 x steel pipe</v>
      </c>
      <c r="G84" s="250" t="str">
        <f>Display_All!W84</f>
        <v>3</v>
      </c>
      <c r="H84" s="250" t="str">
        <f>Display_All!X84</f>
        <v>20 Down</v>
      </c>
      <c r="I84" s="250" t="str">
        <f>Display_All!Y84</f>
        <v>8</v>
      </c>
      <c r="J84" s="250" t="str">
        <f>Display_All!AB84</f>
        <v>passive</v>
      </c>
      <c r="K84" s="250" t="str">
        <f>Display_All!AC84</f>
        <v>NR</v>
      </c>
      <c r="L84" s="303" t="str">
        <f>Raw!AV84</f>
        <v/>
      </c>
      <c r="M84" s="304">
        <f>Display_All!AD84</f>
        <v>687.12</v>
      </c>
      <c r="N84" s="305">
        <f>Display_All!AP84</f>
        <v>9.747474747</v>
      </c>
      <c r="O84" s="301" t="str">
        <f>Display_All!AW84</f>
        <v>na</v>
      </c>
      <c r="P84" s="302" t="str">
        <f>Display_All!AX84</f>
        <v>na</v>
      </c>
      <c r="Q84" s="264" t="str">
        <f>Raw!H84</f>
        <v/>
      </c>
      <c r="R84" s="264" t="str">
        <f>Raw!G84</f>
        <v>N</v>
      </c>
    </row>
    <row r="85">
      <c r="A85" s="249">
        <f>Raw!A85</f>
        <v>81</v>
      </c>
      <c r="B85" s="251">
        <f>Raw!E85</f>
        <v>43407</v>
      </c>
      <c r="C85" s="250">
        <f>Display_All!Q85</f>
        <v>30</v>
      </c>
      <c r="D85" s="250" t="str">
        <f>Display_All!R85</f>
        <v/>
      </c>
      <c r="E85" s="262">
        <f>Calcs!B85</f>
        <v>706.9</v>
      </c>
      <c r="F85" s="250" t="str">
        <f>Display_All!V85</f>
        <v>forged copper</v>
      </c>
      <c r="G85" s="250" t="str">
        <f>Display_All!W85</f>
        <v>2.5 (T)</v>
      </c>
      <c r="H85" s="250" t="str">
        <f>Display_All!X85</f>
        <v>22 Down</v>
      </c>
      <c r="I85" s="250" t="str">
        <f>Display_All!Y85</f>
        <v>5</v>
      </c>
      <c r="J85" s="250" t="str">
        <f>Display_All!AB85</f>
        <v>electric blower</v>
      </c>
      <c r="K85" s="250" t="str">
        <f>Display_All!AC85</f>
        <v>800 to 900</v>
      </c>
      <c r="L85" s="303" t="str">
        <f>Raw!AV85</f>
        <v>672 to 756</v>
      </c>
      <c r="M85" s="304">
        <f>Display_All!AD85</f>
        <v>848.28</v>
      </c>
      <c r="N85" s="305">
        <f>Display_All!AP85</f>
        <v>6.626984127</v>
      </c>
      <c r="O85" s="301">
        <f>Display_All!AW85</f>
        <v>0.5517241379</v>
      </c>
      <c r="P85" s="302" t="str">
        <f>Display_All!AX85</f>
        <v>?</v>
      </c>
      <c r="Q85" s="264" t="str">
        <f>Raw!H85</f>
        <v/>
      </c>
      <c r="R85" s="264" t="str">
        <f>Raw!G85</f>
        <v>N</v>
      </c>
    </row>
    <row r="86">
      <c r="A86" s="249">
        <f>Raw!A86</f>
        <v>82</v>
      </c>
      <c r="B86" s="251">
        <f>Raw!E86</f>
        <v>43638</v>
      </c>
      <c r="C86" s="250" t="str">
        <f>Display_All!Q86</f>
        <v>30 to 20</v>
      </c>
      <c r="D86" s="250">
        <f>Display_All!R86</f>
        <v>25</v>
      </c>
      <c r="E86" s="262">
        <f>Calcs!B86</f>
        <v>490.9</v>
      </c>
      <c r="F86" s="250" t="str">
        <f>Display_All!V86</f>
        <v>forged copper</v>
      </c>
      <c r="G86" s="250" t="str">
        <f>Display_All!W86</f>
        <v>2.5 (T)</v>
      </c>
      <c r="H86" s="250" t="str">
        <f>Display_All!X86</f>
        <v>22 Down</v>
      </c>
      <c r="I86" s="250" t="str">
        <f>Display_All!Y86</f>
        <v>NR</v>
      </c>
      <c r="J86" s="250" t="str">
        <f>Display_All!AB86</f>
        <v>electric blower</v>
      </c>
      <c r="K86" s="250" t="str">
        <f>Display_All!AC86</f>
        <v>900</v>
      </c>
      <c r="L86" s="303">
        <f>Raw!AV86</f>
        <v>756</v>
      </c>
      <c r="M86" s="304">
        <f>Display_All!AD86</f>
        <v>589.08</v>
      </c>
      <c r="N86" s="305">
        <f>Display_All!AP86</f>
        <v>7.945478723</v>
      </c>
      <c r="O86" s="301">
        <f>Display_All!AW86</f>
        <v>0.2673003802</v>
      </c>
      <c r="P86" s="302">
        <f>Display_All!AX86</f>
        <v>0.466769741</v>
      </c>
      <c r="Q86" s="264" t="str">
        <f>Raw!H86</f>
        <v/>
      </c>
      <c r="R86" s="264" t="str">
        <f>Raw!G86</f>
        <v>N</v>
      </c>
    </row>
    <row r="87">
      <c r="A87" s="249">
        <f>Raw!A87</f>
        <v>83</v>
      </c>
      <c r="B87" s="251">
        <f>Raw!E87</f>
        <v>43751</v>
      </c>
      <c r="C87" s="250" t="str">
        <f>Display_All!Q87</f>
        <v>30 to 20</v>
      </c>
      <c r="D87" s="250">
        <f>Display_All!R87</f>
        <v>25</v>
      </c>
      <c r="E87" s="262">
        <f>Calcs!B87</f>
        <v>490.9</v>
      </c>
      <c r="F87" s="250" t="str">
        <f>Display_All!V87</f>
        <v>forged copper</v>
      </c>
      <c r="G87" s="250" t="str">
        <f>Display_All!W87</f>
        <v>2.5 (T)</v>
      </c>
      <c r="H87" s="250" t="str">
        <f>Display_All!X87</f>
        <v>22 Down</v>
      </c>
      <c r="I87" s="250" t="str">
        <f>Display_All!Y87</f>
        <v>NR</v>
      </c>
      <c r="J87" s="250" t="str">
        <f>Display_All!AB87</f>
        <v>electric blower</v>
      </c>
      <c r="K87" s="250" t="str">
        <f>Display_All!AC87</f>
        <v>1000</v>
      </c>
      <c r="L87" s="303">
        <f>Raw!AV87</f>
        <v>840</v>
      </c>
      <c r="M87" s="304">
        <f>Display_All!AD87</f>
        <v>589.08</v>
      </c>
      <c r="N87" s="305">
        <f>Display_All!AP87</f>
        <v>6.597222222</v>
      </c>
      <c r="O87" s="301">
        <f>Display_All!AW87</f>
        <v>0.2404580153</v>
      </c>
      <c r="P87" s="302">
        <f>Display_All!AX87</f>
        <v>0.4198966175</v>
      </c>
      <c r="Q87" s="264" t="str">
        <f>Raw!H87</f>
        <v/>
      </c>
      <c r="R87" s="264" t="str">
        <f>Raw!G87</f>
        <v>N</v>
      </c>
    </row>
    <row r="88">
      <c r="A88" s="249">
        <f>Raw!A88</f>
        <v>84</v>
      </c>
      <c r="B88" s="251">
        <f>Raw!E88</f>
        <v>43768</v>
      </c>
      <c r="C88" s="250" t="str">
        <f>Display_All!Q88</f>
        <v>30 to 20</v>
      </c>
      <c r="D88" s="250">
        <f>Display_All!R88</f>
        <v>25</v>
      </c>
      <c r="E88" s="262">
        <f>Calcs!B88</f>
        <v>490.9</v>
      </c>
      <c r="F88" s="250" t="str">
        <f>Display_All!V88</f>
        <v>forged copper</v>
      </c>
      <c r="G88" s="250" t="str">
        <f>Display_All!W88</f>
        <v>2.5 (T)</v>
      </c>
      <c r="H88" s="250" t="str">
        <f>Display_All!X88</f>
        <v>22 Down</v>
      </c>
      <c r="I88" s="250" t="str">
        <f>Display_All!Y88</f>
        <v>NR</v>
      </c>
      <c r="J88" s="250" t="str">
        <f>Display_All!AB88</f>
        <v>electric blower</v>
      </c>
      <c r="K88" s="250" t="str">
        <f>Display_All!AC88</f>
        <v>1000</v>
      </c>
      <c r="L88" s="303">
        <f>Raw!AV88</f>
        <v>840</v>
      </c>
      <c r="M88" s="304">
        <f>Display_All!AD88</f>
        <v>589.08</v>
      </c>
      <c r="N88" s="305">
        <f>Display_All!AP88</f>
        <v>7.703703704</v>
      </c>
      <c r="O88" s="301">
        <f>Display_All!AW88</f>
        <v>0.2615384615</v>
      </c>
      <c r="P88" s="302">
        <f>Display_All!AX88</f>
        <v>0.4567080669</v>
      </c>
      <c r="Q88" s="264" t="str">
        <f>Raw!H88</f>
        <v/>
      </c>
      <c r="R88" s="264" t="str">
        <f>Raw!G88</f>
        <v>N</v>
      </c>
    </row>
    <row r="89">
      <c r="A89" s="249" t="str">
        <f>Raw!A89</f>
        <v>85 / D31</v>
      </c>
      <c r="B89" s="251">
        <f>Raw!E89</f>
        <v>44002</v>
      </c>
      <c r="C89" s="250">
        <f>Display_All!Q89</f>
        <v>28</v>
      </c>
      <c r="D89" s="250" t="str">
        <f>Display_All!R89</f>
        <v/>
      </c>
      <c r="E89" s="262">
        <f>Calcs!B89</f>
        <v>615.8</v>
      </c>
      <c r="F89" s="250" t="str">
        <f>Display_All!V89</f>
        <v>forged copper</v>
      </c>
      <c r="G89" s="250" t="str">
        <f>Display_All!W89</f>
        <v>2.5 (T)</v>
      </c>
      <c r="H89" s="250" t="str">
        <f>Display_All!X89</f>
        <v>22 Down</v>
      </c>
      <c r="I89" s="250" t="str">
        <f>Display_All!Y89</f>
        <v>5</v>
      </c>
      <c r="J89" s="250" t="str">
        <f>Display_All!AB89</f>
        <v>electric blower</v>
      </c>
      <c r="K89" s="250" t="str">
        <f>Display_All!AC89</f>
        <v>900 to 1000</v>
      </c>
      <c r="L89" s="303" t="str">
        <f>Raw!AV89</f>
        <v>756 to 840</v>
      </c>
      <c r="M89" s="304">
        <f>Display_All!AD89</f>
        <v>738.96</v>
      </c>
      <c r="N89" s="305">
        <f>Display_All!AP89</f>
        <v>7.46031746</v>
      </c>
      <c r="O89" s="301">
        <f>Display_All!AW89</f>
        <v>0.1</v>
      </c>
      <c r="P89" s="302" t="str">
        <f>Display_All!AX89</f>
        <v>?</v>
      </c>
      <c r="Q89" s="264" t="str">
        <f>Raw!H89</f>
        <v/>
      </c>
      <c r="R89" s="264" t="str">
        <f>Raw!G89</f>
        <v>N</v>
      </c>
    </row>
    <row r="90">
      <c r="A90" s="249">
        <f>Raw!A90</f>
        <v>86</v>
      </c>
      <c r="B90" s="251">
        <f>Raw!E90</f>
        <v>44115</v>
      </c>
      <c r="C90" s="250" t="str">
        <f>Display_All!Q90</f>
        <v>30 to 20</v>
      </c>
      <c r="D90" s="250">
        <f>Display_All!R90</f>
        <v>25</v>
      </c>
      <c r="E90" s="262">
        <f>Calcs!B90</f>
        <v>490.9</v>
      </c>
      <c r="F90" s="250" t="str">
        <f>Display_All!V90</f>
        <v>forged copper</v>
      </c>
      <c r="G90" s="250" t="str">
        <f>Display_All!W90</f>
        <v>2.5 (T)</v>
      </c>
      <c r="H90" s="250" t="str">
        <f>Display_All!X90</f>
        <v>25 Down</v>
      </c>
      <c r="I90" s="250" t="str">
        <f>Display_All!Y90</f>
        <v>5</v>
      </c>
      <c r="J90" s="250" t="str">
        <f>Display_All!AB90</f>
        <v>electric blower</v>
      </c>
      <c r="K90" s="250" t="str">
        <f>Display_All!AC90</f>
        <v>1200</v>
      </c>
      <c r="L90" s="303">
        <f>Raw!AV90</f>
        <v>1008</v>
      </c>
      <c r="M90" s="304">
        <f>Display_All!AD90</f>
        <v>589.08</v>
      </c>
      <c r="N90" s="305">
        <f>Display_All!AP90</f>
        <v>8.259259259</v>
      </c>
      <c r="O90" s="301">
        <f>Display_All!AW90</f>
        <v>0.1929824561</v>
      </c>
      <c r="P90" s="302">
        <f>Display_All!AX90</f>
        <v>0.338595822</v>
      </c>
      <c r="Q90" s="264" t="str">
        <f>Raw!H90</f>
        <v>Teaching</v>
      </c>
      <c r="R90" s="264" t="str">
        <f>Raw!G90</f>
        <v>N</v>
      </c>
    </row>
    <row r="91">
      <c r="A91" s="249" t="str">
        <f>Raw!A91</f>
        <v>87 / D32</v>
      </c>
      <c r="B91" s="251">
        <f>Raw!E91</f>
        <v>44135</v>
      </c>
      <c r="C91" s="250" t="str">
        <f>Display_All!Q91</f>
        <v>30 to 20</v>
      </c>
      <c r="D91" s="250">
        <f>Display_All!R91</f>
        <v>25</v>
      </c>
      <c r="E91" s="262">
        <f>Calcs!B91</f>
        <v>490.9</v>
      </c>
      <c r="F91" s="250" t="str">
        <f>Display_All!V91</f>
        <v>forged copper</v>
      </c>
      <c r="G91" s="250" t="str">
        <f>Display_All!W91</f>
        <v>2.5 (T)</v>
      </c>
      <c r="H91" s="250" t="str">
        <f>Display_All!X91</f>
        <v>25 Down</v>
      </c>
      <c r="I91" s="250" t="str">
        <f>Display_All!Y91</f>
        <v>2</v>
      </c>
      <c r="J91" s="250" t="str">
        <f>Display_All!AB91</f>
        <v>electric blower</v>
      </c>
      <c r="K91" s="250" t="str">
        <f>Display_All!AC91</f>
        <v>900</v>
      </c>
      <c r="L91" s="303">
        <f>Raw!AV91</f>
        <v>756</v>
      </c>
      <c r="M91" s="304">
        <f>Display_All!AD91</f>
        <v>589.08</v>
      </c>
      <c r="N91" s="305">
        <f>Display_All!AP91</f>
        <v>6.835222319</v>
      </c>
      <c r="O91" s="301">
        <f>Display_All!AW91</f>
        <v>0.2446153846</v>
      </c>
      <c r="P91" s="302" t="str">
        <f>Display_All!AX91</f>
        <v>?</v>
      </c>
      <c r="Q91" s="264" t="str">
        <f>Raw!H91</f>
        <v/>
      </c>
      <c r="R91" s="264" t="str">
        <f>Raw!G91</f>
        <v>N</v>
      </c>
    </row>
    <row r="92">
      <c r="A92" s="249" t="str">
        <f>Raw!A92</f>
        <v>88 / D33</v>
      </c>
      <c r="B92" s="251">
        <f>Raw!E92</f>
        <v>44366</v>
      </c>
      <c r="C92" s="250">
        <f>Display_All!Q92</f>
        <v>28</v>
      </c>
      <c r="D92" s="250" t="str">
        <f>Display_All!R92</f>
        <v/>
      </c>
      <c r="E92" s="262">
        <f>Calcs!B92</f>
        <v>615.8</v>
      </c>
      <c r="F92" s="250" t="str">
        <f>Display_All!V92</f>
        <v>forged copper</v>
      </c>
      <c r="G92" s="250" t="str">
        <f>Display_All!W92</f>
        <v>2.5 (T)</v>
      </c>
      <c r="H92" s="250" t="str">
        <f>Display_All!X92</f>
        <v>22 Down</v>
      </c>
      <c r="I92" s="250" t="str">
        <f>Display_All!Y92</f>
        <v>5</v>
      </c>
      <c r="J92" s="250" t="str">
        <f>Display_All!AB92</f>
        <v>electric blower</v>
      </c>
      <c r="K92" s="250" t="str">
        <f>Display_All!AC92</f>
        <v>700 to 800</v>
      </c>
      <c r="L92" s="303" t="str">
        <f>Raw!AV92</f>
        <v>to 672</v>
      </c>
      <c r="M92" s="304">
        <f>Display_All!AD92</f>
        <v>738.96</v>
      </c>
      <c r="N92" s="305">
        <f>Display_All!AP92</f>
        <v>8.611111111</v>
      </c>
      <c r="O92" s="301">
        <f>Display_All!AW92</f>
        <v>0.3490196078</v>
      </c>
      <c r="P92" s="302">
        <f>Display_All!AX92</f>
        <v>0.6365910339</v>
      </c>
      <c r="Q92" s="264" t="str">
        <f>Raw!H92</f>
        <v>Icelandic</v>
      </c>
      <c r="R92" s="264" t="str">
        <f>Raw!G92</f>
        <v>N</v>
      </c>
    </row>
    <row r="93">
      <c r="A93" s="249" t="str">
        <f>Raw!A93</f>
        <v>89 / D34</v>
      </c>
      <c r="B93" s="251">
        <f>Raw!E93</f>
        <v>44443</v>
      </c>
      <c r="C93" s="250">
        <f>Display_All!Q93</f>
        <v>28</v>
      </c>
      <c r="D93" s="250" t="str">
        <f>Display_All!R93</f>
        <v/>
      </c>
      <c r="E93" s="262">
        <f>Calcs!B93</f>
        <v>615.8</v>
      </c>
      <c r="F93" s="250" t="str">
        <f>Display_All!V93</f>
        <v>forged copper</v>
      </c>
      <c r="G93" s="250" t="str">
        <f>Display_All!W93</f>
        <v>2.5 (T)</v>
      </c>
      <c r="H93" s="250" t="str">
        <f>Display_All!X93</f>
        <v>20 Down</v>
      </c>
      <c r="I93" s="250" t="str">
        <f>Display_All!Y93</f>
        <v>5</v>
      </c>
      <c r="J93" s="250" t="str">
        <f>Display_All!AB93</f>
        <v>electric blower</v>
      </c>
      <c r="K93" s="250" t="str">
        <f>Display_All!AC93</f>
        <v>900</v>
      </c>
      <c r="L93" s="303">
        <f>Raw!AV93</f>
        <v>756</v>
      </c>
      <c r="M93" s="304">
        <f>Display_All!AD93</f>
        <v>738.96</v>
      </c>
      <c r="N93" s="305">
        <f>Display_All!AP93</f>
        <v>5.777027027</v>
      </c>
      <c r="O93" s="301">
        <f>Display_All!AW93</f>
        <v>0.3153846154</v>
      </c>
      <c r="P93" s="302">
        <f>Display_All!AX93</f>
        <v>0.5752428055</v>
      </c>
      <c r="Q93" s="264" t="str">
        <f>Raw!H93</f>
        <v>Icelandic</v>
      </c>
      <c r="R93" s="264" t="str">
        <f>Raw!G93</f>
        <v>N</v>
      </c>
    </row>
    <row r="94">
      <c r="A94" s="249" t="str">
        <f>Raw!A94</f>
        <v>90 / D35</v>
      </c>
      <c r="B94" s="251">
        <f>Raw!E94</f>
        <v>44497</v>
      </c>
      <c r="C94" s="250">
        <f>Display_All!Q94</f>
        <v>28</v>
      </c>
      <c r="D94" s="250" t="str">
        <f>Display_All!R94</f>
        <v/>
      </c>
      <c r="E94" s="262">
        <f>Calcs!B94</f>
        <v>615.8</v>
      </c>
      <c r="F94" s="250" t="str">
        <f>Display_All!V94</f>
        <v>forged copper</v>
      </c>
      <c r="G94" s="250" t="str">
        <f>Display_All!W94</f>
        <v>2.5 (T)</v>
      </c>
      <c r="H94" s="250" t="str">
        <f>Display_All!X94</f>
        <v>20 Down</v>
      </c>
      <c r="I94" s="250" t="str">
        <f>Display_All!Y94</f>
        <v>5</v>
      </c>
      <c r="J94" s="250" t="str">
        <f>Display_All!AB94</f>
        <v>blower / smelt bellows</v>
      </c>
      <c r="K94" s="250" t="str">
        <f>Display_All!AC94</f>
        <v>477 to 875</v>
      </c>
      <c r="L94" s="303" t="str">
        <f>Raw!AV94</f>
        <v/>
      </c>
      <c r="M94" s="304">
        <f>Display_All!AD94</f>
        <v>738.96</v>
      </c>
      <c r="N94" s="305">
        <f>Display_All!AP94</f>
        <v>7.236842105</v>
      </c>
      <c r="O94" s="301">
        <f>Display_All!AW94</f>
        <v>0.3127572016</v>
      </c>
      <c r="P94" s="302">
        <f>Display_All!AX94</f>
        <v>0.5704505589</v>
      </c>
      <c r="Q94" s="264" t="str">
        <f>Raw!H94</f>
        <v>Air</v>
      </c>
      <c r="R94" s="264" t="str">
        <f>Raw!G94</f>
        <v>N</v>
      </c>
    </row>
    <row r="95">
      <c r="A95" s="249" t="str">
        <f>Raw!A95</f>
        <v>91 / D36</v>
      </c>
      <c r="B95" s="251">
        <f>Raw!E95</f>
        <v>44734</v>
      </c>
      <c r="C95" s="250">
        <f>Display_All!Q95</f>
        <v>25</v>
      </c>
      <c r="D95" s="250" t="str">
        <f>Display_All!R95</f>
        <v/>
      </c>
      <c r="E95" s="262">
        <f>Calcs!B95</f>
        <v>490.9</v>
      </c>
      <c r="F95" s="250" t="str">
        <f>Display_All!V95</f>
        <v>forged copper</v>
      </c>
      <c r="G95" s="250" t="str">
        <f>Display_All!W95</f>
        <v>2.5 (T)</v>
      </c>
      <c r="H95" s="250" t="str">
        <f>Display_All!X95</f>
        <v>25 Down</v>
      </c>
      <c r="I95" s="250" t="str">
        <f>Display_All!Y95</f>
        <v>5</v>
      </c>
      <c r="J95" s="250" t="str">
        <f>Display_All!AB95</f>
        <v>electric blower</v>
      </c>
      <c r="K95" s="250" t="str">
        <f>Display_All!AC95</f>
        <v>425</v>
      </c>
      <c r="L95" s="303">
        <f>Raw!AV95</f>
        <v>425</v>
      </c>
      <c r="M95" s="304">
        <f>Display_All!AD95</f>
        <v>589.08</v>
      </c>
      <c r="N95" s="305">
        <f>Display_All!AP95</f>
        <v>13.14814815</v>
      </c>
      <c r="O95" s="301">
        <f>Display_All!AW95</f>
        <v>0.2641509434</v>
      </c>
      <c r="P95" s="302">
        <f>Display_All!AX95</f>
        <v>0.4881628605</v>
      </c>
      <c r="Q95" s="264" t="str">
        <f>Raw!H95</f>
        <v>Air</v>
      </c>
      <c r="R95" s="264" t="str">
        <f>Raw!G95</f>
        <v>N</v>
      </c>
    </row>
    <row r="96">
      <c r="A96" s="249">
        <f>Raw!A96</f>
        <v>92</v>
      </c>
      <c r="B96" s="251">
        <f>Raw!E96</f>
        <v>44863</v>
      </c>
      <c r="C96" s="250">
        <f>Display_All!Q96</f>
        <v>25</v>
      </c>
      <c r="D96" s="250" t="str">
        <f>Display_All!R96</f>
        <v/>
      </c>
      <c r="E96" s="262">
        <f>Calcs!B96</f>
        <v>490.9</v>
      </c>
      <c r="F96" s="250" t="str">
        <f>Display_All!V96</f>
        <v>forged copper</v>
      </c>
      <c r="G96" s="250" t="str">
        <f>Display_All!W96</f>
        <v>2.5 (T)</v>
      </c>
      <c r="H96" s="250" t="str">
        <f>Display_All!X96</f>
        <v>25 Down</v>
      </c>
      <c r="I96" s="250" t="str">
        <f>Display_All!Y96</f>
        <v>6</v>
      </c>
      <c r="J96" s="250" t="str">
        <f>Display_All!AB96</f>
        <v>electric blower</v>
      </c>
      <c r="K96" s="250" t="str">
        <f>Display_All!AC96</f>
        <v>405 to 480</v>
      </c>
      <c r="L96" s="303" t="str">
        <f>Raw!AV96</f>
        <v/>
      </c>
      <c r="M96" s="304">
        <f>Display_All!AD96</f>
        <v>589.08</v>
      </c>
      <c r="N96" s="305">
        <f>Display_All!AP96</f>
        <v>11.18357488</v>
      </c>
      <c r="O96" s="301">
        <f>Display_All!AW96</f>
        <v>0.1886792453</v>
      </c>
      <c r="P96" s="302">
        <f>Display_All!AX96</f>
        <v>0.3486877575</v>
      </c>
      <c r="Q96" s="264" t="str">
        <f>Raw!H96</f>
        <v>Air</v>
      </c>
      <c r="R96" s="264" t="str">
        <f>Raw!G96</f>
        <v>N</v>
      </c>
    </row>
    <row r="97">
      <c r="A97" s="249">
        <f>Raw!A97</f>
        <v>93</v>
      </c>
      <c r="B97" s="251">
        <f>Raw!E97</f>
        <v>45165</v>
      </c>
      <c r="C97" s="250" t="str">
        <f>Display_All!Q97</f>
        <v>35 to 30</v>
      </c>
      <c r="D97" s="250" t="str">
        <f>Display_All!R97</f>
        <v>28.5 (E)</v>
      </c>
      <c r="E97" s="262" t="str">
        <f>Calcs!B97</f>
        <v>637.9 (E)</v>
      </c>
      <c r="F97" s="250" t="str">
        <f>Display_All!V97</f>
        <v>sheet copper</v>
      </c>
      <c r="G97" s="250" t="str">
        <f>Display_All!W97</f>
        <v>2 (T)</v>
      </c>
      <c r="H97" s="250" t="str">
        <f>Display_All!X97</f>
        <v>20 Down</v>
      </c>
      <c r="I97" s="250" t="str">
        <f>Display_All!Y97</f>
        <v>4.5</v>
      </c>
      <c r="J97" s="250" t="str">
        <f>Display_All!AB97</f>
        <v>small blower</v>
      </c>
      <c r="K97" s="250" t="str">
        <f>Display_All!AC97</f>
        <v>?</v>
      </c>
      <c r="L97" s="303" t="str">
        <f>Raw!AV97</f>
        <v/>
      </c>
      <c r="M97" s="304">
        <f>Display_All!AD97</f>
        <v>765.48</v>
      </c>
      <c r="N97" s="305">
        <f>Display_All!AP97</f>
        <v>7.625</v>
      </c>
      <c r="O97" s="301">
        <f>Display_All!AW97</f>
        <v>0.05490196078</v>
      </c>
      <c r="P97" s="302">
        <f>Display_All!AX97</f>
        <v>0.1569904094</v>
      </c>
      <c r="Q97" s="264" t="str">
        <f>Raw!H97</f>
        <v/>
      </c>
      <c r="R97" s="264" t="str">
        <f>Raw!G97</f>
        <v>Y</v>
      </c>
    </row>
    <row r="98">
      <c r="A98" s="249" t="str">
        <f>Raw!A98</f>
        <v>94 / D37</v>
      </c>
      <c r="B98" s="251">
        <f>Raw!E98</f>
        <v>45227</v>
      </c>
      <c r="C98" s="250">
        <f>Display_All!Q98</f>
        <v>25</v>
      </c>
      <c r="D98" s="250" t="str">
        <f>Display_All!R98</f>
        <v/>
      </c>
      <c r="E98" s="262">
        <f>Calcs!B98</f>
        <v>490.9</v>
      </c>
      <c r="F98" s="250" t="str">
        <f>Display_All!V98</f>
        <v>forged copper</v>
      </c>
      <c r="G98" s="250" t="str">
        <f>Display_All!W98</f>
        <v>2.5 (T)</v>
      </c>
      <c r="H98" s="250" t="str">
        <f>Display_All!X98</f>
        <v>22 Down</v>
      </c>
      <c r="I98" s="250" t="str">
        <f>Display_All!Y98</f>
        <v>5</v>
      </c>
      <c r="J98" s="250" t="str">
        <f>Display_All!AB98</f>
        <v>blower / sliding gate</v>
      </c>
      <c r="K98" s="250" t="str">
        <f>Display_All!AC98</f>
        <v>instrument fail</v>
      </c>
      <c r="L98" s="303" t="str">
        <f>Raw!AV98</f>
        <v/>
      </c>
      <c r="M98" s="304">
        <f>Display_All!AD98</f>
        <v>589.08</v>
      </c>
      <c r="N98" s="305">
        <f>Display_All!AP98</f>
        <v>17.88288288</v>
      </c>
      <c r="O98" s="301">
        <f>Display_All!AW98</f>
        <v>0.1727428571</v>
      </c>
      <c r="P98" s="302">
        <f>Display_All!AX98</f>
        <v>0.315072711</v>
      </c>
      <c r="Q98" s="264" t="str">
        <f>Raw!H98</f>
        <v>Air</v>
      </c>
      <c r="R98" s="264" t="str">
        <f>Raw!G98</f>
        <v>N</v>
      </c>
    </row>
    <row r="99">
      <c r="A99" s="249" t="str">
        <f>Raw!A99</f>
        <v>95 / D38</v>
      </c>
      <c r="B99" s="251">
        <f>Raw!E99</f>
        <v>45464</v>
      </c>
      <c r="C99" s="250">
        <f>Display_All!Q99</f>
        <v>25</v>
      </c>
      <c r="D99" s="250" t="str">
        <f>Display_All!R99</f>
        <v/>
      </c>
      <c r="E99" s="262">
        <f>Calcs!B99</f>
        <v>490.9</v>
      </c>
      <c r="F99" s="250" t="str">
        <f>Display_All!V99</f>
        <v>ceramic tube</v>
      </c>
      <c r="G99" s="250" t="str">
        <f>Display_All!W99</f>
        <v>2.5</v>
      </c>
      <c r="H99" s="250" t="str">
        <f>Display_All!X99</f>
        <v>22 Down</v>
      </c>
      <c r="I99" s="250" t="str">
        <f>Display_All!Y99</f>
        <v>4.5</v>
      </c>
      <c r="J99" s="250" t="str">
        <f>Display_All!AB99</f>
        <v>blower / sliding gate</v>
      </c>
      <c r="K99" s="250" t="str">
        <f>Display_All!AC99</f>
        <v>525 (A) (E)</v>
      </c>
      <c r="L99" s="303" t="str">
        <f>Raw!AV99</f>
        <v/>
      </c>
      <c r="M99" s="304">
        <f>Display_All!AD99</f>
        <v>589.08</v>
      </c>
      <c r="N99" s="305">
        <f>Display_All!AP99</f>
        <v>11.9924812</v>
      </c>
      <c r="O99" s="301" t="str">
        <f>Display_All!AW99</f>
        <v>NR</v>
      </c>
      <c r="P99" s="302" t="str">
        <f>Display_All!AX99</f>
        <v>NR</v>
      </c>
      <c r="Q99" s="264" t="str">
        <f>Raw!H99</f>
        <v>Air</v>
      </c>
      <c r="R99" s="264" t="str">
        <f>Raw!G99</f>
        <v>Y</v>
      </c>
    </row>
    <row r="100">
      <c r="A100" s="249" t="str">
        <f>Raw!A100</f>
        <v>96 / D39</v>
      </c>
      <c r="B100" s="251">
        <f>Raw!E100</f>
        <v>45578</v>
      </c>
      <c r="C100" s="250">
        <f>Display_All!Q100</f>
        <v>23</v>
      </c>
      <c r="D100" s="250">
        <f>Display_All!R100</f>
        <v>22</v>
      </c>
      <c r="E100" s="262">
        <f>Calcs!B100</f>
        <v>380.1</v>
      </c>
      <c r="F100" s="250" t="str">
        <f>Display_All!V100</f>
        <v>forged copper</v>
      </c>
      <c r="G100" s="250" t="str">
        <f>Display_All!W100</f>
        <v>2.5 (T)</v>
      </c>
      <c r="H100" s="250" t="str">
        <f>Display_All!X100</f>
        <v>22 Down</v>
      </c>
      <c r="I100" s="250" t="str">
        <f>Display_All!Y100</f>
        <v>5</v>
      </c>
      <c r="J100" s="250" t="str">
        <f>Display_All!AB100</f>
        <v>blower / sliding gate</v>
      </c>
      <c r="K100" s="250" t="str">
        <f>Display_All!AC100</f>
        <v>601.035 (A) (E)</v>
      </c>
      <c r="L100" s="303" t="str">
        <f>Raw!AV100</f>
        <v/>
      </c>
      <c r="M100" s="304">
        <f>Display_All!AD100</f>
        <v>456.12</v>
      </c>
      <c r="N100" s="305">
        <f>Display_All!AP100</f>
        <v>20.75</v>
      </c>
      <c r="O100" s="306">
        <f>Display_All!AW100</f>
        <v>0.2201333333</v>
      </c>
      <c r="P100" s="307">
        <f>Display_All!AX100</f>
        <v>0.4015101247</v>
      </c>
      <c r="Q100" s="264" t="str">
        <f>Raw!H100</f>
        <v>Air</v>
      </c>
      <c r="R100" s="264" t="str">
        <f>Raw!G100</f>
        <v>N</v>
      </c>
    </row>
    <row r="101">
      <c r="A101" s="249">
        <f>Raw!A101</f>
        <v>97</v>
      </c>
      <c r="B101" s="251">
        <f>Raw!E101</f>
        <v>45584</v>
      </c>
      <c r="C101" s="250">
        <f>Display_All!Q101</f>
        <v>29</v>
      </c>
      <c r="D101" s="250">
        <f>Display_All!R101</f>
        <v>29</v>
      </c>
      <c r="E101" s="262">
        <f>Calcs!B101</f>
        <v>660.5</v>
      </c>
      <c r="F101" s="250" t="str">
        <f>Display_All!V101</f>
        <v>forged copper</v>
      </c>
      <c r="G101" s="250" t="str">
        <f>Display_All!W101</f>
        <v>NR (T)</v>
      </c>
      <c r="H101" s="250" t="str">
        <f>Display_All!X101</f>
        <v>22.5 Down</v>
      </c>
      <c r="I101" s="250" t="str">
        <f>Display_All!Y101</f>
        <v>5</v>
      </c>
      <c r="J101" s="250" t="str">
        <f>Display_All!AB101</f>
        <v>blower (bouncy castle)</v>
      </c>
      <c r="K101" s="250" t="str">
        <f>Display_All!AC101</f>
        <v>NR</v>
      </c>
      <c r="L101" s="303" t="str">
        <f>Raw!AV101</f>
        <v/>
      </c>
      <c r="M101" s="304">
        <f>Display_All!AD101</f>
        <v>792.6</v>
      </c>
      <c r="N101" s="305">
        <f>Display_All!AP101</f>
        <v>13.12964492</v>
      </c>
      <c r="O101" s="306">
        <f>Display_All!AW101</f>
        <v>0.09032258065</v>
      </c>
      <c r="P101" s="307" t="str">
        <f>Display_All!AX101</f>
        <v>?</v>
      </c>
      <c r="Q101" s="264" t="str">
        <f>Raw!H101</f>
        <v/>
      </c>
      <c r="R101" s="264" t="str">
        <f>Raw!G101</f>
        <v>N</v>
      </c>
    </row>
    <row r="102">
      <c r="A102" s="249" t="str">
        <f>Raw!A102</f>
        <v>98 / D40</v>
      </c>
      <c r="B102" s="251">
        <f>Raw!E102</f>
        <v>45599</v>
      </c>
      <c r="C102" s="250" t="str">
        <f>Display_All!Q102</f>
        <v>28 by 40</v>
      </c>
      <c r="D102" s="250">
        <f>Display_All!R102</f>
        <v>28</v>
      </c>
      <c r="E102" s="262">
        <f>Calcs!B102</f>
        <v>879.6</v>
      </c>
      <c r="F102" s="250" t="str">
        <f>Display_All!V102</f>
        <v>ceramic tube</v>
      </c>
      <c r="G102" s="250" t="str">
        <f>Display_All!W102</f>
        <v>2.5</v>
      </c>
      <c r="H102" s="250" t="str">
        <f>Display_All!X102</f>
        <v>22 Down</v>
      </c>
      <c r="I102" s="250" t="str">
        <f>Display_All!Y102</f>
        <v>4</v>
      </c>
      <c r="J102" s="250" t="str">
        <f>Display_All!AB102</f>
        <v>blower / sliding gate</v>
      </c>
      <c r="K102" s="250" t="str">
        <f>Display_All!AC102</f>
        <v>525 (A) (E)</v>
      </c>
      <c r="L102" s="303" t="str">
        <f>Raw!AV102</f>
        <v/>
      </c>
      <c r="M102" s="304">
        <f>Display_All!AD102</f>
        <v>1055.52</v>
      </c>
      <c r="N102" s="305">
        <f>Display_All!AP102</f>
        <v>7.727272727</v>
      </c>
      <c r="O102" s="306">
        <f>Display_All!AW102</f>
        <v>0.05727937706</v>
      </c>
      <c r="P102" s="307">
        <f>Display_All!AX102</f>
        <v>0.1044741815</v>
      </c>
      <c r="Q102" s="264" t="str">
        <f>Raw!H102</f>
        <v>Icelandic</v>
      </c>
      <c r="R102" s="264" t="str">
        <f>Raw!G102</f>
        <v>N</v>
      </c>
    </row>
    <row r="103">
      <c r="A103" s="249">
        <f>Raw!A103</f>
        <v>99</v>
      </c>
      <c r="B103" s="251">
        <f>Raw!E103</f>
        <v>45605</v>
      </c>
      <c r="C103" s="250">
        <f>Display_All!Q103</f>
        <v>23</v>
      </c>
      <c r="D103" s="250">
        <f>Display_All!R103</f>
        <v>23</v>
      </c>
      <c r="E103" s="262">
        <f>Calcs!B103</f>
        <v>415.5</v>
      </c>
      <c r="F103" s="250" t="str">
        <f>Display_All!V103</f>
        <v>forged copper</v>
      </c>
      <c r="G103" s="250" t="str">
        <f>Display_All!W103</f>
        <v>2.5 (T)</v>
      </c>
      <c r="H103" s="250" t="str">
        <f>Display_All!X103</f>
        <v>20 Down</v>
      </c>
      <c r="I103" s="250" t="str">
        <f>Display_All!Y103</f>
        <v>5</v>
      </c>
      <c r="J103" s="250" t="str">
        <f>Display_All!AB103</f>
        <v>electric blower</v>
      </c>
      <c r="K103" s="250" t="str">
        <f>Display_All!AC103</f>
        <v>700 (A)</v>
      </c>
      <c r="L103" s="303" t="str">
        <f>Raw!AV103</f>
        <v/>
      </c>
      <c r="M103" s="304">
        <f>Display_All!AD103</f>
        <v>498.6</v>
      </c>
      <c r="N103" s="305">
        <f>Display_All!AP103</f>
        <v>6.744186047</v>
      </c>
      <c r="O103" s="306" t="str">
        <f>Display_All!AW103</f>
        <v>na</v>
      </c>
      <c r="P103" s="307" t="str">
        <f>Display_All!AX103</f>
        <v>?</v>
      </c>
      <c r="Q103" s="264" t="str">
        <f>Raw!H103</f>
        <v>Teaching</v>
      </c>
      <c r="R103" s="264" t="str">
        <f>Raw!G103</f>
        <v>N</v>
      </c>
    </row>
    <row r="104">
      <c r="A104" s="265">
        <f>Raw!A104</f>
        <v>100</v>
      </c>
      <c r="B104" s="267" t="str">
        <f>Raw!E104</f>
        <v/>
      </c>
      <c r="C104" s="266" t="str">
        <f>Display_All!Q104</f>
        <v/>
      </c>
      <c r="D104" s="266" t="str">
        <f>Display_All!R104</f>
        <v/>
      </c>
      <c r="E104" s="269" t="str">
        <f>Calcs!B104</f>
        <v>ERROR</v>
      </c>
      <c r="F104" s="266" t="str">
        <f>Display_All!V104</f>
        <v/>
      </c>
      <c r="G104" s="266" t="str">
        <f>Display_All!W104</f>
        <v/>
      </c>
      <c r="H104" s="266" t="str">
        <f>Display_All!X104</f>
        <v/>
      </c>
      <c r="I104" s="266" t="str">
        <f>Display_All!Y104</f>
        <v/>
      </c>
      <c r="J104" s="266" t="str">
        <f>Display_All!AB104</f>
        <v/>
      </c>
      <c r="K104" s="266" t="str">
        <f>Display_All!AC104</f>
        <v/>
      </c>
      <c r="L104" s="308" t="str">
        <f>Raw!AV104</f>
        <v/>
      </c>
      <c r="M104" s="309" t="str">
        <f>Display_All!AD104</f>
        <v/>
      </c>
      <c r="N104" s="310" t="str">
        <f>Display_All!AP104</f>
        <v/>
      </c>
      <c r="O104" s="311" t="str">
        <f>Display_All!AW104</f>
        <v>None</v>
      </c>
      <c r="P104" s="280" t="str">
        <f>Display_All!AX104</f>
        <v>None</v>
      </c>
      <c r="Q104" s="264" t="str">
        <f>Raw!H104</f>
        <v/>
      </c>
      <c r="R104" s="264" t="str">
        <f>Raw!G104</f>
        <v/>
      </c>
    </row>
    <row r="108">
      <c r="B108" s="312" t="s">
        <v>1121</v>
      </c>
      <c r="C108" s="313" t="s">
        <v>1122</v>
      </c>
      <c r="D108" s="314" t="s">
        <v>1123</v>
      </c>
      <c r="E108" s="315" t="s">
        <v>1124</v>
      </c>
      <c r="F108" s="316" t="s">
        <v>1125</v>
      </c>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3.71"/>
    <col customWidth="1" min="2" max="2" width="14.57"/>
    <col customWidth="1" min="3" max="3" width="11.0"/>
    <col customWidth="1" min="4" max="4" width="11.43"/>
    <col customWidth="1" min="5" max="5" width="8.86"/>
    <col customWidth="1" min="6" max="25" width="10.0"/>
  </cols>
  <sheetData>
    <row r="1">
      <c r="A1" s="317" t="str">
        <f>Raw!A1</f>
        <v>Reference</v>
      </c>
      <c r="B1" s="318" t="str">
        <f>Raw!AQ1</f>
        <v>Blower</v>
      </c>
      <c r="C1" s="318" t="str">
        <f>Display_All!AC1</f>
        <v>Air Volume Avg (L/min)</v>
      </c>
      <c r="D1" s="319" t="str">
        <f>Display_All!AP1</f>
        <v>Burn Rate (Min/Kg)</v>
      </c>
      <c r="E1" s="320" t="str">
        <f>Display_All!AX1</f>
        <v>Yield % Fe</v>
      </c>
      <c r="F1" s="321"/>
      <c r="G1" s="321"/>
      <c r="H1" s="321"/>
      <c r="I1" s="321"/>
      <c r="J1" s="321"/>
      <c r="K1" s="321"/>
      <c r="L1" s="321"/>
      <c r="M1" s="321"/>
      <c r="N1" s="321"/>
      <c r="O1" s="321"/>
      <c r="P1" s="321"/>
      <c r="Q1" s="321"/>
      <c r="R1" s="321"/>
      <c r="S1" s="321"/>
      <c r="T1" s="321"/>
      <c r="U1" s="321"/>
      <c r="V1" s="321"/>
      <c r="W1" s="321"/>
      <c r="X1" s="321"/>
      <c r="Y1" s="321"/>
    </row>
    <row r="2">
      <c r="A2" s="322">
        <f>Raw!A2</f>
        <v>1</v>
      </c>
      <c r="B2" s="323" t="str">
        <f>Raw!AQ2</f>
        <v>Norse twin smith's</v>
      </c>
      <c r="C2" s="323" t="str">
        <f>Display_All!AC2</f>
        <v>120 (E)</v>
      </c>
      <c r="D2" s="324">
        <f>Display_All!AP2</f>
        <v>13.55555556</v>
      </c>
      <c r="E2" s="325">
        <f>Display_All!AX2</f>
        <v>0.1056246008</v>
      </c>
      <c r="F2" s="326"/>
      <c r="G2" s="326"/>
      <c r="H2" s="326"/>
      <c r="I2" s="326"/>
      <c r="J2" s="326"/>
      <c r="K2" s="326"/>
      <c r="L2" s="326"/>
      <c r="M2" s="326"/>
      <c r="N2" s="326"/>
      <c r="O2" s="326"/>
      <c r="P2" s="326"/>
      <c r="Q2" s="326"/>
      <c r="R2" s="326"/>
      <c r="S2" s="326"/>
      <c r="T2" s="326"/>
      <c r="U2" s="326"/>
      <c r="V2" s="326"/>
      <c r="W2" s="326"/>
      <c r="X2" s="326"/>
      <c r="Y2" s="326"/>
    </row>
    <row r="3" hidden="1">
      <c r="A3" s="327" t="str">
        <f>Raw!A3</f>
        <v>2 / D1</v>
      </c>
      <c r="B3" s="328" t="str">
        <f>Raw!AQ3</f>
        <v>Norse twin smith's</v>
      </c>
      <c r="C3" s="323" t="str">
        <f>Display_All!AC3</f>
        <v>100 (E)</v>
      </c>
      <c r="D3" s="324">
        <f>Display_All!AP3</f>
        <v>10.35</v>
      </c>
      <c r="E3" s="325" t="str">
        <f>Display_All!AX3</f>
        <v>na</v>
      </c>
      <c r="F3" s="326"/>
      <c r="G3" s="326"/>
      <c r="H3" s="326"/>
      <c r="I3" s="326"/>
      <c r="J3" s="326"/>
      <c r="K3" s="326"/>
      <c r="L3" s="326"/>
      <c r="M3" s="326"/>
      <c r="N3" s="326"/>
      <c r="O3" s="326"/>
      <c r="P3" s="326"/>
      <c r="Q3" s="326"/>
      <c r="R3" s="326"/>
      <c r="S3" s="326"/>
      <c r="T3" s="326"/>
      <c r="U3" s="326"/>
      <c r="V3" s="326"/>
      <c r="W3" s="326"/>
      <c r="X3" s="326"/>
      <c r="Y3" s="326"/>
    </row>
    <row r="4" hidden="1">
      <c r="A4" s="327" t="str">
        <f>Raw!A4</f>
        <v>3 / D2</v>
      </c>
      <c r="B4" s="328" t="str">
        <f>Raw!AQ4</f>
        <v>vacuum blower</v>
      </c>
      <c r="C4" s="323" t="str">
        <f>Display_All!AC4</f>
        <v>NR</v>
      </c>
      <c r="D4" s="324">
        <f>Display_All!AP4</f>
        <v>4.864197531</v>
      </c>
      <c r="E4" s="325" t="str">
        <f>Display_All!AX4</f>
        <v>na</v>
      </c>
      <c r="F4" s="326"/>
      <c r="G4" s="326"/>
      <c r="H4" s="326"/>
      <c r="I4" s="326"/>
      <c r="J4" s="326"/>
      <c r="K4" s="326"/>
      <c r="L4" s="326"/>
      <c r="M4" s="326"/>
      <c r="N4" s="326"/>
      <c r="O4" s="326"/>
      <c r="P4" s="326"/>
      <c r="Q4" s="326"/>
      <c r="R4" s="326"/>
      <c r="S4" s="326"/>
      <c r="T4" s="326"/>
      <c r="U4" s="326"/>
      <c r="V4" s="326"/>
      <c r="W4" s="326"/>
      <c r="X4" s="326"/>
      <c r="Y4" s="326"/>
    </row>
    <row r="5" hidden="1">
      <c r="A5" s="327" t="str">
        <f>Raw!A5</f>
        <v>4 / D3</v>
      </c>
      <c r="B5" s="328" t="str">
        <f>Raw!AQ5</f>
        <v>Norse / hand crank</v>
      </c>
      <c r="C5" s="323" t="str">
        <f>Display_All!AC5</f>
        <v>125 / ? (E)</v>
      </c>
      <c r="D5" s="324">
        <f>Display_All!AP5</f>
        <v>17.25</v>
      </c>
      <c r="E5" s="325" t="str">
        <f>Display_All!AX5</f>
        <v>na</v>
      </c>
      <c r="F5" s="326"/>
      <c r="G5" s="326"/>
      <c r="H5" s="326"/>
      <c r="I5" s="326"/>
      <c r="J5" s="326"/>
      <c r="K5" s="326"/>
      <c r="L5" s="326"/>
      <c r="M5" s="326"/>
      <c r="N5" s="326"/>
      <c r="O5" s="326"/>
      <c r="P5" s="326"/>
      <c r="Q5" s="326"/>
      <c r="R5" s="326"/>
      <c r="S5" s="326"/>
      <c r="T5" s="326"/>
      <c r="U5" s="326"/>
      <c r="V5" s="326"/>
      <c r="W5" s="326"/>
      <c r="X5" s="326"/>
      <c r="Y5" s="326"/>
    </row>
    <row r="6" hidden="1">
      <c r="A6" s="327">
        <f>Raw!A6</f>
        <v>5</v>
      </c>
      <c r="B6" s="328" t="str">
        <f>Raw!AQ6</f>
        <v>Norse twin smith's</v>
      </c>
      <c r="C6" s="323" t="str">
        <f>Display_All!AC6</f>
        <v>125 (E)</v>
      </c>
      <c r="D6" s="324">
        <f>Display_All!AP6</f>
        <v>15.92063492</v>
      </c>
      <c r="E6" s="325" t="str">
        <f>Display_All!AX6</f>
        <v>na</v>
      </c>
      <c r="F6" s="326"/>
      <c r="G6" s="326"/>
      <c r="H6" s="326"/>
      <c r="I6" s="326"/>
      <c r="J6" s="326"/>
      <c r="K6" s="326"/>
      <c r="L6" s="326"/>
      <c r="M6" s="326"/>
      <c r="N6" s="326"/>
      <c r="O6" s="326"/>
      <c r="P6" s="326"/>
      <c r="Q6" s="326"/>
      <c r="R6" s="326"/>
      <c r="S6" s="326"/>
      <c r="T6" s="326"/>
      <c r="U6" s="326"/>
      <c r="V6" s="326"/>
      <c r="W6" s="326"/>
      <c r="X6" s="326"/>
      <c r="Y6" s="326"/>
    </row>
    <row r="7">
      <c r="A7" s="327" t="str">
        <f>Raw!A7</f>
        <v>6 / D4</v>
      </c>
      <c r="B7" s="328" t="str">
        <f>Raw!AQ7</f>
        <v>vacuum blower</v>
      </c>
      <c r="C7" s="323" t="str">
        <f>Display_All!AC7</f>
        <v>550</v>
      </c>
      <c r="D7" s="324">
        <f>Display_All!AP7</f>
        <v>19.11013942</v>
      </c>
      <c r="E7" s="325">
        <f>Display_All!AX7</f>
        <v>0.4310344828</v>
      </c>
      <c r="F7" s="326"/>
      <c r="G7" s="326"/>
      <c r="H7" s="326"/>
      <c r="I7" s="326"/>
      <c r="J7" s="326"/>
      <c r="K7" s="326"/>
      <c r="L7" s="326"/>
      <c r="M7" s="326"/>
      <c r="N7" s="326"/>
      <c r="O7" s="326"/>
      <c r="P7" s="326"/>
      <c r="Q7" s="326"/>
      <c r="R7" s="326"/>
      <c r="S7" s="326"/>
      <c r="T7" s="326"/>
      <c r="U7" s="326"/>
      <c r="V7" s="326"/>
      <c r="W7" s="326"/>
      <c r="X7" s="326"/>
      <c r="Y7" s="326"/>
    </row>
    <row r="8" hidden="1">
      <c r="A8" s="327">
        <f>Raw!A8</f>
        <v>7</v>
      </c>
      <c r="B8" s="328" t="str">
        <f>Raw!AQ8</f>
        <v>vacuum blower</v>
      </c>
      <c r="C8" s="323" t="str">
        <f>Display_All!AC8</f>
        <v>815</v>
      </c>
      <c r="D8" s="324">
        <f>Display_All!AP8</f>
        <v>5.119230769</v>
      </c>
      <c r="E8" s="325" t="str">
        <f>Display_All!AX8</f>
        <v>?</v>
      </c>
      <c r="F8" s="326"/>
      <c r="G8" s="326"/>
      <c r="H8" s="326"/>
      <c r="I8" s="326"/>
      <c r="J8" s="326"/>
      <c r="K8" s="326"/>
      <c r="L8" s="326"/>
      <c r="M8" s="326"/>
      <c r="N8" s="326"/>
      <c r="O8" s="326"/>
      <c r="P8" s="326"/>
      <c r="Q8" s="326"/>
      <c r="R8" s="326"/>
      <c r="S8" s="326"/>
      <c r="T8" s="326"/>
      <c r="U8" s="326"/>
      <c r="V8" s="326"/>
      <c r="W8" s="326"/>
      <c r="X8" s="326"/>
      <c r="Y8" s="326"/>
    </row>
    <row r="9">
      <c r="A9" s="327">
        <f>Raw!A9</f>
        <v>8</v>
      </c>
      <c r="B9" s="328" t="str">
        <f>Raw!AQ9</f>
        <v>vacuum blower</v>
      </c>
      <c r="C9" s="323" t="str">
        <f>Display_All!AC9</f>
        <v>815</v>
      </c>
      <c r="D9" s="324">
        <f>Display_All!AP9</f>
        <v>5.203846154</v>
      </c>
      <c r="E9" s="325">
        <f>Display_All!AX9</f>
        <v>0.4618226601</v>
      </c>
      <c r="F9" s="326"/>
      <c r="G9" s="326"/>
      <c r="H9" s="326"/>
      <c r="I9" s="326"/>
      <c r="J9" s="326"/>
      <c r="K9" s="326"/>
      <c r="L9" s="326"/>
      <c r="M9" s="326"/>
      <c r="N9" s="326"/>
      <c r="O9" s="326"/>
      <c r="P9" s="326"/>
      <c r="Q9" s="326"/>
      <c r="R9" s="326"/>
      <c r="S9" s="326"/>
      <c r="T9" s="326"/>
      <c r="U9" s="326"/>
      <c r="V9" s="326"/>
      <c r="W9" s="326"/>
      <c r="X9" s="326"/>
      <c r="Y9" s="326"/>
    </row>
    <row r="10">
      <c r="A10" s="327">
        <f>Raw!A10</f>
        <v>9</v>
      </c>
      <c r="B10" s="328" t="str">
        <f>Raw!AQ10</f>
        <v>various</v>
      </c>
      <c r="C10" s="323" t="str">
        <f>Display_All!AC10</f>
        <v>inconsistant</v>
      </c>
      <c r="D10" s="324">
        <f>Display_All!AP10</f>
        <v>6.220689655</v>
      </c>
      <c r="E10" s="325">
        <f>Display_All!AX10</f>
        <v>0.6820051624</v>
      </c>
      <c r="F10" s="326"/>
      <c r="G10" s="326"/>
      <c r="H10" s="326"/>
      <c r="I10" s="326"/>
      <c r="J10" s="326"/>
      <c r="K10" s="326"/>
      <c r="L10" s="326"/>
      <c r="M10" s="326"/>
      <c r="N10" s="326"/>
      <c r="O10" s="326"/>
      <c r="P10" s="326"/>
      <c r="Q10" s="326"/>
      <c r="R10" s="326"/>
      <c r="S10" s="326"/>
      <c r="T10" s="326"/>
      <c r="U10" s="326"/>
      <c r="V10" s="326"/>
      <c r="W10" s="326"/>
      <c r="X10" s="326"/>
      <c r="Y10" s="326"/>
    </row>
    <row r="11">
      <c r="A11" s="327" t="str">
        <f>Raw!A11</f>
        <v>10 / D5</v>
      </c>
      <c r="B11" s="328" t="str">
        <f>Raw!AQ11</f>
        <v>Ubber Bellows</v>
      </c>
      <c r="C11" s="323" t="str">
        <f>Display_All!AC11</f>
        <v>600 (E)</v>
      </c>
      <c r="D11" s="324">
        <f>Display_All!AP11</f>
        <v>7.020588235</v>
      </c>
      <c r="E11" s="325">
        <f>Display_All!AX11</f>
        <v>0.4489181252</v>
      </c>
      <c r="F11" s="326"/>
      <c r="G11" s="326"/>
      <c r="H11" s="326"/>
      <c r="I11" s="326"/>
      <c r="J11" s="326"/>
      <c r="K11" s="326"/>
      <c r="L11" s="326"/>
      <c r="M11" s="326"/>
      <c r="N11" s="326"/>
      <c r="O11" s="326"/>
      <c r="P11" s="326"/>
      <c r="Q11" s="326"/>
      <c r="R11" s="326"/>
      <c r="S11" s="326"/>
      <c r="T11" s="326"/>
      <c r="U11" s="326"/>
      <c r="V11" s="326"/>
      <c r="W11" s="326"/>
      <c r="X11" s="326"/>
      <c r="Y11" s="326"/>
    </row>
    <row r="12">
      <c r="A12" s="327" t="str">
        <f>Raw!A12</f>
        <v>11 / D6</v>
      </c>
      <c r="B12" s="328" t="str">
        <f>Raw!AQ12</f>
        <v>Ubber Bellows</v>
      </c>
      <c r="C12" s="323" t="str">
        <f>Display_All!AC12</f>
        <v>600 (E)</v>
      </c>
      <c r="D12" s="324">
        <f>Display_All!AP12</f>
        <v>10.52857143</v>
      </c>
      <c r="E12" s="325">
        <f>Display_All!AX12</f>
        <v>0.3226599025</v>
      </c>
      <c r="F12" s="326"/>
      <c r="G12" s="326"/>
      <c r="H12" s="326"/>
      <c r="I12" s="326"/>
      <c r="J12" s="326"/>
      <c r="K12" s="326"/>
      <c r="L12" s="326"/>
      <c r="M12" s="326"/>
      <c r="N12" s="326"/>
      <c r="O12" s="326"/>
      <c r="P12" s="326"/>
      <c r="Q12" s="326"/>
      <c r="R12" s="326"/>
      <c r="S12" s="326"/>
      <c r="T12" s="326"/>
      <c r="U12" s="326"/>
      <c r="V12" s="326"/>
      <c r="W12" s="326"/>
      <c r="X12" s="326"/>
      <c r="Y12" s="326"/>
    </row>
    <row r="13">
      <c r="A13" s="327">
        <f>Raw!A13</f>
        <v>12</v>
      </c>
      <c r="B13" s="328" t="str">
        <f>Raw!AQ13</f>
        <v>electric blower</v>
      </c>
      <c r="C13" s="323" t="str">
        <f>Display_All!AC13</f>
        <v>1000 (E)</v>
      </c>
      <c r="D13" s="324">
        <f>Display_All!AP13</f>
        <v>6.801834862</v>
      </c>
      <c r="E13" s="325">
        <f>Display_All!AX13</f>
        <v>0.3686835827</v>
      </c>
      <c r="F13" s="326"/>
      <c r="G13" s="326"/>
      <c r="H13" s="326"/>
      <c r="I13" s="326"/>
      <c r="J13" s="326"/>
      <c r="K13" s="326"/>
      <c r="L13" s="326"/>
      <c r="M13" s="326"/>
      <c r="N13" s="326"/>
      <c r="O13" s="326"/>
      <c r="P13" s="326"/>
      <c r="Q13" s="326"/>
      <c r="R13" s="326"/>
      <c r="S13" s="326"/>
      <c r="T13" s="326"/>
      <c r="U13" s="326"/>
      <c r="V13" s="326"/>
      <c r="W13" s="326"/>
      <c r="X13" s="326"/>
      <c r="Y13" s="326"/>
    </row>
    <row r="14" hidden="1">
      <c r="A14" s="327" t="str">
        <f>Raw!A14</f>
        <v>13 / D7</v>
      </c>
      <c r="B14" s="328" t="str">
        <f>Raw!AQ14</f>
        <v>vacuum blower</v>
      </c>
      <c r="C14" s="323" t="str">
        <f>Display_All!AC14</f>
        <v>600 (E)</v>
      </c>
      <c r="D14" s="324">
        <f>Display_All!AP14</f>
        <v>3.383448276</v>
      </c>
      <c r="E14" s="325" t="str">
        <f>Display_All!AX14</f>
        <v>?</v>
      </c>
      <c r="F14" s="326"/>
      <c r="G14" s="326"/>
      <c r="H14" s="326"/>
      <c r="I14" s="326"/>
      <c r="J14" s="326"/>
      <c r="K14" s="326"/>
      <c r="L14" s="326"/>
      <c r="M14" s="326"/>
      <c r="N14" s="326"/>
      <c r="O14" s="326"/>
      <c r="P14" s="326"/>
      <c r="Q14" s="326"/>
      <c r="R14" s="326"/>
      <c r="S14" s="326"/>
      <c r="T14" s="326"/>
      <c r="U14" s="326"/>
      <c r="V14" s="326"/>
      <c r="W14" s="326"/>
      <c r="X14" s="326"/>
      <c r="Y14" s="326"/>
    </row>
    <row r="15">
      <c r="A15" s="327">
        <f>Raw!A15</f>
        <v>14</v>
      </c>
      <c r="B15" s="328" t="str">
        <f>Raw!AQ15</f>
        <v>vacuum blower</v>
      </c>
      <c r="C15" s="323" t="str">
        <f>Display_All!AC15</f>
        <v>800 (E)</v>
      </c>
      <c r="D15" s="324">
        <f>Display_All!AP15</f>
        <v>3.912432432</v>
      </c>
      <c r="E15" s="325">
        <f>Display_All!AX15</f>
        <v>0.6923076923</v>
      </c>
      <c r="F15" s="326"/>
      <c r="G15" s="326"/>
      <c r="H15" s="326"/>
      <c r="I15" s="326"/>
      <c r="J15" s="326"/>
      <c r="K15" s="326"/>
      <c r="L15" s="326"/>
      <c r="M15" s="326"/>
      <c r="N15" s="326"/>
      <c r="O15" s="326"/>
      <c r="P15" s="326"/>
      <c r="Q15" s="326"/>
      <c r="R15" s="326"/>
      <c r="S15" s="326"/>
      <c r="T15" s="326"/>
      <c r="U15" s="326"/>
      <c r="V15" s="326"/>
      <c r="W15" s="326"/>
      <c r="X15" s="326"/>
      <c r="Y15" s="326"/>
    </row>
    <row r="16">
      <c r="A16" s="327">
        <f>Raw!A16</f>
        <v>15</v>
      </c>
      <c r="B16" s="328" t="str">
        <f>Raw!AQ16</f>
        <v>vacuum blower</v>
      </c>
      <c r="C16" s="323" t="str">
        <f>Display_All!AC16</f>
        <v>970</v>
      </c>
      <c r="D16" s="324">
        <f>Display_All!AP16</f>
        <v>2.928275862</v>
      </c>
      <c r="E16" s="325">
        <f>Display_All!AX16</f>
        <v>0.6977138439</v>
      </c>
      <c r="F16" s="326"/>
      <c r="G16" s="326"/>
      <c r="H16" s="326"/>
      <c r="I16" s="326"/>
      <c r="J16" s="326"/>
      <c r="K16" s="326"/>
      <c r="L16" s="326"/>
      <c r="M16" s="326"/>
      <c r="N16" s="326"/>
      <c r="O16" s="326"/>
      <c r="P16" s="326"/>
      <c r="Q16" s="326"/>
      <c r="R16" s="326"/>
      <c r="S16" s="326"/>
      <c r="T16" s="326"/>
      <c r="U16" s="326"/>
      <c r="V16" s="326"/>
      <c r="W16" s="326"/>
      <c r="X16" s="326"/>
      <c r="Y16" s="326"/>
    </row>
    <row r="17">
      <c r="A17" s="327">
        <f>Raw!A17</f>
        <v>16</v>
      </c>
      <c r="B17" s="328" t="str">
        <f>Raw!AQ17</f>
        <v>vacuum blower</v>
      </c>
      <c r="C17" s="323" t="str">
        <f>Display_All!AC17</f>
        <v>970</v>
      </c>
      <c r="D17" s="324">
        <f>Display_All!AP17</f>
        <v>3.186206897</v>
      </c>
      <c r="E17" s="325">
        <f>Display_All!AX17</f>
        <v>0.6401044439</v>
      </c>
      <c r="F17" s="326"/>
      <c r="G17" s="326"/>
      <c r="H17" s="326"/>
      <c r="I17" s="326"/>
      <c r="J17" s="326"/>
      <c r="K17" s="326"/>
      <c r="L17" s="326"/>
      <c r="M17" s="326"/>
      <c r="N17" s="326"/>
      <c r="O17" s="326"/>
      <c r="P17" s="326"/>
      <c r="Q17" s="326"/>
      <c r="R17" s="326"/>
      <c r="S17" s="326"/>
      <c r="T17" s="326"/>
      <c r="U17" s="326"/>
      <c r="V17" s="326"/>
      <c r="W17" s="326"/>
      <c r="X17" s="326"/>
      <c r="Y17" s="326"/>
    </row>
    <row r="18" hidden="1">
      <c r="A18" s="327" t="str">
        <f>Raw!A18</f>
        <v>17 / D8</v>
      </c>
      <c r="B18" s="328" t="str">
        <f>Raw!AQ18</f>
        <v>vacuum blower</v>
      </c>
      <c r="C18" s="323" t="str">
        <f>Display_All!AC18</f>
        <v>1060</v>
      </c>
      <c r="D18" s="324">
        <f>Display_All!AP18</f>
        <v>4.989285714</v>
      </c>
      <c r="E18" s="325">
        <f>Display_All!AX18</f>
        <v>0.3426333823</v>
      </c>
      <c r="F18" s="326"/>
      <c r="G18" s="326"/>
      <c r="H18" s="326"/>
      <c r="I18" s="326"/>
      <c r="J18" s="326"/>
      <c r="K18" s="326"/>
      <c r="L18" s="326"/>
      <c r="M18" s="326"/>
      <c r="N18" s="326"/>
      <c r="O18" s="326"/>
      <c r="P18" s="326"/>
      <c r="Q18" s="326"/>
      <c r="R18" s="326"/>
      <c r="S18" s="326"/>
      <c r="T18" s="326"/>
      <c r="U18" s="326"/>
      <c r="V18" s="326"/>
      <c r="W18" s="326"/>
      <c r="X18" s="326"/>
      <c r="Y18" s="326"/>
    </row>
    <row r="19">
      <c r="A19" s="327" t="str">
        <f>Raw!A19</f>
        <v>18 / D9</v>
      </c>
      <c r="B19" s="328" t="str">
        <f>Raw!AQ19</f>
        <v>Ubber Bellows</v>
      </c>
      <c r="C19" s="323" t="str">
        <f>Display_All!AC19</f>
        <v>600 (E)</v>
      </c>
      <c r="D19" s="324">
        <f>Display_All!AP19</f>
        <v>9.498823529</v>
      </c>
      <c r="E19" s="325">
        <f>Display_All!AX19</f>
        <v>0.2463054187</v>
      </c>
      <c r="F19" s="326"/>
      <c r="G19" s="326"/>
      <c r="H19" s="326"/>
      <c r="I19" s="326"/>
      <c r="J19" s="326"/>
      <c r="K19" s="326"/>
      <c r="L19" s="326"/>
      <c r="M19" s="326"/>
      <c r="N19" s="326"/>
      <c r="O19" s="326"/>
      <c r="P19" s="326"/>
      <c r="Q19" s="326"/>
      <c r="R19" s="326"/>
      <c r="S19" s="326"/>
      <c r="T19" s="326"/>
      <c r="U19" s="326"/>
      <c r="V19" s="326"/>
      <c r="W19" s="326"/>
      <c r="X19" s="326"/>
      <c r="Y19" s="326"/>
    </row>
    <row r="20">
      <c r="A20" s="327">
        <f>Raw!A20</f>
        <v>19</v>
      </c>
      <c r="B20" s="328" t="str">
        <f>Raw!AQ20</f>
        <v>vacuum blower</v>
      </c>
      <c r="C20" s="323" t="str">
        <f>Display_All!AC20</f>
        <v>700</v>
      </c>
      <c r="D20" s="324">
        <f>Display_All!AP20</f>
        <v>7.04</v>
      </c>
      <c r="E20" s="325">
        <f>Display_All!AX20</f>
        <v>0.1868389152</v>
      </c>
      <c r="F20" s="326"/>
      <c r="G20" s="326"/>
      <c r="H20" s="326"/>
      <c r="I20" s="326"/>
      <c r="J20" s="326"/>
      <c r="K20" s="326"/>
      <c r="L20" s="326"/>
      <c r="M20" s="326"/>
      <c r="N20" s="326"/>
      <c r="O20" s="326"/>
      <c r="P20" s="326"/>
      <c r="Q20" s="326"/>
      <c r="R20" s="326"/>
      <c r="S20" s="326"/>
      <c r="T20" s="326"/>
      <c r="U20" s="326"/>
      <c r="V20" s="326"/>
      <c r="W20" s="326"/>
      <c r="X20" s="326"/>
      <c r="Y20" s="326"/>
    </row>
    <row r="21" hidden="1">
      <c r="A21" s="327">
        <f>Raw!A21</f>
        <v>20</v>
      </c>
      <c r="B21" s="328" t="str">
        <f>Raw!AQ21</f>
        <v>electric blower</v>
      </c>
      <c r="C21" s="323" t="str">
        <f>Display_All!AC21</f>
        <v>1000 (E)</v>
      </c>
      <c r="D21" s="324">
        <f>Display_All!AP21</f>
        <v>4.9</v>
      </c>
      <c r="E21" s="325" t="str">
        <f>Display_All!AX21</f>
        <v>NR</v>
      </c>
      <c r="F21" s="326"/>
      <c r="G21" s="326"/>
      <c r="H21" s="326"/>
      <c r="I21" s="326"/>
      <c r="J21" s="326"/>
      <c r="K21" s="326"/>
      <c r="L21" s="326"/>
      <c r="M21" s="326"/>
      <c r="N21" s="326"/>
      <c r="O21" s="326"/>
      <c r="P21" s="326"/>
      <c r="Q21" s="326"/>
      <c r="R21" s="326"/>
      <c r="S21" s="326"/>
      <c r="T21" s="326"/>
      <c r="U21" s="326"/>
      <c r="V21" s="326"/>
      <c r="W21" s="326"/>
      <c r="X21" s="326"/>
      <c r="Y21" s="326"/>
    </row>
    <row r="22" hidden="1">
      <c r="A22" s="327" t="str">
        <f>Raw!A22</f>
        <v>21 / D10</v>
      </c>
      <c r="B22" s="328" t="str">
        <f>Raw!AQ22</f>
        <v>vacuum blower</v>
      </c>
      <c r="C22" s="323" t="str">
        <f>Display_All!AC22</f>
        <v>1060</v>
      </c>
      <c r="D22" s="324">
        <f>Display_All!AP22</f>
        <v>6.363636364</v>
      </c>
      <c r="E22" s="325" t="str">
        <f>Display_All!AX22</f>
        <v>na</v>
      </c>
      <c r="F22" s="326"/>
      <c r="G22" s="326"/>
      <c r="H22" s="326"/>
      <c r="I22" s="326"/>
      <c r="J22" s="326"/>
      <c r="K22" s="326"/>
      <c r="L22" s="326"/>
      <c r="M22" s="326"/>
      <c r="N22" s="326"/>
      <c r="O22" s="326"/>
      <c r="P22" s="326"/>
      <c r="Q22" s="326"/>
      <c r="R22" s="326"/>
      <c r="S22" s="326"/>
      <c r="T22" s="326"/>
      <c r="U22" s="326"/>
      <c r="V22" s="326"/>
      <c r="W22" s="326"/>
      <c r="X22" s="326"/>
      <c r="Y22" s="326"/>
    </row>
    <row r="23" hidden="1">
      <c r="A23" s="327">
        <f>Raw!A23</f>
        <v>22</v>
      </c>
      <c r="B23" s="328" t="str">
        <f>Raw!AQ23</f>
        <v>vacuum blower</v>
      </c>
      <c r="C23" s="323" t="str">
        <f>Display_All!AC23</f>
        <v>1060</v>
      </c>
      <c r="D23" s="324">
        <f>Display_All!AP23</f>
        <v>3.618421053</v>
      </c>
      <c r="E23" s="325" t="str">
        <f>Display_All!AX23</f>
        <v>?</v>
      </c>
      <c r="F23" s="326"/>
      <c r="G23" s="326"/>
      <c r="H23" s="326"/>
      <c r="I23" s="326"/>
      <c r="J23" s="326"/>
      <c r="K23" s="326"/>
      <c r="L23" s="326"/>
      <c r="M23" s="326"/>
      <c r="N23" s="326"/>
      <c r="O23" s="326"/>
      <c r="P23" s="326"/>
      <c r="Q23" s="326"/>
      <c r="R23" s="326"/>
      <c r="S23" s="326"/>
      <c r="T23" s="326"/>
      <c r="U23" s="326"/>
      <c r="V23" s="326"/>
      <c r="W23" s="326"/>
      <c r="X23" s="326"/>
      <c r="Y23" s="326"/>
    </row>
    <row r="24">
      <c r="A24" s="327">
        <f>Raw!A24</f>
        <v>23</v>
      </c>
      <c r="B24" s="328" t="str">
        <f>Raw!AQ24</f>
        <v>vacuum blower</v>
      </c>
      <c r="C24" s="323" t="str">
        <f>Display_All!AC24</f>
        <v>800</v>
      </c>
      <c r="D24" s="324">
        <f>Display_All!AP24</f>
        <v>4.447826087</v>
      </c>
      <c r="E24" s="325">
        <f>Display_All!AX24</f>
        <v>0.8293371142</v>
      </c>
      <c r="F24" s="326"/>
      <c r="G24" s="326"/>
      <c r="H24" s="326"/>
      <c r="I24" s="326"/>
      <c r="J24" s="326"/>
      <c r="K24" s="326"/>
      <c r="L24" s="326"/>
      <c r="M24" s="326"/>
      <c r="N24" s="326"/>
      <c r="O24" s="326"/>
      <c r="P24" s="326"/>
      <c r="Q24" s="326"/>
      <c r="R24" s="326"/>
      <c r="S24" s="326"/>
      <c r="T24" s="326"/>
      <c r="U24" s="326"/>
      <c r="V24" s="326"/>
      <c r="W24" s="326"/>
      <c r="X24" s="326"/>
      <c r="Y24" s="326"/>
    </row>
    <row r="25">
      <c r="A25" s="327" t="str">
        <f>Raw!A25</f>
        <v>24 / D11</v>
      </c>
      <c r="B25" s="328" t="str">
        <f>Raw!AQ25</f>
        <v>vacuum blower</v>
      </c>
      <c r="C25" s="323" t="str">
        <f>Display_All!AC25</f>
        <v>900</v>
      </c>
      <c r="D25" s="324">
        <f>Display_All!AP25</f>
        <v>5.247916667</v>
      </c>
      <c r="E25" s="325">
        <f>Display_All!AX25</f>
        <v>0.09922583875</v>
      </c>
      <c r="F25" s="326"/>
      <c r="G25" s="326"/>
      <c r="H25" s="326"/>
      <c r="I25" s="326"/>
      <c r="J25" s="326"/>
      <c r="K25" s="326"/>
      <c r="L25" s="326"/>
      <c r="M25" s="326"/>
      <c r="N25" s="326"/>
      <c r="O25" s="326"/>
      <c r="P25" s="326"/>
      <c r="Q25" s="326"/>
      <c r="R25" s="326"/>
      <c r="S25" s="326"/>
      <c r="T25" s="326"/>
      <c r="U25" s="326"/>
      <c r="V25" s="326"/>
      <c r="W25" s="326"/>
      <c r="X25" s="326"/>
      <c r="Y25" s="326"/>
    </row>
    <row r="26" hidden="1">
      <c r="A26" s="327" t="str">
        <f>Raw!A26</f>
        <v>25 / D12</v>
      </c>
      <c r="B26" s="328" t="str">
        <f>Raw!AQ26</f>
        <v>vacuum blower</v>
      </c>
      <c r="C26" s="323" t="str">
        <f>Display_All!AC26</f>
        <v>900</v>
      </c>
      <c r="D26" s="324">
        <f>Display_All!AP26</f>
        <v>4.308333333</v>
      </c>
      <c r="E26" s="325">
        <f>Display_All!AX26</f>
        <v>0.2275563385</v>
      </c>
      <c r="F26" s="326"/>
      <c r="G26" s="326"/>
      <c r="H26" s="326"/>
      <c r="I26" s="326"/>
      <c r="J26" s="326"/>
      <c r="K26" s="326"/>
      <c r="L26" s="326"/>
      <c r="M26" s="326"/>
      <c r="N26" s="326"/>
      <c r="O26" s="326"/>
      <c r="P26" s="326"/>
      <c r="Q26" s="326"/>
      <c r="R26" s="326"/>
      <c r="S26" s="326"/>
      <c r="T26" s="326"/>
      <c r="U26" s="326"/>
      <c r="V26" s="326"/>
      <c r="W26" s="326"/>
      <c r="X26" s="326"/>
      <c r="Y26" s="326"/>
    </row>
    <row r="27">
      <c r="A27" s="327">
        <f>Raw!A27</f>
        <v>26</v>
      </c>
      <c r="B27" s="328" t="str">
        <f>Raw!AQ27</f>
        <v>vacuum blower</v>
      </c>
      <c r="C27" s="323" t="str">
        <f>Display_All!AC27</f>
        <v>800</v>
      </c>
      <c r="D27" s="324">
        <f>Display_All!AP27</f>
        <v>3.85665529</v>
      </c>
      <c r="E27" s="325">
        <f>Display_All!AX27</f>
        <v>0.7103598097</v>
      </c>
      <c r="F27" s="326"/>
      <c r="G27" s="326"/>
      <c r="H27" s="326"/>
      <c r="I27" s="326"/>
      <c r="J27" s="326"/>
      <c r="K27" s="326"/>
      <c r="L27" s="326"/>
      <c r="M27" s="326"/>
      <c r="N27" s="326"/>
      <c r="O27" s="326"/>
      <c r="P27" s="326"/>
      <c r="Q27" s="326"/>
      <c r="R27" s="326"/>
      <c r="S27" s="326"/>
      <c r="T27" s="326"/>
      <c r="U27" s="326"/>
      <c r="V27" s="326"/>
      <c r="W27" s="326"/>
      <c r="X27" s="326"/>
      <c r="Y27" s="326"/>
    </row>
    <row r="28">
      <c r="A28" s="327" t="str">
        <f>Raw!A28</f>
        <v>27 / D13</v>
      </c>
      <c r="B28" s="328" t="str">
        <f>Raw!AQ28</f>
        <v>vacuum blower</v>
      </c>
      <c r="C28" s="323" t="str">
        <f>Display_All!AC28</f>
        <v>410</v>
      </c>
      <c r="D28" s="324">
        <f>Display_All!AP28</f>
        <v>13.16056911</v>
      </c>
      <c r="E28" s="325">
        <f>Display_All!AX28</f>
        <v>0.2528417421</v>
      </c>
      <c r="F28" s="326"/>
      <c r="G28" s="326"/>
      <c r="H28" s="326"/>
      <c r="I28" s="326"/>
      <c r="J28" s="326"/>
      <c r="K28" s="326"/>
      <c r="L28" s="326"/>
      <c r="M28" s="326"/>
      <c r="N28" s="326"/>
      <c r="O28" s="326"/>
      <c r="P28" s="326"/>
      <c r="Q28" s="326"/>
      <c r="R28" s="326"/>
      <c r="S28" s="326"/>
      <c r="T28" s="326"/>
      <c r="U28" s="326"/>
      <c r="V28" s="326"/>
      <c r="W28" s="326"/>
      <c r="X28" s="326"/>
      <c r="Y28" s="326"/>
    </row>
    <row r="29">
      <c r="A29" s="327">
        <f>Raw!A29</f>
        <v>28</v>
      </c>
      <c r="B29" s="328" t="str">
        <f>Raw!AQ29</f>
        <v>vacuum blower</v>
      </c>
      <c r="C29" s="323" t="str">
        <f>Display_All!AC29</f>
        <v>770</v>
      </c>
      <c r="D29" s="324">
        <f>Display_All!AP29</f>
        <v>4.179166667</v>
      </c>
      <c r="E29" s="325">
        <f>Display_All!AX29</f>
        <v>0.4820080685</v>
      </c>
      <c r="F29" s="326"/>
      <c r="G29" s="326"/>
      <c r="H29" s="326"/>
      <c r="I29" s="326"/>
      <c r="J29" s="326"/>
      <c r="K29" s="326"/>
      <c r="L29" s="326"/>
      <c r="M29" s="326"/>
      <c r="N29" s="326"/>
      <c r="O29" s="326"/>
      <c r="P29" s="326"/>
      <c r="Q29" s="326"/>
      <c r="R29" s="326"/>
      <c r="S29" s="326"/>
      <c r="T29" s="326"/>
      <c r="U29" s="326"/>
      <c r="V29" s="326"/>
      <c r="W29" s="326"/>
      <c r="X29" s="326"/>
      <c r="Y29" s="326"/>
    </row>
    <row r="30">
      <c r="A30" s="327">
        <f>Raw!A30</f>
        <v>29</v>
      </c>
      <c r="B30" s="328" t="str">
        <f>Raw!AQ30</f>
        <v>electric blower</v>
      </c>
      <c r="C30" s="323" t="str">
        <f>Display_All!AC30</f>
        <v>NR</v>
      </c>
      <c r="D30" s="324">
        <f>Display_All!AP30</f>
        <v>7.486868687</v>
      </c>
      <c r="E30" s="325">
        <f>Display_All!AX30</f>
        <v>0.4122938531</v>
      </c>
      <c r="F30" s="326"/>
      <c r="G30" s="326"/>
      <c r="H30" s="326"/>
      <c r="I30" s="326"/>
      <c r="J30" s="326"/>
      <c r="K30" s="326"/>
      <c r="L30" s="326"/>
      <c r="M30" s="326"/>
      <c r="N30" s="326"/>
      <c r="O30" s="326"/>
      <c r="P30" s="326"/>
      <c r="Q30" s="326"/>
      <c r="R30" s="326"/>
      <c r="S30" s="326"/>
      <c r="T30" s="326"/>
      <c r="U30" s="326"/>
      <c r="V30" s="326"/>
      <c r="W30" s="326"/>
      <c r="X30" s="326"/>
      <c r="Y30" s="326"/>
    </row>
    <row r="31">
      <c r="A31" s="327">
        <f>Raw!A31</f>
        <v>30</v>
      </c>
      <c r="B31" s="328" t="str">
        <f>Raw!AQ31</f>
        <v>electric blower</v>
      </c>
      <c r="C31" s="323" t="str">
        <f>Display_All!AC31</f>
        <v>NR</v>
      </c>
      <c r="D31" s="324">
        <f>Display_All!AP31</f>
        <v>6.9</v>
      </c>
      <c r="E31" s="325">
        <f>Display_All!AX31</f>
        <v>0.1129393685</v>
      </c>
      <c r="F31" s="326"/>
      <c r="G31" s="326"/>
      <c r="H31" s="326"/>
      <c r="I31" s="326"/>
      <c r="J31" s="326"/>
      <c r="K31" s="326"/>
      <c r="L31" s="326"/>
      <c r="M31" s="326"/>
      <c r="N31" s="326"/>
      <c r="O31" s="326"/>
      <c r="P31" s="326"/>
      <c r="Q31" s="326"/>
      <c r="R31" s="326"/>
      <c r="S31" s="326"/>
      <c r="T31" s="326"/>
      <c r="U31" s="326"/>
      <c r="V31" s="326"/>
      <c r="W31" s="326"/>
      <c r="X31" s="326"/>
      <c r="Y31" s="326"/>
    </row>
    <row r="32">
      <c r="A32" s="327">
        <f>Raw!A32</f>
        <v>31</v>
      </c>
      <c r="B32" s="328" t="str">
        <f>Raw!AQ32</f>
        <v>electric blower</v>
      </c>
      <c r="C32" s="323" t="str">
        <f>Display_All!AC32</f>
        <v>NR</v>
      </c>
      <c r="D32" s="324">
        <f>Display_All!AP32</f>
        <v>6.015428571</v>
      </c>
      <c r="E32" s="325">
        <f>Display_All!AX32</f>
        <v>0.2853553533</v>
      </c>
      <c r="F32" s="326"/>
      <c r="G32" s="326"/>
      <c r="H32" s="326"/>
      <c r="I32" s="326"/>
      <c r="J32" s="326"/>
      <c r="K32" s="326"/>
      <c r="L32" s="326"/>
      <c r="M32" s="326"/>
      <c r="N32" s="326"/>
      <c r="O32" s="326"/>
      <c r="P32" s="326"/>
      <c r="Q32" s="326"/>
      <c r="R32" s="326"/>
      <c r="S32" s="326"/>
      <c r="T32" s="326"/>
      <c r="U32" s="326"/>
      <c r="V32" s="326"/>
      <c r="W32" s="326"/>
      <c r="X32" s="326"/>
      <c r="Y32" s="326"/>
    </row>
    <row r="33">
      <c r="A33" s="327" t="str">
        <f>Raw!A33</f>
        <v>32 / D14</v>
      </c>
      <c r="B33" s="328" t="str">
        <f>Raw!AQ33</f>
        <v>electric blower</v>
      </c>
      <c r="C33" s="323" t="str">
        <f>Display_All!AC33</f>
        <v>365 to 450</v>
      </c>
      <c r="D33" s="324">
        <f>Display_All!AP33</f>
        <v>7.05</v>
      </c>
      <c r="E33" s="325">
        <f>Display_All!AX33</f>
        <v>0.2229260737</v>
      </c>
      <c r="F33" s="326"/>
      <c r="G33" s="326"/>
      <c r="H33" s="326"/>
      <c r="I33" s="326"/>
      <c r="J33" s="326"/>
      <c r="K33" s="326"/>
      <c r="L33" s="326"/>
      <c r="M33" s="326"/>
      <c r="N33" s="326"/>
      <c r="O33" s="326"/>
      <c r="P33" s="326"/>
      <c r="Q33" s="326"/>
      <c r="R33" s="326"/>
      <c r="S33" s="326"/>
      <c r="T33" s="326"/>
      <c r="U33" s="326"/>
      <c r="V33" s="326"/>
      <c r="W33" s="326"/>
      <c r="X33" s="326"/>
      <c r="Y33" s="326"/>
    </row>
    <row r="34" hidden="1">
      <c r="A34" s="327">
        <f>Raw!A34</f>
        <v>33</v>
      </c>
      <c r="B34" s="328" t="str">
        <f>Raw!AQ34</f>
        <v>danish vacuum</v>
      </c>
      <c r="C34" s="323" t="str">
        <f>Display_All!AC34</f>
        <v>1000</v>
      </c>
      <c r="D34" s="324">
        <f>Display_All!AP34</f>
        <v>10.5</v>
      </c>
      <c r="E34" s="325" t="str">
        <f>Display_All!AX34</f>
        <v>na</v>
      </c>
      <c r="F34" s="326"/>
      <c r="G34" s="326"/>
      <c r="H34" s="326"/>
      <c r="I34" s="326"/>
      <c r="J34" s="326"/>
      <c r="K34" s="326"/>
      <c r="L34" s="326"/>
      <c r="M34" s="326"/>
      <c r="N34" s="326"/>
      <c r="O34" s="326"/>
      <c r="P34" s="326"/>
      <c r="Q34" s="326"/>
      <c r="R34" s="326"/>
      <c r="S34" s="326"/>
      <c r="T34" s="326"/>
      <c r="U34" s="326"/>
      <c r="V34" s="326"/>
      <c r="W34" s="326"/>
      <c r="X34" s="326"/>
      <c r="Y34" s="326"/>
    </row>
    <row r="35" hidden="1">
      <c r="A35" s="327">
        <f>Raw!A35</f>
        <v>34</v>
      </c>
      <c r="B35" s="328" t="str">
        <f>Raw!AQ35</f>
        <v>danish vacuum</v>
      </c>
      <c r="C35" s="323" t="str">
        <f>Display_All!AC35</f>
        <v>1000</v>
      </c>
      <c r="D35" s="324">
        <f>Display_All!AP35</f>
        <v>7</v>
      </c>
      <c r="E35" s="325" t="str">
        <f>Display_All!AX35</f>
        <v>?</v>
      </c>
      <c r="F35" s="326"/>
      <c r="G35" s="326"/>
      <c r="H35" s="326"/>
      <c r="I35" s="326"/>
      <c r="J35" s="326"/>
      <c r="K35" s="326"/>
      <c r="L35" s="326"/>
      <c r="M35" s="326"/>
      <c r="N35" s="326"/>
      <c r="O35" s="326"/>
      <c r="P35" s="326"/>
      <c r="Q35" s="326"/>
      <c r="R35" s="326"/>
      <c r="S35" s="326"/>
      <c r="T35" s="326"/>
      <c r="U35" s="326"/>
      <c r="V35" s="326"/>
      <c r="W35" s="326"/>
      <c r="X35" s="326"/>
      <c r="Y35" s="326"/>
    </row>
    <row r="36" hidden="1">
      <c r="A36" s="327">
        <f>Raw!A36</f>
        <v>35</v>
      </c>
      <c r="B36" s="328" t="str">
        <f>Raw!AQ36</f>
        <v>danish vacuum</v>
      </c>
      <c r="C36" s="323" t="str">
        <f>Display_All!AC36</f>
        <v>1000</v>
      </c>
      <c r="D36" s="324">
        <f>Display_All!AP36</f>
        <v>11.84615385</v>
      </c>
      <c r="E36" s="325" t="str">
        <f>Display_All!AX36</f>
        <v>?</v>
      </c>
      <c r="F36" s="326"/>
      <c r="G36" s="326"/>
      <c r="H36" s="326"/>
      <c r="I36" s="326"/>
      <c r="J36" s="326"/>
      <c r="K36" s="326"/>
      <c r="L36" s="326"/>
      <c r="M36" s="326"/>
      <c r="N36" s="326"/>
      <c r="O36" s="326"/>
      <c r="P36" s="326"/>
      <c r="Q36" s="326"/>
      <c r="R36" s="326"/>
      <c r="S36" s="326"/>
      <c r="T36" s="326"/>
      <c r="U36" s="326"/>
      <c r="V36" s="326"/>
      <c r="W36" s="326"/>
      <c r="X36" s="326"/>
      <c r="Y36" s="326"/>
    </row>
    <row r="37">
      <c r="A37" s="327" t="str">
        <f>Raw!A37</f>
        <v>36 / D15</v>
      </c>
      <c r="B37" s="328" t="str">
        <f>Raw!AQ37</f>
        <v>electric blower</v>
      </c>
      <c r="C37" s="323" t="str">
        <f>Display_All!AC37</f>
        <v>660 to 780</v>
      </c>
      <c r="D37" s="324">
        <f>Display_All!AP37</f>
        <v>5.873015873</v>
      </c>
      <c r="E37" s="325">
        <f>Display_All!AX37</f>
        <v>0.190601793</v>
      </c>
      <c r="F37" s="326"/>
      <c r="G37" s="326"/>
      <c r="H37" s="326"/>
      <c r="I37" s="326"/>
      <c r="J37" s="326"/>
      <c r="K37" s="326"/>
      <c r="L37" s="326"/>
      <c r="M37" s="326"/>
      <c r="N37" s="326"/>
      <c r="O37" s="326"/>
      <c r="P37" s="326"/>
      <c r="Q37" s="326"/>
      <c r="R37" s="326"/>
      <c r="S37" s="326"/>
      <c r="T37" s="326"/>
      <c r="U37" s="326"/>
      <c r="V37" s="326"/>
      <c r="W37" s="326"/>
      <c r="X37" s="326"/>
      <c r="Y37" s="326"/>
    </row>
    <row r="38">
      <c r="A38" s="327">
        <f>Raw!A38</f>
        <v>37</v>
      </c>
      <c r="B38" s="328" t="str">
        <f>Raw!AQ38</f>
        <v>electric blower</v>
      </c>
      <c r="C38" s="323" t="str">
        <f>Display_All!AC38</f>
        <v>800</v>
      </c>
      <c r="D38" s="324">
        <f>Display_All!AP38</f>
        <v>5.637065637</v>
      </c>
      <c r="E38" s="325">
        <f>Display_All!AX38</f>
        <v>0.5266116815</v>
      </c>
      <c r="F38" s="326"/>
      <c r="G38" s="326"/>
      <c r="H38" s="326"/>
      <c r="I38" s="326"/>
      <c r="J38" s="326"/>
      <c r="K38" s="326"/>
      <c r="L38" s="326"/>
      <c r="M38" s="326"/>
      <c r="N38" s="326"/>
      <c r="O38" s="326"/>
      <c r="P38" s="326"/>
      <c r="Q38" s="326"/>
      <c r="R38" s="326"/>
      <c r="S38" s="326"/>
      <c r="T38" s="326"/>
      <c r="U38" s="326"/>
      <c r="V38" s="326"/>
      <c r="W38" s="326"/>
      <c r="X38" s="326"/>
      <c r="Y38" s="326"/>
    </row>
    <row r="39">
      <c r="A39" s="327" t="str">
        <f>Raw!A39</f>
        <v>38 / D16</v>
      </c>
      <c r="B39" s="328" t="str">
        <f>Raw!AQ39</f>
        <v>electric blower</v>
      </c>
      <c r="C39" s="323" t="str">
        <f>Display_All!AC39</f>
        <v>625 to 740</v>
      </c>
      <c r="D39" s="324">
        <f>Display_All!AP39</f>
        <v>7.417417417</v>
      </c>
      <c r="E39" s="325">
        <f>Display_All!AX39</f>
        <v>0.3646483494</v>
      </c>
      <c r="F39" s="326"/>
      <c r="G39" s="326"/>
      <c r="H39" s="326"/>
      <c r="I39" s="326"/>
      <c r="J39" s="326"/>
      <c r="K39" s="326"/>
      <c r="L39" s="326"/>
      <c r="M39" s="326"/>
      <c r="N39" s="326"/>
      <c r="O39" s="326"/>
      <c r="P39" s="326"/>
      <c r="Q39" s="326"/>
      <c r="R39" s="326"/>
      <c r="S39" s="326"/>
      <c r="T39" s="326"/>
      <c r="U39" s="326"/>
      <c r="V39" s="326"/>
      <c r="W39" s="326"/>
      <c r="X39" s="326"/>
      <c r="Y39" s="326"/>
    </row>
    <row r="40">
      <c r="A40" s="327" t="str">
        <f>Raw!A40</f>
        <v>39 / D17</v>
      </c>
      <c r="B40" s="328" t="str">
        <f>Raw!AQ40</f>
        <v>electric blower</v>
      </c>
      <c r="C40" s="323" t="str">
        <f>Display_All!AC40</f>
        <v>400 to 1000</v>
      </c>
      <c r="D40" s="324">
        <f>Display_All!AP40</f>
        <v>5.970588235</v>
      </c>
      <c r="E40" s="325">
        <f>Display_All!AX40</f>
        <v>0.2259346745</v>
      </c>
      <c r="F40" s="326"/>
      <c r="G40" s="326"/>
      <c r="H40" s="326"/>
      <c r="I40" s="326"/>
      <c r="J40" s="326"/>
      <c r="K40" s="326"/>
      <c r="L40" s="326"/>
      <c r="M40" s="326"/>
      <c r="N40" s="326"/>
      <c r="O40" s="326"/>
      <c r="P40" s="326"/>
      <c r="Q40" s="326"/>
      <c r="R40" s="326"/>
      <c r="S40" s="326"/>
      <c r="T40" s="326"/>
      <c r="U40" s="326"/>
      <c r="V40" s="326"/>
      <c r="W40" s="326"/>
      <c r="X40" s="326"/>
      <c r="Y40" s="326"/>
    </row>
    <row r="41">
      <c r="A41" s="327" t="str">
        <f>Raw!A41</f>
        <v>40 / D18</v>
      </c>
      <c r="B41" s="328" t="str">
        <f>Raw!AQ41</f>
        <v>electric blower</v>
      </c>
      <c r="C41" s="323" t="str">
        <f>Display_All!AC41</f>
        <v>640</v>
      </c>
      <c r="D41" s="324">
        <f>Display_All!AP41</f>
        <v>6.755263158</v>
      </c>
      <c r="E41" s="325">
        <f>Display_All!AX41</f>
        <v>0.4759105126</v>
      </c>
      <c r="F41" s="326"/>
      <c r="G41" s="326"/>
      <c r="H41" s="326"/>
      <c r="I41" s="326"/>
      <c r="J41" s="326"/>
      <c r="K41" s="326"/>
      <c r="L41" s="326"/>
      <c r="M41" s="326"/>
      <c r="N41" s="326"/>
      <c r="O41" s="326"/>
      <c r="P41" s="326"/>
      <c r="Q41" s="326"/>
      <c r="R41" s="326"/>
      <c r="S41" s="326"/>
      <c r="T41" s="326"/>
      <c r="U41" s="326"/>
      <c r="V41" s="326"/>
      <c r="W41" s="326"/>
      <c r="X41" s="326"/>
      <c r="Y41" s="326"/>
    </row>
    <row r="42">
      <c r="A42" s="327" t="str">
        <f>Raw!A42</f>
        <v>41 / D19</v>
      </c>
      <c r="B42" s="328" t="str">
        <f>Raw!AQ42</f>
        <v>box / electric</v>
      </c>
      <c r="C42" s="323" t="str">
        <f>Display_All!AC42</f>
        <v>900 (E)</v>
      </c>
      <c r="D42" s="324">
        <f>Display_All!AP42</f>
        <v>7.196969697</v>
      </c>
      <c r="E42" s="325">
        <f>Display_All!AX42</f>
        <v>0.4459513724</v>
      </c>
      <c r="F42" s="326"/>
      <c r="G42" s="326"/>
      <c r="H42" s="326"/>
      <c r="I42" s="326"/>
      <c r="J42" s="326"/>
      <c r="K42" s="326"/>
      <c r="L42" s="326"/>
      <c r="M42" s="326"/>
      <c r="N42" s="326"/>
      <c r="O42" s="326"/>
      <c r="P42" s="326"/>
      <c r="Q42" s="326"/>
      <c r="R42" s="326"/>
      <c r="S42" s="326"/>
      <c r="T42" s="326"/>
      <c r="U42" s="326"/>
      <c r="V42" s="326"/>
      <c r="W42" s="326"/>
      <c r="X42" s="326"/>
      <c r="Y42" s="326"/>
    </row>
    <row r="43">
      <c r="A43" s="327" t="str">
        <f>Raw!A43</f>
        <v>42 / D20</v>
      </c>
      <c r="B43" s="328" t="str">
        <f>Raw!AQ43</f>
        <v>smelt bellows</v>
      </c>
      <c r="C43" s="323" t="str">
        <f>Display_All!AC43</f>
        <v>700 (E)</v>
      </c>
      <c r="D43" s="324">
        <f>Display_All!AP43</f>
        <v>8.863636364</v>
      </c>
      <c r="E43" s="325">
        <f>Display_All!AX43</f>
        <v>0.2816613238</v>
      </c>
      <c r="F43" s="326"/>
      <c r="G43" s="326"/>
      <c r="H43" s="326"/>
      <c r="I43" s="326"/>
      <c r="J43" s="326"/>
      <c r="K43" s="326"/>
      <c r="L43" s="326"/>
      <c r="M43" s="326"/>
      <c r="N43" s="326"/>
      <c r="O43" s="326"/>
      <c r="P43" s="326"/>
      <c r="Q43" s="326"/>
      <c r="R43" s="326"/>
      <c r="S43" s="326"/>
      <c r="T43" s="326"/>
      <c r="U43" s="326"/>
      <c r="V43" s="326"/>
      <c r="W43" s="326"/>
      <c r="X43" s="326"/>
      <c r="Y43" s="326"/>
    </row>
    <row r="44">
      <c r="A44" s="327" t="str">
        <f>Raw!A44</f>
        <v>43 / D21</v>
      </c>
      <c r="B44" s="328" t="str">
        <f>Raw!AQ44</f>
        <v>smelt bellows</v>
      </c>
      <c r="C44" s="323" t="str">
        <f>Display_All!AC44</f>
        <v>700 (E)</v>
      </c>
      <c r="D44" s="324" t="str">
        <f>Display_All!AP44</f>
        <v>NR</v>
      </c>
      <c r="E44" s="325">
        <f>Display_All!AX44</f>
        <v>0.1380782443</v>
      </c>
      <c r="F44" s="326"/>
      <c r="G44" s="326"/>
      <c r="H44" s="326"/>
      <c r="I44" s="326"/>
      <c r="J44" s="326"/>
      <c r="K44" s="326"/>
      <c r="L44" s="326"/>
      <c r="M44" s="326"/>
      <c r="N44" s="326"/>
      <c r="O44" s="326"/>
      <c r="P44" s="326"/>
      <c r="Q44" s="326"/>
      <c r="R44" s="326"/>
      <c r="S44" s="326"/>
      <c r="T44" s="326"/>
      <c r="U44" s="326"/>
      <c r="V44" s="326"/>
      <c r="W44" s="326"/>
      <c r="X44" s="326"/>
      <c r="Y44" s="326"/>
    </row>
    <row r="45">
      <c r="A45" s="327" t="str">
        <f>Raw!A45</f>
        <v>44 / D22</v>
      </c>
      <c r="B45" s="328" t="str">
        <f>Raw!AQ45</f>
        <v>smelt bellows</v>
      </c>
      <c r="C45" s="323" t="str">
        <f>Display_All!AC45</f>
        <v>700 (E)</v>
      </c>
      <c r="D45" s="324">
        <f>Display_All!AP45</f>
        <v>8.12244898</v>
      </c>
      <c r="E45" s="325">
        <f>Display_All!AX45</f>
        <v>0.2447539779</v>
      </c>
      <c r="F45" s="326"/>
      <c r="G45" s="326"/>
      <c r="H45" s="326"/>
      <c r="I45" s="326"/>
      <c r="J45" s="326"/>
      <c r="K45" s="326"/>
      <c r="L45" s="326"/>
      <c r="M45" s="326"/>
      <c r="N45" s="326"/>
      <c r="O45" s="326"/>
      <c r="P45" s="326"/>
      <c r="Q45" s="326"/>
      <c r="R45" s="326"/>
      <c r="S45" s="326"/>
      <c r="T45" s="326"/>
      <c r="U45" s="326"/>
      <c r="V45" s="326"/>
      <c r="W45" s="326"/>
      <c r="X45" s="326"/>
      <c r="Y45" s="326"/>
    </row>
    <row r="46">
      <c r="A46" s="327" t="str">
        <f>Raw!A46</f>
        <v>45 / D23</v>
      </c>
      <c r="B46" s="328" t="str">
        <f>Raw!AQ46</f>
        <v>electric blower</v>
      </c>
      <c r="C46" s="323" t="str">
        <f>Display_All!AC46</f>
        <v>800 to 900</v>
      </c>
      <c r="D46" s="324">
        <f>Display_All!AP46</f>
        <v>5.593869732</v>
      </c>
      <c r="E46" s="325">
        <f>Display_All!AX46</f>
        <v>0.5157508202</v>
      </c>
      <c r="F46" s="326"/>
      <c r="G46" s="326"/>
      <c r="H46" s="326"/>
      <c r="I46" s="326"/>
      <c r="J46" s="326"/>
      <c r="K46" s="326"/>
      <c r="L46" s="326"/>
      <c r="M46" s="326"/>
      <c r="N46" s="326"/>
      <c r="O46" s="326"/>
      <c r="P46" s="326"/>
      <c r="Q46" s="326"/>
      <c r="R46" s="326"/>
      <c r="S46" s="326"/>
      <c r="T46" s="326"/>
      <c r="U46" s="326"/>
      <c r="V46" s="326"/>
      <c r="W46" s="326"/>
      <c r="X46" s="326"/>
      <c r="Y46" s="326"/>
    </row>
    <row r="47" hidden="1">
      <c r="A47" s="327">
        <f>Raw!A47</f>
        <v>46</v>
      </c>
      <c r="B47" s="328" t="str">
        <f>Raw!AQ47</f>
        <v>passive</v>
      </c>
      <c r="C47" s="323" t="str">
        <f>Display_All!AC47</f>
        <v>?</v>
      </c>
      <c r="D47" s="324">
        <f>Display_All!AP47</f>
        <v>5.58893617</v>
      </c>
      <c r="E47" s="325" t="str">
        <f>Display_All!AX47</f>
        <v>na</v>
      </c>
      <c r="F47" s="326"/>
      <c r="G47" s="326"/>
      <c r="H47" s="326"/>
      <c r="I47" s="326"/>
      <c r="J47" s="326"/>
      <c r="K47" s="326"/>
      <c r="L47" s="326"/>
      <c r="M47" s="326"/>
      <c r="N47" s="326"/>
      <c r="O47" s="326"/>
      <c r="P47" s="326"/>
      <c r="Q47" s="326"/>
      <c r="R47" s="326"/>
      <c r="S47" s="326"/>
      <c r="T47" s="326"/>
      <c r="U47" s="326"/>
      <c r="V47" s="326"/>
      <c r="W47" s="326"/>
      <c r="X47" s="326"/>
      <c r="Y47" s="326"/>
    </row>
    <row r="48">
      <c r="A48" s="327">
        <f>Raw!A48</f>
        <v>47</v>
      </c>
      <c r="B48" s="328" t="str">
        <f>Raw!AQ48</f>
        <v>electric blower</v>
      </c>
      <c r="C48" s="323" t="str">
        <f>Display_All!AC48</f>
        <v>850</v>
      </c>
      <c r="D48" s="324">
        <f>Display_All!AP48</f>
        <v>9.365079365</v>
      </c>
      <c r="E48" s="325">
        <f>Display_All!AX48</f>
        <v>0.1301460964</v>
      </c>
      <c r="F48" s="326"/>
      <c r="G48" s="326"/>
      <c r="H48" s="326"/>
      <c r="I48" s="326"/>
      <c r="J48" s="326"/>
      <c r="K48" s="326"/>
      <c r="L48" s="326"/>
      <c r="M48" s="326"/>
      <c r="N48" s="326"/>
      <c r="O48" s="326"/>
      <c r="P48" s="326"/>
      <c r="Q48" s="326"/>
      <c r="R48" s="326"/>
      <c r="S48" s="326"/>
      <c r="T48" s="326"/>
      <c r="U48" s="326"/>
      <c r="V48" s="326"/>
      <c r="W48" s="326"/>
      <c r="X48" s="326"/>
      <c r="Y48" s="326"/>
    </row>
    <row r="49">
      <c r="A49" s="327" t="str">
        <f>Raw!A49</f>
        <v>D24</v>
      </c>
      <c r="B49" s="328" t="str">
        <f>Raw!AQ49</f>
        <v>electric blower</v>
      </c>
      <c r="C49" s="323" t="str">
        <f>Display_All!AC49</f>
        <v>900</v>
      </c>
      <c r="D49" s="324">
        <f>Display_All!AP49</f>
        <v>5.195195195</v>
      </c>
      <c r="E49" s="325">
        <f>Display_All!AX49</f>
        <v>0.243470808</v>
      </c>
      <c r="F49" s="326"/>
      <c r="G49" s="326"/>
      <c r="H49" s="326"/>
      <c r="I49" s="326"/>
      <c r="J49" s="326"/>
      <c r="K49" s="326"/>
      <c r="L49" s="326"/>
      <c r="M49" s="326"/>
      <c r="N49" s="326"/>
      <c r="O49" s="326"/>
      <c r="P49" s="326"/>
      <c r="Q49" s="326"/>
      <c r="R49" s="326"/>
      <c r="S49" s="326"/>
      <c r="T49" s="326"/>
      <c r="U49" s="326"/>
      <c r="V49" s="326"/>
      <c r="W49" s="326"/>
      <c r="X49" s="326"/>
      <c r="Y49" s="326"/>
    </row>
    <row r="50">
      <c r="A50" s="327" t="str">
        <f>Raw!A50</f>
        <v>D25</v>
      </c>
      <c r="B50" s="328" t="str">
        <f>Raw!AQ50</f>
        <v>electric blower</v>
      </c>
      <c r="C50" s="323" t="str">
        <f>Display_All!AC50</f>
        <v>900</v>
      </c>
      <c r="D50" s="324">
        <f>Display_All!AP50</f>
        <v>6.893939394</v>
      </c>
      <c r="E50" s="325">
        <f>Display_All!AX50</f>
        <v>0.3368778467</v>
      </c>
      <c r="F50" s="326"/>
      <c r="G50" s="326"/>
      <c r="H50" s="326"/>
      <c r="I50" s="326"/>
      <c r="J50" s="326"/>
      <c r="K50" s="326"/>
      <c r="L50" s="326"/>
      <c r="M50" s="326"/>
      <c r="N50" s="326"/>
      <c r="O50" s="326"/>
      <c r="P50" s="326"/>
      <c r="Q50" s="326"/>
      <c r="R50" s="326"/>
      <c r="S50" s="326"/>
      <c r="T50" s="326"/>
      <c r="U50" s="326"/>
      <c r="V50" s="326"/>
      <c r="W50" s="326"/>
      <c r="X50" s="326"/>
      <c r="Y50" s="326"/>
    </row>
    <row r="51" hidden="1">
      <c r="A51" s="327" t="str">
        <f>Raw!A51</f>
        <v>48 / D26</v>
      </c>
      <c r="B51" s="328" t="str">
        <f>Raw!AQ51</f>
        <v>electric blower</v>
      </c>
      <c r="C51" s="323" t="str">
        <f>Display_All!AC51</f>
        <v>800</v>
      </c>
      <c r="D51" s="324">
        <f>Display_All!AP51</f>
        <v>5.206030151</v>
      </c>
      <c r="E51" s="325" t="str">
        <f>Display_All!AX51</f>
        <v>na</v>
      </c>
      <c r="F51" s="326"/>
      <c r="G51" s="326"/>
      <c r="H51" s="326"/>
      <c r="I51" s="326"/>
      <c r="J51" s="326"/>
      <c r="K51" s="326"/>
      <c r="L51" s="326"/>
      <c r="M51" s="326"/>
      <c r="N51" s="326"/>
      <c r="O51" s="326"/>
      <c r="P51" s="326"/>
      <c r="Q51" s="326"/>
      <c r="R51" s="326"/>
      <c r="S51" s="326"/>
      <c r="T51" s="326"/>
      <c r="U51" s="326"/>
      <c r="V51" s="326"/>
      <c r="W51" s="326"/>
      <c r="X51" s="326"/>
      <c r="Y51" s="326"/>
    </row>
    <row r="52">
      <c r="A52" s="327">
        <f>Raw!A52</f>
        <v>49</v>
      </c>
      <c r="B52" s="328" t="str">
        <f>Raw!AQ52</f>
        <v>electric blower</v>
      </c>
      <c r="C52" s="323" t="str">
        <f>Display_All!AC52</f>
        <v>900</v>
      </c>
      <c r="D52" s="324">
        <f>Display_All!AP52</f>
        <v>5.399239544</v>
      </c>
      <c r="E52" s="325">
        <f>Display_All!AX52</f>
        <v>0.5097091214</v>
      </c>
      <c r="F52" s="326"/>
      <c r="G52" s="326"/>
      <c r="H52" s="326"/>
      <c r="I52" s="326"/>
      <c r="J52" s="326"/>
      <c r="K52" s="326"/>
      <c r="L52" s="326"/>
      <c r="M52" s="326"/>
      <c r="N52" s="326"/>
      <c r="O52" s="326"/>
      <c r="P52" s="326"/>
      <c r="Q52" s="326"/>
      <c r="R52" s="326"/>
      <c r="S52" s="326"/>
      <c r="T52" s="326"/>
      <c r="U52" s="326"/>
      <c r="V52" s="326"/>
      <c r="W52" s="326"/>
      <c r="X52" s="326"/>
      <c r="Y52" s="326"/>
    </row>
    <row r="53">
      <c r="A53" s="327">
        <f>Raw!A53</f>
        <v>50</v>
      </c>
      <c r="B53" s="328" t="str">
        <f>Raw!AQ53</f>
        <v>electric blower</v>
      </c>
      <c r="C53" s="323" t="str">
        <f>Display_All!AC53</f>
        <v>800</v>
      </c>
      <c r="D53" s="324">
        <f>Display_All!AP53</f>
        <v>8.728046833</v>
      </c>
      <c r="E53" s="325">
        <f>Display_All!AX53</f>
        <v>0.5469822695</v>
      </c>
      <c r="F53" s="326"/>
      <c r="G53" s="326"/>
      <c r="H53" s="326"/>
      <c r="I53" s="326"/>
      <c r="J53" s="326"/>
      <c r="K53" s="326"/>
      <c r="L53" s="326"/>
      <c r="M53" s="326"/>
      <c r="N53" s="326"/>
      <c r="O53" s="326"/>
      <c r="P53" s="326"/>
      <c r="Q53" s="326"/>
      <c r="R53" s="326"/>
      <c r="S53" s="326"/>
      <c r="T53" s="326"/>
      <c r="U53" s="326"/>
      <c r="V53" s="326"/>
      <c r="W53" s="326"/>
      <c r="X53" s="326"/>
      <c r="Y53" s="326"/>
    </row>
    <row r="54">
      <c r="A54" s="327" t="str">
        <f>Raw!A54</f>
        <v>51 / D27</v>
      </c>
      <c r="B54" s="328" t="str">
        <f>Raw!AQ54</f>
        <v>electric blower</v>
      </c>
      <c r="C54" s="323" t="str">
        <f>Display_All!AC54</f>
        <v>800</v>
      </c>
      <c r="D54" s="324">
        <f>Display_All!AP54</f>
        <v>8.296296296</v>
      </c>
      <c r="E54" s="325">
        <f>Display_All!AX54</f>
        <v>0.3482170441</v>
      </c>
      <c r="F54" s="326"/>
      <c r="G54" s="326"/>
      <c r="H54" s="326"/>
      <c r="I54" s="326"/>
      <c r="J54" s="326"/>
      <c r="K54" s="326"/>
      <c r="L54" s="326"/>
      <c r="M54" s="326"/>
      <c r="N54" s="326"/>
      <c r="O54" s="326"/>
      <c r="P54" s="326"/>
      <c r="Q54" s="326"/>
      <c r="R54" s="326"/>
      <c r="S54" s="326"/>
      <c r="T54" s="326"/>
      <c r="U54" s="326"/>
      <c r="V54" s="326"/>
      <c r="W54" s="326"/>
      <c r="X54" s="326"/>
      <c r="Y54" s="326"/>
    </row>
    <row r="55">
      <c r="A55" s="327">
        <f>Raw!A55</f>
        <v>52</v>
      </c>
      <c r="B55" s="328" t="str">
        <f>Raw!AQ55</f>
        <v>electric blower</v>
      </c>
      <c r="C55" s="323" t="str">
        <f>Display_All!AC55</f>
        <v>800</v>
      </c>
      <c r="D55" s="324">
        <f>Display_All!AP55</f>
        <v>7.537537538</v>
      </c>
      <c r="E55" s="325">
        <f>Display_All!AX55</f>
        <v>0.3911172987</v>
      </c>
      <c r="F55" s="326"/>
      <c r="G55" s="326"/>
      <c r="H55" s="326"/>
      <c r="I55" s="326"/>
      <c r="J55" s="326"/>
      <c r="K55" s="326"/>
      <c r="L55" s="326"/>
      <c r="M55" s="326"/>
      <c r="N55" s="326"/>
      <c r="O55" s="326"/>
      <c r="P55" s="326"/>
      <c r="Q55" s="326"/>
      <c r="R55" s="326"/>
      <c r="S55" s="326"/>
      <c r="T55" s="326"/>
      <c r="U55" s="326"/>
      <c r="V55" s="326"/>
      <c r="W55" s="326"/>
      <c r="X55" s="326"/>
      <c r="Y55" s="326"/>
    </row>
    <row r="56">
      <c r="A56" s="327">
        <f>Raw!A56</f>
        <v>53</v>
      </c>
      <c r="B56" s="328" t="str">
        <f>Raw!AQ56</f>
        <v>electric blower</v>
      </c>
      <c r="C56" s="323" t="str">
        <f>Display_All!AC56</f>
        <v>900</v>
      </c>
      <c r="D56" s="324">
        <f>Display_All!AP56</f>
        <v>5.789473684</v>
      </c>
      <c r="E56" s="325">
        <f>Display_All!AX56</f>
        <v>0.3670549466</v>
      </c>
      <c r="F56" s="326"/>
      <c r="G56" s="326"/>
      <c r="H56" s="326"/>
      <c r="I56" s="326"/>
      <c r="J56" s="326"/>
      <c r="K56" s="326"/>
      <c r="L56" s="326"/>
      <c r="M56" s="326"/>
      <c r="N56" s="326"/>
      <c r="O56" s="326"/>
      <c r="P56" s="326"/>
      <c r="Q56" s="326"/>
      <c r="R56" s="326"/>
      <c r="S56" s="326"/>
      <c r="T56" s="326"/>
      <c r="U56" s="326"/>
      <c r="V56" s="326"/>
      <c r="W56" s="326"/>
      <c r="X56" s="326"/>
      <c r="Y56" s="326"/>
    </row>
    <row r="57" hidden="1">
      <c r="A57" s="327">
        <f>Raw!A57</f>
        <v>54</v>
      </c>
      <c r="B57" s="328" t="str">
        <f>Raw!AQ57</f>
        <v>electric blower</v>
      </c>
      <c r="C57" s="323" t="str">
        <f>Display_All!AC57</f>
        <v>800</v>
      </c>
      <c r="D57" s="324">
        <f>Display_All!AP57</f>
        <v>5.243764172</v>
      </c>
      <c r="E57" s="325" t="str">
        <f>Display_All!AX57</f>
        <v>?</v>
      </c>
      <c r="F57" s="326"/>
      <c r="G57" s="326"/>
      <c r="H57" s="326"/>
      <c r="I57" s="326"/>
      <c r="J57" s="326"/>
      <c r="K57" s="326"/>
      <c r="L57" s="326"/>
      <c r="M57" s="326"/>
      <c r="N57" s="326"/>
      <c r="O57" s="326"/>
      <c r="P57" s="326"/>
      <c r="Q57" s="326"/>
      <c r="R57" s="326"/>
      <c r="S57" s="326"/>
      <c r="T57" s="326"/>
      <c r="U57" s="326"/>
      <c r="V57" s="326"/>
      <c r="W57" s="326"/>
      <c r="X57" s="326"/>
      <c r="Y57" s="326"/>
    </row>
    <row r="58">
      <c r="A58" s="327">
        <f>Raw!A58</f>
        <v>55</v>
      </c>
      <c r="B58" s="328" t="str">
        <f>Raw!AQ58</f>
        <v>electric blower</v>
      </c>
      <c r="C58" s="323" t="str">
        <f>Display_All!AC58</f>
        <v>1000</v>
      </c>
      <c r="D58" s="324">
        <f>Display_All!AP58</f>
        <v>6.642857143</v>
      </c>
      <c r="E58" s="325">
        <f>Display_All!AX58</f>
        <v>0.2282842826</v>
      </c>
      <c r="F58" s="326"/>
      <c r="G58" s="326"/>
      <c r="H58" s="326"/>
      <c r="I58" s="326"/>
      <c r="J58" s="326"/>
      <c r="K58" s="326"/>
      <c r="L58" s="326"/>
      <c r="M58" s="326"/>
      <c r="N58" s="326"/>
      <c r="O58" s="326"/>
      <c r="P58" s="326"/>
      <c r="Q58" s="326"/>
      <c r="R58" s="326"/>
      <c r="S58" s="326"/>
      <c r="T58" s="326"/>
      <c r="U58" s="326"/>
      <c r="V58" s="326"/>
      <c r="W58" s="326"/>
      <c r="X58" s="326"/>
      <c r="Y58" s="326"/>
    </row>
    <row r="59">
      <c r="A59" s="327">
        <f>Raw!A59</f>
        <v>56</v>
      </c>
      <c r="B59" s="328" t="str">
        <f>Raw!AQ59</f>
        <v>electric blower</v>
      </c>
      <c r="C59" s="323" t="str">
        <f>Display_All!AC59</f>
        <v>540</v>
      </c>
      <c r="D59" s="324">
        <f>Display_All!AP59</f>
        <v>5.617977528</v>
      </c>
      <c r="E59" s="325">
        <f>Display_All!AX59</f>
        <v>0.3273679198</v>
      </c>
      <c r="F59" s="326"/>
      <c r="G59" s="326"/>
      <c r="H59" s="326"/>
      <c r="I59" s="326"/>
      <c r="J59" s="326"/>
      <c r="K59" s="326"/>
      <c r="L59" s="326"/>
      <c r="M59" s="326"/>
      <c r="N59" s="326"/>
      <c r="O59" s="326"/>
      <c r="P59" s="326"/>
      <c r="Q59" s="326"/>
      <c r="R59" s="326"/>
      <c r="S59" s="326"/>
      <c r="T59" s="326"/>
      <c r="U59" s="326"/>
      <c r="V59" s="326"/>
      <c r="W59" s="326"/>
      <c r="X59" s="326"/>
      <c r="Y59" s="326"/>
    </row>
    <row r="60">
      <c r="A60" s="327">
        <f>Raw!A60</f>
        <v>57</v>
      </c>
      <c r="B60" s="328" t="str">
        <f>Raw!AQ60</f>
        <v>leaf blower 1</v>
      </c>
      <c r="C60" s="323" t="str">
        <f>Display_All!AC60</f>
        <v>?</v>
      </c>
      <c r="D60" s="324">
        <f>Display_All!AP60</f>
        <v>5.447368421</v>
      </c>
      <c r="E60" s="325">
        <f>Display_All!AX60</f>
        <v>0.1841806621</v>
      </c>
      <c r="F60" s="326"/>
      <c r="G60" s="326"/>
      <c r="H60" s="326"/>
      <c r="I60" s="326"/>
      <c r="J60" s="326"/>
      <c r="K60" s="326"/>
      <c r="L60" s="326"/>
      <c r="M60" s="326"/>
      <c r="N60" s="326"/>
      <c r="O60" s="326"/>
      <c r="P60" s="326"/>
      <c r="Q60" s="326"/>
      <c r="R60" s="326"/>
      <c r="S60" s="326"/>
      <c r="T60" s="326"/>
      <c r="U60" s="326"/>
      <c r="V60" s="326"/>
      <c r="W60" s="326"/>
      <c r="X60" s="326"/>
      <c r="Y60" s="326"/>
    </row>
    <row r="61">
      <c r="A61" s="327">
        <f>Raw!A61</f>
        <v>58</v>
      </c>
      <c r="B61" s="328" t="str">
        <f>Raw!AQ61</f>
        <v>leaf blower 1</v>
      </c>
      <c r="C61" s="323" t="str">
        <f>Display_All!AC61</f>
        <v>?</v>
      </c>
      <c r="D61" s="324">
        <f>Display_All!AP61</f>
        <v>8.05</v>
      </c>
      <c r="E61" s="325">
        <f>Display_All!AX61</f>
        <v>0.1961712195</v>
      </c>
      <c r="F61" s="326"/>
      <c r="G61" s="326"/>
      <c r="H61" s="326"/>
      <c r="I61" s="326"/>
      <c r="J61" s="326"/>
      <c r="K61" s="326"/>
      <c r="L61" s="326"/>
      <c r="M61" s="326"/>
      <c r="N61" s="326"/>
      <c r="O61" s="326"/>
      <c r="P61" s="326"/>
      <c r="Q61" s="326"/>
      <c r="R61" s="326"/>
      <c r="S61" s="326"/>
      <c r="T61" s="326"/>
      <c r="U61" s="326"/>
      <c r="V61" s="326"/>
      <c r="W61" s="326"/>
      <c r="X61" s="326"/>
      <c r="Y61" s="326"/>
    </row>
    <row r="62">
      <c r="A62" s="327">
        <f>Raw!A62</f>
        <v>59</v>
      </c>
      <c r="B62" s="328" t="str">
        <f>Raw!AQ62</f>
        <v>leaf blower 2</v>
      </c>
      <c r="C62" s="323" t="str">
        <f>Display_All!AC62</f>
        <v>?</v>
      </c>
      <c r="D62" s="324">
        <f>Display_All!AP62</f>
        <v>6.973684211</v>
      </c>
      <c r="E62" s="325">
        <f>Display_All!AX62</f>
        <v>0.445812696</v>
      </c>
      <c r="F62" s="326"/>
      <c r="G62" s="326"/>
      <c r="H62" s="326"/>
      <c r="I62" s="326"/>
      <c r="J62" s="326"/>
      <c r="K62" s="326"/>
      <c r="L62" s="326"/>
      <c r="M62" s="326"/>
      <c r="N62" s="326"/>
      <c r="O62" s="326"/>
      <c r="P62" s="326"/>
      <c r="Q62" s="326"/>
      <c r="R62" s="326"/>
      <c r="S62" s="326"/>
      <c r="T62" s="326"/>
      <c r="U62" s="326"/>
      <c r="V62" s="326"/>
      <c r="W62" s="326"/>
      <c r="X62" s="326"/>
      <c r="Y62" s="326"/>
    </row>
    <row r="63" hidden="1">
      <c r="A63" s="329" t="str">
        <f>Raw!A63</f>
        <v>T1</v>
      </c>
      <c r="B63" s="330" t="str">
        <f>Raw!AQ63</f>
        <v>leaf blower 2</v>
      </c>
      <c r="C63" s="330" t="str">
        <f>Raw!AT63</f>
        <v/>
      </c>
      <c r="D63" s="331" t="str">
        <f>Raw!CA63</f>
        <v/>
      </c>
      <c r="E63" s="332" t="str">
        <f>Raw!CX63</f>
        <v>?</v>
      </c>
      <c r="F63" s="326"/>
      <c r="G63" s="326"/>
      <c r="H63" s="326"/>
      <c r="I63" s="326"/>
      <c r="J63" s="326"/>
      <c r="K63" s="326"/>
      <c r="L63" s="326"/>
      <c r="M63" s="326"/>
      <c r="N63" s="326"/>
      <c r="O63" s="326"/>
      <c r="P63" s="326"/>
      <c r="Q63" s="326"/>
      <c r="R63" s="326"/>
      <c r="S63" s="326"/>
      <c r="T63" s="326"/>
      <c r="U63" s="326"/>
      <c r="V63" s="326"/>
      <c r="W63" s="326"/>
      <c r="X63" s="326"/>
      <c r="Y63" s="326"/>
    </row>
    <row r="64">
      <c r="A64" s="327" t="str">
        <f>Raw!A64</f>
        <v>60 / D28</v>
      </c>
      <c r="B64" s="328" t="str">
        <f>Raw!AQ64</f>
        <v>electric blower</v>
      </c>
      <c r="C64" s="323" t="str">
        <f>Display_All!AC64</f>
        <v>1400- (E)</v>
      </c>
      <c r="D64" s="324">
        <f>Display_All!AP64</f>
        <v>6.895604396</v>
      </c>
      <c r="E64" s="325">
        <f>Display_All!AX64</f>
        <v>0.4421137902</v>
      </c>
      <c r="F64" s="326"/>
      <c r="G64" s="326"/>
      <c r="H64" s="326"/>
      <c r="I64" s="326"/>
      <c r="J64" s="326"/>
      <c r="K64" s="326"/>
      <c r="L64" s="326"/>
      <c r="M64" s="326"/>
      <c r="N64" s="326"/>
      <c r="O64" s="326"/>
      <c r="P64" s="326"/>
      <c r="Q64" s="326"/>
      <c r="R64" s="326"/>
      <c r="S64" s="326"/>
      <c r="T64" s="326"/>
      <c r="U64" s="326"/>
      <c r="V64" s="326"/>
      <c r="W64" s="326"/>
      <c r="X64" s="326"/>
      <c r="Y64" s="326"/>
    </row>
    <row r="65">
      <c r="A65" s="327" t="str">
        <f>Raw!A65</f>
        <v>61 / D29</v>
      </c>
      <c r="B65" s="328" t="str">
        <f>Raw!AQ65</f>
        <v>electric blower</v>
      </c>
      <c r="C65" s="323" t="str">
        <f>Display_All!AC65</f>
        <v>1000</v>
      </c>
      <c r="D65" s="324">
        <f>Display_All!AP65</f>
        <v>7.867036011</v>
      </c>
      <c r="E65" s="325">
        <f>Display_All!AX65</f>
        <v>0.2509421683</v>
      </c>
      <c r="F65" s="326"/>
      <c r="G65" s="326"/>
      <c r="H65" s="326"/>
      <c r="I65" s="326"/>
      <c r="J65" s="326"/>
      <c r="K65" s="326"/>
      <c r="L65" s="326"/>
      <c r="M65" s="326"/>
      <c r="N65" s="326"/>
      <c r="O65" s="326"/>
      <c r="P65" s="326"/>
      <c r="Q65" s="326"/>
      <c r="R65" s="326"/>
      <c r="S65" s="326"/>
      <c r="T65" s="326"/>
      <c r="U65" s="326"/>
      <c r="V65" s="326"/>
      <c r="W65" s="326"/>
      <c r="X65" s="326"/>
      <c r="Y65" s="326"/>
    </row>
    <row r="66" hidden="1">
      <c r="A66" s="327">
        <f>Raw!A66</f>
        <v>62</v>
      </c>
      <c r="B66" s="328" t="str">
        <f>Raw!AQ66</f>
        <v>electric blower</v>
      </c>
      <c r="C66" s="323" t="str">
        <f>Display_All!AC66</f>
        <v>800</v>
      </c>
      <c r="D66" s="324">
        <f>Display_All!AP66</f>
        <v>6.761363636</v>
      </c>
      <c r="E66" s="325" t="str">
        <f>Display_All!AX66</f>
        <v>NR</v>
      </c>
      <c r="F66" s="326"/>
      <c r="G66" s="326"/>
      <c r="H66" s="326"/>
      <c r="I66" s="326"/>
      <c r="J66" s="326"/>
      <c r="K66" s="326"/>
      <c r="L66" s="326"/>
      <c r="M66" s="326"/>
      <c r="N66" s="326"/>
      <c r="O66" s="326"/>
      <c r="P66" s="326"/>
      <c r="Q66" s="326"/>
      <c r="R66" s="326"/>
      <c r="S66" s="326"/>
      <c r="T66" s="326"/>
      <c r="U66" s="326"/>
      <c r="V66" s="326"/>
      <c r="W66" s="326"/>
      <c r="X66" s="326"/>
      <c r="Y66" s="326"/>
    </row>
    <row r="67">
      <c r="A67" s="327">
        <f>Raw!A67</f>
        <v>63</v>
      </c>
      <c r="B67" s="328" t="str">
        <f>Raw!AQ67</f>
        <v>multiple twin</v>
      </c>
      <c r="C67" s="323" t="str">
        <f>Display_All!AC67</f>
        <v>NR</v>
      </c>
      <c r="D67" s="324">
        <f>Display_All!AP67</f>
        <v>19.44444444</v>
      </c>
      <c r="E67" s="325">
        <f>Display_All!AX67</f>
        <v>0.4663758511</v>
      </c>
      <c r="F67" s="326"/>
      <c r="G67" s="326"/>
      <c r="H67" s="326"/>
      <c r="I67" s="326"/>
      <c r="J67" s="326"/>
      <c r="K67" s="326"/>
      <c r="L67" s="326"/>
      <c r="M67" s="326"/>
      <c r="N67" s="326"/>
      <c r="O67" s="326"/>
      <c r="P67" s="326"/>
      <c r="Q67" s="326"/>
      <c r="R67" s="326"/>
      <c r="S67" s="326"/>
      <c r="T67" s="326"/>
      <c r="U67" s="326"/>
      <c r="V67" s="326"/>
      <c r="W67" s="326"/>
      <c r="X67" s="326"/>
      <c r="Y67" s="326"/>
    </row>
    <row r="68" hidden="1">
      <c r="A68" s="327">
        <f>Raw!A68</f>
        <v>64</v>
      </c>
      <c r="B68" s="328" t="str">
        <f>Raw!AQ68</f>
        <v>danish vacuum</v>
      </c>
      <c r="C68" s="323" t="str">
        <f>Display_All!AC68</f>
        <v>?</v>
      </c>
      <c r="D68" s="324">
        <f>Display_All!AP68</f>
        <v>5.857142857</v>
      </c>
      <c r="E68" s="325" t="str">
        <f>Display_All!AX68</f>
        <v>?</v>
      </c>
      <c r="F68" s="326"/>
      <c r="G68" s="326"/>
      <c r="H68" s="326"/>
      <c r="I68" s="326"/>
      <c r="J68" s="326"/>
      <c r="K68" s="326"/>
      <c r="L68" s="326"/>
      <c r="M68" s="326"/>
      <c r="N68" s="326"/>
      <c r="O68" s="326"/>
      <c r="P68" s="326"/>
      <c r="Q68" s="326"/>
      <c r="R68" s="326"/>
      <c r="S68" s="326"/>
      <c r="T68" s="326"/>
      <c r="U68" s="326"/>
      <c r="V68" s="326"/>
      <c r="W68" s="326"/>
      <c r="X68" s="326"/>
      <c r="Y68" s="326"/>
    </row>
    <row r="69" hidden="1">
      <c r="A69" s="327">
        <f>Raw!A69</f>
        <v>65</v>
      </c>
      <c r="B69" s="328" t="str">
        <f>Raw!AQ69</f>
        <v>danish vacuum</v>
      </c>
      <c r="C69" s="323" t="str">
        <f>Display_All!AC69</f>
        <v>?</v>
      </c>
      <c r="D69" s="324">
        <f>Display_All!AP69</f>
        <v>5.80952381</v>
      </c>
      <c r="E69" s="325" t="str">
        <f>Display_All!AX69</f>
        <v>?</v>
      </c>
      <c r="F69" s="326"/>
      <c r="G69" s="326"/>
      <c r="H69" s="326"/>
      <c r="I69" s="326"/>
      <c r="J69" s="326"/>
      <c r="K69" s="326"/>
      <c r="L69" s="326"/>
      <c r="M69" s="326"/>
      <c r="N69" s="326"/>
      <c r="O69" s="326"/>
      <c r="P69" s="326"/>
      <c r="Q69" s="326"/>
      <c r="R69" s="326"/>
      <c r="S69" s="326"/>
      <c r="T69" s="326"/>
      <c r="U69" s="326"/>
      <c r="V69" s="326"/>
      <c r="W69" s="326"/>
      <c r="X69" s="326"/>
      <c r="Y69" s="326"/>
    </row>
    <row r="70" hidden="1">
      <c r="A70" s="327">
        <f>Raw!A70</f>
        <v>66</v>
      </c>
      <c r="B70" s="328" t="str">
        <f>Raw!AQ70</f>
        <v>leaf blower 2</v>
      </c>
      <c r="C70" s="323" t="str">
        <f>Display_All!AC70</f>
        <v>?</v>
      </c>
      <c r="D70" s="324">
        <f>Display_All!AP70</f>
        <v>8.253968254</v>
      </c>
      <c r="E70" s="325" t="str">
        <f>Display_All!AX70</f>
        <v>?</v>
      </c>
      <c r="F70" s="326"/>
      <c r="G70" s="326"/>
      <c r="H70" s="326"/>
      <c r="I70" s="326"/>
      <c r="J70" s="326"/>
      <c r="K70" s="326"/>
      <c r="L70" s="326"/>
      <c r="M70" s="326"/>
      <c r="N70" s="326"/>
      <c r="O70" s="326"/>
      <c r="P70" s="326"/>
      <c r="Q70" s="326"/>
      <c r="R70" s="326"/>
      <c r="S70" s="326"/>
      <c r="T70" s="326"/>
      <c r="U70" s="326"/>
      <c r="V70" s="326"/>
      <c r="W70" s="326"/>
      <c r="X70" s="326"/>
      <c r="Y70" s="326"/>
    </row>
    <row r="71">
      <c r="A71" s="327">
        <f>Raw!A71</f>
        <v>67</v>
      </c>
      <c r="B71" s="328" t="str">
        <f>Raw!AQ71</f>
        <v>leaf blower 2</v>
      </c>
      <c r="C71" s="323" t="str">
        <f>Display_All!AC71</f>
        <v>?</v>
      </c>
      <c r="D71" s="324">
        <f>Display_All!AP71</f>
        <v>4.700854701</v>
      </c>
      <c r="E71" s="325">
        <f>Display_All!AX71</f>
        <v>0.07516238748</v>
      </c>
      <c r="F71" s="326"/>
      <c r="G71" s="326"/>
      <c r="H71" s="326"/>
      <c r="I71" s="326"/>
      <c r="J71" s="326"/>
      <c r="K71" s="326"/>
      <c r="L71" s="326"/>
      <c r="M71" s="326"/>
      <c r="N71" s="326"/>
      <c r="O71" s="326"/>
      <c r="P71" s="326"/>
      <c r="Q71" s="326"/>
      <c r="R71" s="326"/>
      <c r="S71" s="326"/>
      <c r="T71" s="326"/>
      <c r="U71" s="326"/>
      <c r="V71" s="326"/>
      <c r="W71" s="326"/>
      <c r="X71" s="326"/>
      <c r="Y71" s="326"/>
    </row>
    <row r="72" hidden="1">
      <c r="A72" s="327">
        <f>Raw!A72</f>
        <v>68</v>
      </c>
      <c r="B72" s="328" t="str">
        <f>Raw!AQ72</f>
        <v>leaf blower 2</v>
      </c>
      <c r="C72" s="323" t="str">
        <f>Display_All!AC72</f>
        <v>?</v>
      </c>
      <c r="D72" s="324">
        <f>Display_All!AP72</f>
        <v>4.84375</v>
      </c>
      <c r="E72" s="325" t="str">
        <f>Display_All!AX72</f>
        <v>?</v>
      </c>
      <c r="F72" s="326"/>
      <c r="G72" s="326"/>
      <c r="H72" s="326"/>
      <c r="I72" s="326"/>
      <c r="J72" s="326"/>
      <c r="K72" s="326"/>
      <c r="L72" s="326"/>
      <c r="M72" s="326"/>
      <c r="N72" s="326"/>
      <c r="O72" s="326"/>
      <c r="P72" s="326"/>
      <c r="Q72" s="326"/>
      <c r="R72" s="326"/>
      <c r="S72" s="326"/>
      <c r="T72" s="326"/>
      <c r="U72" s="326"/>
      <c r="V72" s="326"/>
      <c r="W72" s="326"/>
      <c r="X72" s="326"/>
      <c r="Y72" s="326"/>
    </row>
    <row r="73" hidden="1">
      <c r="A73" s="329">
        <f>Raw!A73</f>
        <v>69</v>
      </c>
      <c r="B73" s="330" t="str">
        <f>Raw!AQ73</f>
        <v>shop vac</v>
      </c>
      <c r="C73" s="330" t="str">
        <f>Raw!AT73</f>
        <v/>
      </c>
      <c r="D73" s="331" t="str">
        <f>Raw!CA73</f>
        <v>na</v>
      </c>
      <c r="E73" s="332" t="str">
        <f>Raw!CX73</f>
        <v>?</v>
      </c>
      <c r="F73" s="326"/>
      <c r="G73" s="326"/>
      <c r="H73" s="326"/>
      <c r="I73" s="326"/>
      <c r="J73" s="326"/>
      <c r="K73" s="326"/>
      <c r="L73" s="326"/>
      <c r="M73" s="326"/>
      <c r="N73" s="326"/>
      <c r="O73" s="326"/>
      <c r="P73" s="326"/>
      <c r="Q73" s="326"/>
      <c r="R73" s="326"/>
      <c r="S73" s="326"/>
      <c r="T73" s="326"/>
      <c r="U73" s="326"/>
      <c r="V73" s="326"/>
      <c r="W73" s="326"/>
      <c r="X73" s="326"/>
      <c r="Y73" s="326"/>
    </row>
    <row r="74">
      <c r="A74" s="327" t="str">
        <f>Raw!A74</f>
        <v>70 / D30</v>
      </c>
      <c r="B74" s="328" t="str">
        <f>Raw!AQ74</f>
        <v>electric blower</v>
      </c>
      <c r="C74" s="323" t="str">
        <f>Display_All!AC74</f>
        <v>1400- (E)</v>
      </c>
      <c r="D74" s="324">
        <f>Display_All!AP74</f>
        <v>6.626865672</v>
      </c>
      <c r="E74" s="325">
        <f>Display_All!AX74</f>
        <v>0.1823940603</v>
      </c>
      <c r="F74" s="326"/>
      <c r="G74" s="326"/>
      <c r="H74" s="326"/>
      <c r="I74" s="326"/>
      <c r="J74" s="326"/>
      <c r="K74" s="326"/>
      <c r="L74" s="326"/>
      <c r="M74" s="326"/>
      <c r="N74" s="326"/>
      <c r="O74" s="326"/>
      <c r="P74" s="326"/>
      <c r="Q74" s="326"/>
      <c r="R74" s="326"/>
      <c r="S74" s="326"/>
      <c r="T74" s="326"/>
      <c r="U74" s="326"/>
      <c r="V74" s="326"/>
      <c r="W74" s="326"/>
      <c r="X74" s="326"/>
      <c r="Y74" s="326"/>
    </row>
    <row r="75" hidden="1">
      <c r="A75" s="327">
        <f>Raw!A75</f>
        <v>71</v>
      </c>
      <c r="B75" s="328" t="str">
        <f>Raw!AQ75</f>
        <v>smelt bellows</v>
      </c>
      <c r="C75" s="323" t="str">
        <f>Display_All!AC75</f>
        <v>400 (A) (E)</v>
      </c>
      <c r="D75" s="324">
        <f>Display_All!AP75</f>
        <v>9.722222222</v>
      </c>
      <c r="E75" s="325" t="str">
        <f>Display_All!AX75</f>
        <v>na</v>
      </c>
      <c r="F75" s="326"/>
      <c r="G75" s="326"/>
      <c r="H75" s="326"/>
      <c r="I75" s="326"/>
      <c r="J75" s="326"/>
      <c r="K75" s="326"/>
      <c r="L75" s="326"/>
      <c r="M75" s="326"/>
      <c r="N75" s="326"/>
      <c r="O75" s="326"/>
      <c r="P75" s="326"/>
      <c r="Q75" s="326"/>
      <c r="R75" s="326"/>
      <c r="S75" s="326"/>
      <c r="T75" s="326"/>
      <c r="U75" s="326"/>
      <c r="V75" s="326"/>
      <c r="W75" s="326"/>
      <c r="X75" s="326"/>
      <c r="Y75" s="326"/>
    </row>
    <row r="76">
      <c r="A76" s="327">
        <f>Raw!A76</f>
        <v>72</v>
      </c>
      <c r="B76" s="328" t="str">
        <f>Raw!AQ76</f>
        <v>electric blower</v>
      </c>
      <c r="C76" s="323" t="str">
        <f>Display_All!AC76</f>
        <v>465</v>
      </c>
      <c r="D76" s="324">
        <f>Display_All!AP76</f>
        <v>7.42872807</v>
      </c>
      <c r="E76" s="325">
        <f>Display_All!AX76</f>
        <v>0.435078689</v>
      </c>
      <c r="F76" s="326"/>
      <c r="G76" s="326"/>
      <c r="H76" s="326"/>
      <c r="I76" s="326"/>
      <c r="J76" s="326"/>
      <c r="K76" s="326"/>
      <c r="L76" s="326"/>
      <c r="M76" s="326"/>
      <c r="N76" s="326"/>
      <c r="O76" s="326"/>
      <c r="P76" s="326"/>
      <c r="Q76" s="326"/>
      <c r="R76" s="326"/>
      <c r="S76" s="326"/>
      <c r="T76" s="326"/>
      <c r="U76" s="326"/>
      <c r="V76" s="326"/>
      <c r="W76" s="326"/>
      <c r="X76" s="326"/>
      <c r="Y76" s="326"/>
    </row>
    <row r="77">
      <c r="A77" s="327">
        <f>Raw!A77</f>
        <v>73</v>
      </c>
      <c r="B77" s="328" t="str">
        <f>Raw!AQ77</f>
        <v>smelt bellows</v>
      </c>
      <c r="C77" s="323" t="str">
        <f>Display_All!AC77</f>
        <v>480 (A)</v>
      </c>
      <c r="D77" s="324">
        <f>Display_All!AP77</f>
        <v>12.2324159</v>
      </c>
      <c r="E77" s="325">
        <f>Display_All!AX77</f>
        <v>0.3242267403</v>
      </c>
      <c r="F77" s="326"/>
      <c r="G77" s="326"/>
      <c r="H77" s="326"/>
      <c r="I77" s="326"/>
      <c r="J77" s="326"/>
      <c r="K77" s="326"/>
      <c r="L77" s="326"/>
      <c r="M77" s="326"/>
      <c r="N77" s="326"/>
      <c r="O77" s="326"/>
      <c r="P77" s="326"/>
      <c r="Q77" s="326"/>
      <c r="R77" s="326"/>
      <c r="S77" s="326"/>
      <c r="T77" s="326"/>
      <c r="U77" s="326"/>
      <c r="V77" s="326"/>
      <c r="W77" s="326"/>
      <c r="X77" s="326"/>
      <c r="Y77" s="326"/>
    </row>
    <row r="78">
      <c r="A78" s="327">
        <f>Raw!A78</f>
        <v>74</v>
      </c>
      <c r="B78" s="328" t="str">
        <f>Raw!AQ78</f>
        <v>smelt bellows</v>
      </c>
      <c r="C78" s="323" t="str">
        <f>Display_All!AC78</f>
        <v>500</v>
      </c>
      <c r="D78" s="324">
        <f>Display_All!AP78</f>
        <v>8.5</v>
      </c>
      <c r="E78" s="325">
        <f>Display_All!AX78</f>
        <v>0.3647881206</v>
      </c>
      <c r="F78" s="326"/>
      <c r="G78" s="326"/>
      <c r="H78" s="326"/>
      <c r="I78" s="326"/>
      <c r="J78" s="326"/>
      <c r="K78" s="326"/>
      <c r="L78" s="326"/>
      <c r="M78" s="326"/>
      <c r="N78" s="326"/>
      <c r="O78" s="326"/>
      <c r="P78" s="326"/>
      <c r="Q78" s="326"/>
      <c r="R78" s="326"/>
      <c r="S78" s="326"/>
      <c r="T78" s="326"/>
      <c r="U78" s="326"/>
      <c r="V78" s="326"/>
      <c r="W78" s="326"/>
      <c r="X78" s="326"/>
      <c r="Y78" s="326"/>
    </row>
    <row r="79">
      <c r="A79" s="327">
        <f>Raw!A79</f>
        <v>75</v>
      </c>
      <c r="B79" s="328" t="str">
        <f>Raw!AQ79</f>
        <v>shop vac</v>
      </c>
      <c r="C79" s="323" t="str">
        <f>Display_All!AC79</f>
        <v>NR</v>
      </c>
      <c r="D79" s="324">
        <f>Display_All!AP79</f>
        <v>5.263157895</v>
      </c>
      <c r="E79" s="325">
        <f>Display_All!AX79</f>
        <v>0.2644713874</v>
      </c>
      <c r="F79" s="326"/>
      <c r="G79" s="326"/>
      <c r="H79" s="326"/>
      <c r="I79" s="326"/>
      <c r="J79" s="326"/>
      <c r="K79" s="326"/>
      <c r="L79" s="326"/>
      <c r="M79" s="326"/>
      <c r="N79" s="326"/>
      <c r="O79" s="326"/>
      <c r="P79" s="326"/>
      <c r="Q79" s="326"/>
      <c r="R79" s="326"/>
      <c r="S79" s="326"/>
      <c r="T79" s="326"/>
      <c r="U79" s="326"/>
      <c r="V79" s="326"/>
      <c r="W79" s="326"/>
      <c r="X79" s="326"/>
      <c r="Y79" s="326"/>
    </row>
    <row r="80" hidden="1">
      <c r="A80" s="327">
        <f>Raw!A80</f>
        <v>76</v>
      </c>
      <c r="B80" s="328" t="str">
        <f>Raw!AQ80</f>
        <v>electric blower</v>
      </c>
      <c r="C80" s="323" t="str">
        <f>Display_All!AC80</f>
        <v>900 to 1000</v>
      </c>
      <c r="D80" s="324">
        <f>Display_All!AP80</f>
        <v>7.875816993</v>
      </c>
      <c r="E80" s="325" t="str">
        <f>Display_All!AX80</f>
        <v>?</v>
      </c>
      <c r="F80" s="326"/>
      <c r="G80" s="326"/>
      <c r="H80" s="326"/>
      <c r="I80" s="326"/>
      <c r="J80" s="326"/>
      <c r="K80" s="326"/>
      <c r="L80" s="326"/>
      <c r="M80" s="326"/>
      <c r="N80" s="326"/>
      <c r="O80" s="326"/>
      <c r="P80" s="326"/>
      <c r="Q80" s="326"/>
      <c r="R80" s="326"/>
      <c r="S80" s="326"/>
      <c r="T80" s="326"/>
      <c r="U80" s="326"/>
      <c r="V80" s="326"/>
      <c r="W80" s="326"/>
      <c r="X80" s="326"/>
      <c r="Y80" s="326"/>
    </row>
    <row r="81" hidden="1">
      <c r="A81" s="327">
        <f>Raw!A81</f>
        <v>77</v>
      </c>
      <c r="B81" s="328" t="str">
        <f>Raw!AQ81</f>
        <v>electric blower</v>
      </c>
      <c r="C81" s="323" t="str">
        <f>Display_All!AC81</f>
        <v>900</v>
      </c>
      <c r="D81" s="324">
        <f>Display_All!AP81</f>
        <v>6.695906433</v>
      </c>
      <c r="E81" s="325" t="str">
        <f>Display_All!AX81</f>
        <v>?</v>
      </c>
      <c r="F81" s="326"/>
      <c r="G81" s="326"/>
      <c r="H81" s="326"/>
      <c r="I81" s="326"/>
      <c r="J81" s="326"/>
      <c r="K81" s="326"/>
      <c r="L81" s="326"/>
      <c r="M81" s="326"/>
      <c r="N81" s="326"/>
      <c r="O81" s="326"/>
      <c r="P81" s="326"/>
      <c r="Q81" s="326"/>
      <c r="R81" s="326"/>
      <c r="S81" s="326"/>
      <c r="T81" s="326"/>
      <c r="U81" s="326"/>
      <c r="V81" s="326"/>
      <c r="W81" s="326"/>
      <c r="X81" s="326"/>
      <c r="Y81" s="326"/>
    </row>
    <row r="82">
      <c r="A82" s="327">
        <f>Raw!A82</f>
        <v>78</v>
      </c>
      <c r="B82" s="328" t="str">
        <f>Raw!AQ82</f>
        <v>electric blower</v>
      </c>
      <c r="C82" s="323" t="str">
        <f>Display_All!AC82</f>
        <v>900</v>
      </c>
      <c r="D82" s="324">
        <f>Display_All!AP82</f>
        <v>6.900584795</v>
      </c>
      <c r="E82" s="325">
        <f>Display_All!AX82</f>
        <v>0.3141068181</v>
      </c>
      <c r="F82" s="326"/>
      <c r="G82" s="326"/>
      <c r="H82" s="326"/>
      <c r="I82" s="326"/>
      <c r="J82" s="326"/>
      <c r="K82" s="326"/>
      <c r="L82" s="326"/>
      <c r="M82" s="326"/>
      <c r="N82" s="326"/>
      <c r="O82" s="326"/>
      <c r="P82" s="326"/>
      <c r="Q82" s="326"/>
      <c r="R82" s="326"/>
      <c r="S82" s="326"/>
      <c r="T82" s="326"/>
      <c r="U82" s="326"/>
      <c r="V82" s="326"/>
      <c r="W82" s="326"/>
      <c r="X82" s="326"/>
      <c r="Y82" s="326"/>
    </row>
    <row r="83">
      <c r="A83" s="327">
        <f>Raw!A83</f>
        <v>79</v>
      </c>
      <c r="B83" s="328" t="str">
        <f>Raw!AQ83</f>
        <v>electric blower</v>
      </c>
      <c r="C83" s="323" t="str">
        <f>Display_All!AC83</f>
        <v>1100</v>
      </c>
      <c r="D83" s="324">
        <f>Display_All!AP83</f>
        <v>7.777777778</v>
      </c>
      <c r="E83" s="325">
        <f>Display_All!AX83</f>
        <v>0.5010725634</v>
      </c>
      <c r="F83" s="326"/>
      <c r="G83" s="326"/>
      <c r="H83" s="326"/>
      <c r="I83" s="326"/>
      <c r="J83" s="326"/>
      <c r="K83" s="326"/>
      <c r="L83" s="326"/>
      <c r="M83" s="326"/>
      <c r="N83" s="326"/>
      <c r="O83" s="326"/>
      <c r="P83" s="326"/>
      <c r="Q83" s="326"/>
      <c r="R83" s="326"/>
      <c r="S83" s="326"/>
      <c r="T83" s="326"/>
      <c r="U83" s="326"/>
      <c r="V83" s="326"/>
      <c r="W83" s="326"/>
      <c r="X83" s="326"/>
      <c r="Y83" s="326"/>
    </row>
    <row r="84" hidden="1">
      <c r="A84" s="327">
        <f>Raw!A84</f>
        <v>80</v>
      </c>
      <c r="B84" s="328" t="str">
        <f>Raw!AQ84</f>
        <v>passive</v>
      </c>
      <c r="C84" s="323" t="str">
        <f>Display_All!AC84</f>
        <v>NR</v>
      </c>
      <c r="D84" s="324">
        <f>Display_All!AP84</f>
        <v>9.747474747</v>
      </c>
      <c r="E84" s="325" t="str">
        <f>Display_All!AX84</f>
        <v>na</v>
      </c>
      <c r="F84" s="326"/>
      <c r="G84" s="326"/>
      <c r="H84" s="326"/>
      <c r="I84" s="326"/>
      <c r="J84" s="326"/>
      <c r="K84" s="326"/>
      <c r="L84" s="326"/>
      <c r="M84" s="326"/>
      <c r="N84" s="326"/>
      <c r="O84" s="326"/>
      <c r="P84" s="326"/>
      <c r="Q84" s="326"/>
      <c r="R84" s="326"/>
      <c r="S84" s="326"/>
      <c r="T84" s="326"/>
      <c r="U84" s="326"/>
      <c r="V84" s="326"/>
      <c r="W84" s="326"/>
      <c r="X84" s="326"/>
      <c r="Y84" s="326"/>
    </row>
    <row r="85" hidden="1">
      <c r="A85" s="327">
        <f>Raw!A85</f>
        <v>81</v>
      </c>
      <c r="B85" s="328" t="str">
        <f>Raw!AQ85</f>
        <v>electric blower</v>
      </c>
      <c r="C85" s="323" t="str">
        <f>Display_All!AC85</f>
        <v>800 to 900</v>
      </c>
      <c r="D85" s="324">
        <f>Display_All!AP85</f>
        <v>6.626984127</v>
      </c>
      <c r="E85" s="325" t="str">
        <f>Display_All!AX85</f>
        <v>?</v>
      </c>
      <c r="F85" s="326"/>
      <c r="G85" s="326"/>
      <c r="H85" s="326"/>
      <c r="I85" s="326"/>
      <c r="J85" s="326"/>
      <c r="K85" s="326"/>
      <c r="L85" s="326"/>
      <c r="M85" s="326"/>
      <c r="N85" s="326"/>
      <c r="O85" s="326"/>
      <c r="P85" s="326"/>
      <c r="Q85" s="326"/>
      <c r="R85" s="326"/>
      <c r="S85" s="326"/>
      <c r="T85" s="326"/>
      <c r="U85" s="326"/>
      <c r="V85" s="326"/>
      <c r="W85" s="326"/>
      <c r="X85" s="326"/>
      <c r="Y85" s="326"/>
    </row>
    <row r="86">
      <c r="A86" s="327">
        <f>Raw!A86</f>
        <v>82</v>
      </c>
      <c r="B86" s="328" t="str">
        <f>Raw!AQ86</f>
        <v>electric blower</v>
      </c>
      <c r="C86" s="323" t="str">
        <f>Display_All!AC86</f>
        <v>900</v>
      </c>
      <c r="D86" s="324">
        <f>Display_All!AP86</f>
        <v>7.945478723</v>
      </c>
      <c r="E86" s="325">
        <f>Display_All!AX86</f>
        <v>0.466769741</v>
      </c>
      <c r="F86" s="326"/>
      <c r="G86" s="326"/>
      <c r="H86" s="326"/>
      <c r="I86" s="326"/>
      <c r="J86" s="326"/>
      <c r="K86" s="326"/>
      <c r="L86" s="326"/>
      <c r="M86" s="326"/>
      <c r="N86" s="326"/>
      <c r="O86" s="326"/>
      <c r="P86" s="326"/>
      <c r="Q86" s="326"/>
      <c r="R86" s="326"/>
      <c r="S86" s="326"/>
      <c r="T86" s="326"/>
      <c r="U86" s="326"/>
      <c r="V86" s="326"/>
      <c r="W86" s="326"/>
      <c r="X86" s="326"/>
      <c r="Y86" s="326"/>
    </row>
    <row r="87">
      <c r="A87" s="327">
        <f>Raw!A87</f>
        <v>83</v>
      </c>
      <c r="B87" s="328" t="str">
        <f>Raw!AQ87</f>
        <v>electric blower</v>
      </c>
      <c r="C87" s="323" t="str">
        <f>Display_All!AC87</f>
        <v>1000</v>
      </c>
      <c r="D87" s="324">
        <f>Display_All!AP87</f>
        <v>6.597222222</v>
      </c>
      <c r="E87" s="325">
        <f>Display_All!AX87</f>
        <v>0.4198966175</v>
      </c>
      <c r="F87" s="326"/>
      <c r="G87" s="326"/>
      <c r="H87" s="326"/>
      <c r="I87" s="326"/>
      <c r="J87" s="326"/>
      <c r="K87" s="326"/>
      <c r="L87" s="326"/>
      <c r="M87" s="326"/>
      <c r="N87" s="326"/>
      <c r="O87" s="326"/>
      <c r="P87" s="326"/>
      <c r="Q87" s="326"/>
      <c r="R87" s="326"/>
      <c r="S87" s="326"/>
      <c r="T87" s="326"/>
      <c r="U87" s="326"/>
      <c r="V87" s="326"/>
      <c r="W87" s="326"/>
      <c r="X87" s="326"/>
      <c r="Y87" s="326"/>
    </row>
    <row r="88">
      <c r="A88" s="327">
        <f>Raw!A88</f>
        <v>84</v>
      </c>
      <c r="B88" s="328" t="str">
        <f>Raw!AQ88</f>
        <v>electric blower</v>
      </c>
      <c r="C88" s="323" t="str">
        <f>Display_All!AC88</f>
        <v>1000</v>
      </c>
      <c r="D88" s="324">
        <f>Display_All!AP88</f>
        <v>7.703703704</v>
      </c>
      <c r="E88" s="325">
        <f>Display_All!AX88</f>
        <v>0.4567080669</v>
      </c>
      <c r="F88" s="326"/>
      <c r="G88" s="326"/>
      <c r="H88" s="326"/>
      <c r="I88" s="326"/>
      <c r="J88" s="326"/>
      <c r="K88" s="326"/>
      <c r="L88" s="326"/>
      <c r="M88" s="326"/>
      <c r="N88" s="326"/>
      <c r="O88" s="326"/>
      <c r="P88" s="326"/>
      <c r="Q88" s="326"/>
      <c r="R88" s="326"/>
      <c r="S88" s="326"/>
      <c r="T88" s="326"/>
      <c r="U88" s="326"/>
      <c r="V88" s="326"/>
      <c r="W88" s="326"/>
      <c r="X88" s="326"/>
      <c r="Y88" s="326"/>
    </row>
    <row r="89" hidden="1">
      <c r="A89" s="327" t="str">
        <f>Raw!A89</f>
        <v>85 / D31</v>
      </c>
      <c r="B89" s="328" t="str">
        <f>Raw!AQ89</f>
        <v>electric blower</v>
      </c>
      <c r="C89" s="323" t="str">
        <f>Display_All!AC89</f>
        <v>900 to 1000</v>
      </c>
      <c r="D89" s="324">
        <f>Display_All!AP89</f>
        <v>7.46031746</v>
      </c>
      <c r="E89" s="325" t="str">
        <f>Display_All!AX89</f>
        <v>?</v>
      </c>
      <c r="F89" s="326"/>
      <c r="G89" s="326"/>
      <c r="H89" s="326"/>
      <c r="I89" s="326"/>
      <c r="J89" s="326"/>
      <c r="K89" s="326"/>
      <c r="L89" s="326"/>
      <c r="M89" s="326"/>
      <c r="N89" s="326"/>
      <c r="O89" s="326"/>
      <c r="P89" s="326"/>
      <c r="Q89" s="326"/>
      <c r="R89" s="326"/>
      <c r="S89" s="326"/>
      <c r="T89" s="326"/>
      <c r="U89" s="326"/>
      <c r="V89" s="326"/>
      <c r="W89" s="326"/>
      <c r="X89" s="326"/>
      <c r="Y89" s="326"/>
    </row>
    <row r="90">
      <c r="A90" s="327">
        <f>Raw!A90</f>
        <v>86</v>
      </c>
      <c r="B90" s="328" t="str">
        <f>Raw!AQ90</f>
        <v>electric blower</v>
      </c>
      <c r="C90" s="323" t="str">
        <f>Display_All!AC90</f>
        <v>1200</v>
      </c>
      <c r="D90" s="324">
        <f>Display_All!AP90</f>
        <v>8.259259259</v>
      </c>
      <c r="E90" s="325">
        <f>Display_All!AX90</f>
        <v>0.338595822</v>
      </c>
      <c r="F90" s="326"/>
      <c r="G90" s="326"/>
      <c r="H90" s="326"/>
      <c r="I90" s="326"/>
      <c r="J90" s="326"/>
      <c r="K90" s="326"/>
      <c r="L90" s="326"/>
      <c r="M90" s="326"/>
      <c r="N90" s="326"/>
      <c r="O90" s="326"/>
      <c r="P90" s="326"/>
      <c r="Q90" s="326"/>
      <c r="R90" s="326"/>
      <c r="S90" s="326"/>
      <c r="T90" s="326"/>
      <c r="U90" s="326"/>
      <c r="V90" s="326"/>
      <c r="W90" s="326"/>
      <c r="X90" s="326"/>
      <c r="Y90" s="326"/>
    </row>
    <row r="91" hidden="1">
      <c r="A91" s="327" t="str">
        <f>Raw!A91</f>
        <v>87 / D32</v>
      </c>
      <c r="B91" s="328" t="str">
        <f>Raw!AQ91</f>
        <v>electric blower</v>
      </c>
      <c r="C91" s="323" t="str">
        <f>Display_All!AC91</f>
        <v>900</v>
      </c>
      <c r="D91" s="324">
        <f>Display_All!AP91</f>
        <v>6.835222319</v>
      </c>
      <c r="E91" s="325" t="str">
        <f>Display_All!AX91</f>
        <v>?</v>
      </c>
      <c r="F91" s="326"/>
      <c r="G91" s="326"/>
      <c r="H91" s="326"/>
      <c r="I91" s="326"/>
      <c r="J91" s="326"/>
      <c r="K91" s="326"/>
      <c r="L91" s="326"/>
      <c r="M91" s="326"/>
      <c r="N91" s="326"/>
      <c r="O91" s="326"/>
      <c r="P91" s="326"/>
      <c r="Q91" s="326"/>
      <c r="R91" s="326"/>
      <c r="S91" s="326"/>
      <c r="T91" s="326"/>
      <c r="U91" s="326"/>
      <c r="V91" s="326"/>
      <c r="W91" s="326"/>
      <c r="X91" s="326"/>
      <c r="Y91" s="326"/>
    </row>
    <row r="92">
      <c r="A92" s="327" t="str">
        <f>Raw!A92</f>
        <v>88 / D33</v>
      </c>
      <c r="B92" s="328" t="str">
        <f>Raw!AQ92</f>
        <v>electric blower</v>
      </c>
      <c r="C92" s="323" t="str">
        <f>Display_All!AC92</f>
        <v>700 to 800</v>
      </c>
      <c r="D92" s="324">
        <f>Display_All!AP92</f>
        <v>8.611111111</v>
      </c>
      <c r="E92" s="325">
        <f>Display_All!AX92</f>
        <v>0.6365910339</v>
      </c>
      <c r="F92" s="326"/>
      <c r="G92" s="326"/>
      <c r="H92" s="326"/>
      <c r="I92" s="326"/>
      <c r="J92" s="326"/>
      <c r="K92" s="326"/>
      <c r="L92" s="326"/>
      <c r="M92" s="326"/>
      <c r="N92" s="326"/>
      <c r="O92" s="326"/>
      <c r="P92" s="326"/>
      <c r="Q92" s="326"/>
      <c r="R92" s="326"/>
      <c r="S92" s="326"/>
      <c r="T92" s="326"/>
      <c r="U92" s="326"/>
      <c r="V92" s="326"/>
      <c r="W92" s="326"/>
      <c r="X92" s="326"/>
      <c r="Y92" s="326"/>
    </row>
    <row r="93">
      <c r="A93" s="327" t="str">
        <f>Raw!A93</f>
        <v>89 / D34</v>
      </c>
      <c r="B93" s="328" t="str">
        <f>Raw!AQ93</f>
        <v>electric blower</v>
      </c>
      <c r="C93" s="323" t="str">
        <f>Display_All!AC93</f>
        <v>900</v>
      </c>
      <c r="D93" s="324">
        <f>Display_All!AP93</f>
        <v>5.777027027</v>
      </c>
      <c r="E93" s="325">
        <f>Display_All!AX93</f>
        <v>0.5752428055</v>
      </c>
      <c r="F93" s="326"/>
      <c r="G93" s="326"/>
      <c r="H93" s="326"/>
      <c r="I93" s="326"/>
      <c r="J93" s="326"/>
      <c r="K93" s="326"/>
      <c r="L93" s="326"/>
      <c r="M93" s="326"/>
      <c r="N93" s="326"/>
      <c r="O93" s="326"/>
      <c r="P93" s="326"/>
      <c r="Q93" s="326"/>
      <c r="R93" s="326"/>
      <c r="S93" s="326"/>
      <c r="T93" s="326"/>
      <c r="U93" s="326"/>
      <c r="V93" s="326"/>
      <c r="W93" s="326"/>
      <c r="X93" s="326"/>
      <c r="Y93" s="326"/>
    </row>
    <row r="94">
      <c r="A94" s="327" t="str">
        <f>Raw!A94</f>
        <v>90 / D35</v>
      </c>
      <c r="B94" s="328" t="str">
        <f>Raw!AQ94</f>
        <v>blower / smelt bellows</v>
      </c>
      <c r="C94" s="323" t="str">
        <f>Display_All!AC94</f>
        <v>477 to 875</v>
      </c>
      <c r="D94" s="324">
        <f>Display_All!AP94</f>
        <v>7.236842105</v>
      </c>
      <c r="E94" s="325">
        <f>Display_All!AX94</f>
        <v>0.5704505589</v>
      </c>
      <c r="F94" s="326"/>
      <c r="G94" s="326"/>
      <c r="H94" s="326"/>
      <c r="I94" s="326"/>
      <c r="J94" s="326"/>
      <c r="K94" s="326"/>
      <c r="L94" s="326"/>
      <c r="M94" s="326"/>
      <c r="N94" s="326"/>
      <c r="O94" s="326"/>
      <c r="P94" s="326"/>
      <c r="Q94" s="326"/>
      <c r="R94" s="326"/>
      <c r="S94" s="326"/>
      <c r="T94" s="326"/>
      <c r="U94" s="326"/>
      <c r="V94" s="326"/>
      <c r="W94" s="326"/>
      <c r="X94" s="326"/>
      <c r="Y94" s="326"/>
    </row>
    <row r="95">
      <c r="A95" s="327" t="str">
        <f>Raw!A95</f>
        <v>91 / D36</v>
      </c>
      <c r="B95" s="328" t="str">
        <f>Raw!AQ95</f>
        <v>electric blower</v>
      </c>
      <c r="C95" s="323" t="str">
        <f>Display_All!AC95</f>
        <v>425</v>
      </c>
      <c r="D95" s="324">
        <f>Display_All!AP95</f>
        <v>13.14814815</v>
      </c>
      <c r="E95" s="325">
        <f>Display_All!AX95</f>
        <v>0.4881628605</v>
      </c>
      <c r="F95" s="326"/>
      <c r="G95" s="326"/>
      <c r="H95" s="326"/>
      <c r="I95" s="326"/>
      <c r="J95" s="326"/>
      <c r="K95" s="326"/>
      <c r="L95" s="326"/>
      <c r="M95" s="326"/>
      <c r="N95" s="326"/>
      <c r="O95" s="326"/>
      <c r="P95" s="326"/>
      <c r="Q95" s="326"/>
      <c r="R95" s="326"/>
      <c r="S95" s="326"/>
      <c r="T95" s="326"/>
      <c r="U95" s="326"/>
      <c r="V95" s="326"/>
      <c r="W95" s="326"/>
      <c r="X95" s="326"/>
      <c r="Y95" s="326"/>
    </row>
    <row r="96">
      <c r="A96" s="327">
        <f>Raw!A96</f>
        <v>92</v>
      </c>
      <c r="B96" s="328" t="str">
        <f>Raw!AQ96</f>
        <v>electric blower</v>
      </c>
      <c r="C96" s="323" t="str">
        <f>Display_All!AC96</f>
        <v>405 to 480</v>
      </c>
      <c r="D96" s="324">
        <f>Display_All!AP96</f>
        <v>11.18357488</v>
      </c>
      <c r="E96" s="325">
        <f>Display_All!AX96</f>
        <v>0.3486877575</v>
      </c>
      <c r="F96" s="326"/>
      <c r="G96" s="326"/>
      <c r="H96" s="326"/>
      <c r="I96" s="326"/>
      <c r="J96" s="326"/>
      <c r="K96" s="326"/>
      <c r="L96" s="326"/>
      <c r="M96" s="326"/>
      <c r="N96" s="326"/>
      <c r="O96" s="326"/>
      <c r="P96" s="326"/>
      <c r="Q96" s="326"/>
      <c r="R96" s="326"/>
      <c r="S96" s="326"/>
      <c r="T96" s="326"/>
      <c r="U96" s="326"/>
      <c r="V96" s="326"/>
      <c r="W96" s="326"/>
      <c r="X96" s="326"/>
      <c r="Y96" s="326"/>
    </row>
    <row r="97">
      <c r="A97" s="327">
        <f>Raw!A97</f>
        <v>93</v>
      </c>
      <c r="B97" s="328" t="str">
        <f>Raw!AQ97</f>
        <v>small blower</v>
      </c>
      <c r="C97" s="323" t="str">
        <f>Display_All!AC97</f>
        <v>?</v>
      </c>
      <c r="D97" s="324">
        <f>Display_All!AP97</f>
        <v>7.625</v>
      </c>
      <c r="E97" s="325">
        <f>Display_All!AX97</f>
        <v>0.1569904094</v>
      </c>
      <c r="F97" s="326"/>
      <c r="G97" s="326"/>
      <c r="H97" s="326"/>
      <c r="I97" s="326"/>
      <c r="J97" s="326"/>
      <c r="K97" s="326"/>
      <c r="L97" s="326"/>
      <c r="M97" s="326"/>
      <c r="N97" s="326"/>
      <c r="O97" s="326"/>
      <c r="P97" s="326"/>
      <c r="Q97" s="326"/>
      <c r="R97" s="326"/>
      <c r="S97" s="326"/>
      <c r="T97" s="326"/>
      <c r="U97" s="326"/>
      <c r="V97" s="326"/>
      <c r="W97" s="326"/>
      <c r="X97" s="326"/>
      <c r="Y97" s="326"/>
    </row>
    <row r="98">
      <c r="A98" s="333" t="str">
        <f>Raw!A98</f>
        <v>94 / D37</v>
      </c>
      <c r="B98" s="334" t="str">
        <f>Raw!AQ98</f>
        <v>blower / sliding gate</v>
      </c>
      <c r="C98" s="335" t="str">
        <f>Display_All!AC98</f>
        <v>instrument fail</v>
      </c>
      <c r="D98" s="336">
        <f>Display_All!AP98</f>
        <v>17.88288288</v>
      </c>
      <c r="E98" s="337">
        <f>Display_All!AX98</f>
        <v>0.315072711</v>
      </c>
      <c r="F98" s="326"/>
      <c r="G98" s="326"/>
      <c r="H98" s="326"/>
      <c r="I98" s="326"/>
      <c r="J98" s="326"/>
      <c r="K98" s="326"/>
      <c r="L98" s="326"/>
      <c r="M98" s="326"/>
      <c r="N98" s="326"/>
      <c r="O98" s="326"/>
      <c r="P98" s="326"/>
      <c r="Q98" s="326"/>
      <c r="R98" s="326"/>
      <c r="S98" s="326"/>
      <c r="T98" s="326"/>
      <c r="U98" s="326"/>
      <c r="V98" s="326"/>
      <c r="W98" s="326"/>
      <c r="X98" s="326"/>
      <c r="Y98" s="326"/>
    </row>
    <row r="99" hidden="1">
      <c r="A99" s="327" t="str">
        <f>Raw!A99</f>
        <v>95 / D38</v>
      </c>
      <c r="B99" s="328" t="str">
        <f>Raw!AQ99</f>
        <v>blower / sliding gate</v>
      </c>
      <c r="C99" s="328" t="str">
        <f>Display_All!AC99</f>
        <v>525 (A) (E)</v>
      </c>
      <c r="D99" s="338">
        <f>Display_All!AP99</f>
        <v>11.9924812</v>
      </c>
      <c r="E99" s="339" t="str">
        <f>Display_All!AX99</f>
        <v>NR</v>
      </c>
      <c r="F99" s="326"/>
      <c r="G99" s="326"/>
      <c r="H99" s="326"/>
      <c r="I99" s="326"/>
      <c r="J99" s="326"/>
      <c r="K99" s="326"/>
      <c r="L99" s="326"/>
      <c r="M99" s="326"/>
      <c r="N99" s="326"/>
      <c r="O99" s="326"/>
      <c r="P99" s="326"/>
      <c r="Q99" s="326"/>
      <c r="R99" s="326"/>
      <c r="S99" s="326"/>
      <c r="T99" s="326"/>
      <c r="U99" s="326"/>
      <c r="V99" s="326"/>
      <c r="W99" s="326"/>
      <c r="X99" s="326"/>
      <c r="Y99" s="326"/>
    </row>
    <row r="100">
      <c r="A100" s="327" t="str">
        <f>Raw!A100</f>
        <v>96 / D39</v>
      </c>
      <c r="B100" s="328" t="str">
        <f>Raw!AQ100</f>
        <v>blower / sliding gate</v>
      </c>
      <c r="C100" s="303">
        <f>Raw!AT100</f>
        <v>601.035</v>
      </c>
      <c r="D100" s="338">
        <f>Raw!CA100</f>
        <v>20.75</v>
      </c>
      <c r="E100" s="339">
        <f>Display_All!AX100</f>
        <v>0.4015101247</v>
      </c>
      <c r="F100" s="326"/>
      <c r="G100" s="326"/>
      <c r="H100" s="326"/>
      <c r="I100" s="326"/>
      <c r="J100" s="326"/>
      <c r="K100" s="326"/>
      <c r="L100" s="326"/>
      <c r="M100" s="326"/>
      <c r="N100" s="326"/>
      <c r="O100" s="326"/>
      <c r="P100" s="326"/>
      <c r="Q100" s="326"/>
      <c r="R100" s="326"/>
      <c r="S100" s="326"/>
      <c r="T100" s="326"/>
      <c r="U100" s="326"/>
      <c r="V100" s="326"/>
      <c r="W100" s="326"/>
      <c r="X100" s="326"/>
      <c r="Y100" s="326"/>
    </row>
    <row r="101" hidden="1">
      <c r="A101" s="327">
        <f>Raw!A101</f>
        <v>97</v>
      </c>
      <c r="B101" s="328" t="str">
        <f>Raw!AQ101</f>
        <v>blower (bouncy castle)</v>
      </c>
      <c r="C101" s="328" t="str">
        <f>Raw!AT101</f>
        <v>NR</v>
      </c>
      <c r="D101" s="338">
        <f>Raw!CA101</f>
        <v>13.12964492</v>
      </c>
      <c r="E101" s="339" t="str">
        <f>Display_All!AX101</f>
        <v>?</v>
      </c>
      <c r="F101" s="326"/>
      <c r="G101" s="326"/>
      <c r="H101" s="326"/>
      <c r="I101" s="326"/>
      <c r="J101" s="326"/>
      <c r="K101" s="326"/>
      <c r="L101" s="326"/>
      <c r="M101" s="326"/>
      <c r="N101" s="326"/>
      <c r="O101" s="326"/>
      <c r="P101" s="326"/>
      <c r="Q101" s="326"/>
      <c r="R101" s="326"/>
      <c r="S101" s="326"/>
      <c r="T101" s="326"/>
      <c r="U101" s="326"/>
      <c r="V101" s="326"/>
      <c r="W101" s="326"/>
      <c r="X101" s="326"/>
      <c r="Y101" s="326"/>
    </row>
    <row r="102">
      <c r="A102" s="327" t="str">
        <f>Raw!A102</f>
        <v>98 / D40</v>
      </c>
      <c r="B102" s="328" t="str">
        <f>Raw!AQ102</f>
        <v>blower / sliding gate</v>
      </c>
      <c r="C102" s="328">
        <f>Raw!AT102</f>
        <v>525</v>
      </c>
      <c r="D102" s="338">
        <f>Raw!CA102</f>
        <v>7.727272727</v>
      </c>
      <c r="E102" s="339">
        <f>Display_All!AX102</f>
        <v>0.1044741815</v>
      </c>
      <c r="F102" s="326"/>
      <c r="G102" s="326"/>
      <c r="H102" s="326"/>
      <c r="I102" s="326"/>
      <c r="J102" s="326"/>
      <c r="K102" s="326"/>
      <c r="L102" s="326"/>
      <c r="M102" s="326"/>
      <c r="N102" s="326"/>
      <c r="O102" s="326"/>
      <c r="P102" s="326"/>
      <c r="Q102" s="326"/>
      <c r="R102" s="326"/>
      <c r="S102" s="326"/>
      <c r="T102" s="326"/>
      <c r="U102" s="326"/>
      <c r="V102" s="326"/>
      <c r="W102" s="326"/>
      <c r="X102" s="326"/>
      <c r="Y102" s="326"/>
    </row>
    <row r="103" hidden="1">
      <c r="A103" s="327">
        <f>Raw!A103</f>
        <v>99</v>
      </c>
      <c r="B103" s="328" t="str">
        <f>Raw!AQ103</f>
        <v>electric blower</v>
      </c>
      <c r="C103" s="328">
        <f>Raw!AT103</f>
        <v>700</v>
      </c>
      <c r="D103" s="338">
        <f>Raw!CA103</f>
        <v>6.744186047</v>
      </c>
      <c r="E103" s="339" t="str">
        <f>Display_All!AX103</f>
        <v>?</v>
      </c>
      <c r="F103" s="326"/>
      <c r="G103" s="326"/>
      <c r="H103" s="326"/>
      <c r="I103" s="326"/>
      <c r="J103" s="326"/>
      <c r="K103" s="326"/>
      <c r="L103" s="326"/>
      <c r="M103" s="326"/>
      <c r="N103" s="326"/>
      <c r="O103" s="326"/>
      <c r="P103" s="326"/>
      <c r="Q103" s="326"/>
      <c r="R103" s="326"/>
      <c r="S103" s="326"/>
      <c r="T103" s="326"/>
      <c r="U103" s="326"/>
      <c r="V103" s="326"/>
      <c r="W103" s="326"/>
      <c r="X103" s="326"/>
      <c r="Y103" s="326"/>
    </row>
    <row r="104" hidden="1">
      <c r="A104" s="340">
        <f>Raw!A104</f>
        <v>100</v>
      </c>
      <c r="B104" s="341" t="str">
        <f>Raw!AQ104</f>
        <v/>
      </c>
      <c r="C104" s="341" t="str">
        <f>Raw!AT104</f>
        <v/>
      </c>
      <c r="D104" s="342" t="str">
        <f>Raw!CA104</f>
        <v/>
      </c>
      <c r="E104" s="343" t="str">
        <f>Display_All!AX104</f>
        <v>None</v>
      </c>
      <c r="F104" s="326"/>
      <c r="G104" s="326"/>
      <c r="H104" s="326"/>
      <c r="I104" s="326"/>
      <c r="J104" s="326"/>
      <c r="K104" s="326"/>
      <c r="L104" s="326"/>
      <c r="M104" s="326"/>
      <c r="N104" s="326"/>
      <c r="O104" s="326"/>
      <c r="P104" s="326"/>
      <c r="Q104" s="326"/>
      <c r="R104" s="326"/>
      <c r="S104" s="326"/>
      <c r="T104" s="326"/>
      <c r="U104" s="326"/>
      <c r="V104" s="326"/>
      <c r="W104" s="326"/>
      <c r="X104" s="326"/>
      <c r="Y104" s="326"/>
    </row>
    <row r="105">
      <c r="A105" s="326"/>
      <c r="B105" s="326"/>
      <c r="C105" s="326"/>
      <c r="D105" s="326"/>
      <c r="E105" s="326"/>
      <c r="F105" s="326"/>
      <c r="G105" s="326"/>
      <c r="H105" s="326"/>
      <c r="I105" s="326"/>
      <c r="J105" s="326"/>
      <c r="K105" s="326"/>
      <c r="L105" s="326"/>
      <c r="M105" s="326"/>
      <c r="N105" s="326"/>
      <c r="O105" s="326"/>
      <c r="P105" s="326"/>
      <c r="Q105" s="326"/>
      <c r="R105" s="326"/>
      <c r="S105" s="326"/>
      <c r="T105" s="326"/>
      <c r="U105" s="326"/>
      <c r="V105" s="326"/>
      <c r="W105" s="326"/>
      <c r="X105" s="326"/>
      <c r="Y105" s="326"/>
    </row>
    <row r="106">
      <c r="A106" s="326"/>
      <c r="B106" s="326"/>
      <c r="C106" s="326"/>
      <c r="D106" s="326"/>
      <c r="E106" s="326"/>
      <c r="F106" s="326"/>
      <c r="G106" s="326"/>
      <c r="H106" s="326"/>
      <c r="I106" s="326"/>
      <c r="J106" s="326"/>
      <c r="K106" s="326"/>
      <c r="L106" s="326"/>
      <c r="M106" s="326"/>
      <c r="N106" s="326"/>
      <c r="O106" s="326"/>
      <c r="P106" s="326"/>
      <c r="Q106" s="326"/>
      <c r="R106" s="326"/>
      <c r="S106" s="326"/>
      <c r="T106" s="326"/>
      <c r="U106" s="326"/>
      <c r="V106" s="326"/>
      <c r="W106" s="326"/>
      <c r="X106" s="326"/>
      <c r="Y106" s="326"/>
    </row>
    <row r="107">
      <c r="A107" s="326"/>
      <c r="B107" s="326"/>
      <c r="C107" s="326"/>
      <c r="D107" s="326"/>
      <c r="E107" s="326"/>
      <c r="F107" s="326"/>
      <c r="G107" s="326"/>
      <c r="H107" s="326"/>
      <c r="I107" s="326"/>
      <c r="J107" s="326"/>
      <c r="K107" s="326"/>
      <c r="L107" s="326"/>
      <c r="M107" s="326"/>
      <c r="N107" s="326"/>
      <c r="O107" s="326"/>
      <c r="P107" s="326"/>
      <c r="Q107" s="326"/>
      <c r="R107" s="326"/>
      <c r="S107" s="326"/>
      <c r="T107" s="326"/>
      <c r="U107" s="326"/>
      <c r="V107" s="326"/>
      <c r="W107" s="326"/>
      <c r="X107" s="326"/>
      <c r="Y107" s="326"/>
    </row>
    <row r="108">
      <c r="A108" s="326"/>
      <c r="B108" s="326"/>
      <c r="C108" s="326"/>
      <c r="D108" s="326"/>
      <c r="E108" s="326"/>
      <c r="F108" s="326"/>
      <c r="G108" s="326"/>
      <c r="H108" s="326"/>
      <c r="I108" s="326"/>
      <c r="J108" s="326"/>
      <c r="K108" s="326"/>
      <c r="L108" s="326"/>
      <c r="M108" s="326"/>
      <c r="N108" s="326"/>
      <c r="O108" s="326"/>
      <c r="P108" s="326"/>
      <c r="Q108" s="326"/>
      <c r="R108" s="326"/>
      <c r="S108" s="326"/>
      <c r="T108" s="326"/>
      <c r="U108" s="326"/>
      <c r="V108" s="326"/>
      <c r="W108" s="326"/>
      <c r="X108" s="326"/>
      <c r="Y108" s="326"/>
    </row>
    <row r="109">
      <c r="A109" s="326"/>
      <c r="B109" s="326"/>
      <c r="C109" s="326"/>
      <c r="D109" s="326"/>
      <c r="E109" s="326"/>
      <c r="F109" s="326"/>
      <c r="G109" s="326"/>
      <c r="H109" s="326"/>
      <c r="I109" s="326"/>
      <c r="J109" s="326"/>
      <c r="K109" s="326"/>
      <c r="L109" s="326"/>
      <c r="M109" s="326"/>
      <c r="N109" s="326"/>
      <c r="O109" s="326"/>
      <c r="P109" s="326"/>
      <c r="Q109" s="326"/>
      <c r="R109" s="326"/>
      <c r="S109" s="326"/>
      <c r="T109" s="326"/>
      <c r="U109" s="326"/>
      <c r="V109" s="326"/>
      <c r="W109" s="326"/>
      <c r="X109" s="326"/>
      <c r="Y109" s="326"/>
    </row>
    <row r="110">
      <c r="A110" s="326"/>
      <c r="B110" s="326"/>
      <c r="C110" s="326"/>
      <c r="D110" s="326"/>
      <c r="E110" s="326"/>
      <c r="F110" s="326"/>
      <c r="G110" s="326"/>
      <c r="H110" s="326"/>
      <c r="I110" s="326"/>
      <c r="J110" s="326"/>
      <c r="K110" s="326"/>
      <c r="L110" s="326"/>
      <c r="M110" s="326"/>
      <c r="N110" s="326"/>
      <c r="O110" s="326"/>
      <c r="P110" s="326"/>
      <c r="Q110" s="326"/>
      <c r="R110" s="326"/>
      <c r="S110" s="326"/>
      <c r="T110" s="326"/>
      <c r="U110" s="326"/>
      <c r="V110" s="326"/>
      <c r="W110" s="326"/>
      <c r="X110" s="326"/>
      <c r="Y110" s="326"/>
    </row>
    <row r="111">
      <c r="A111" s="326"/>
      <c r="B111" s="326"/>
      <c r="C111" s="326"/>
      <c r="D111" s="326"/>
      <c r="E111" s="326"/>
      <c r="F111" s="326"/>
      <c r="G111" s="326"/>
      <c r="H111" s="326"/>
      <c r="I111" s="326"/>
      <c r="J111" s="326"/>
      <c r="K111" s="326"/>
      <c r="L111" s="326"/>
      <c r="M111" s="326"/>
      <c r="N111" s="326"/>
      <c r="O111" s="326"/>
      <c r="P111" s="326"/>
      <c r="Q111" s="326"/>
      <c r="R111" s="326"/>
      <c r="S111" s="326"/>
      <c r="T111" s="326"/>
      <c r="U111" s="326"/>
      <c r="V111" s="326"/>
      <c r="W111" s="326"/>
      <c r="X111" s="326"/>
      <c r="Y111" s="326"/>
    </row>
    <row r="112">
      <c r="A112" s="326"/>
      <c r="B112" s="326"/>
      <c r="C112" s="326"/>
      <c r="D112" s="326"/>
      <c r="E112" s="326"/>
      <c r="F112" s="326"/>
      <c r="G112" s="326"/>
      <c r="H112" s="326"/>
      <c r="I112" s="326"/>
      <c r="J112" s="326"/>
      <c r="K112" s="326"/>
      <c r="L112" s="326"/>
      <c r="M112" s="326"/>
      <c r="N112" s="326"/>
      <c r="O112" s="326"/>
      <c r="P112" s="326"/>
      <c r="Q112" s="326"/>
      <c r="R112" s="326"/>
      <c r="S112" s="326"/>
      <c r="T112" s="326"/>
      <c r="U112" s="326"/>
      <c r="V112" s="326"/>
      <c r="W112" s="326"/>
      <c r="X112" s="326"/>
      <c r="Y112" s="326"/>
    </row>
    <row r="113">
      <c r="A113" s="326"/>
      <c r="B113" s="326"/>
      <c r="C113" s="326"/>
      <c r="D113" s="326"/>
      <c r="E113" s="326"/>
      <c r="F113" s="326"/>
      <c r="G113" s="326"/>
      <c r="H113" s="326"/>
      <c r="I113" s="326"/>
      <c r="J113" s="326"/>
      <c r="K113" s="326"/>
      <c r="L113" s="326"/>
      <c r="M113" s="326"/>
      <c r="N113" s="326"/>
      <c r="O113" s="326"/>
      <c r="P113" s="326"/>
      <c r="Q113" s="326"/>
      <c r="R113" s="326"/>
      <c r="S113" s="326"/>
      <c r="T113" s="326"/>
      <c r="U113" s="326"/>
      <c r="V113" s="326"/>
      <c r="W113" s="326"/>
      <c r="X113" s="326"/>
      <c r="Y113" s="326"/>
    </row>
    <row r="114">
      <c r="A114" s="326"/>
      <c r="B114" s="326"/>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row>
    <row r="115">
      <c r="A115" s="326"/>
      <c r="B115" s="326"/>
      <c r="C115" s="326"/>
      <c r="D115" s="326"/>
      <c r="E115" s="326"/>
      <c r="F115" s="326"/>
      <c r="G115" s="326"/>
      <c r="H115" s="326"/>
      <c r="I115" s="326"/>
      <c r="J115" s="326"/>
      <c r="K115" s="326"/>
      <c r="L115" s="326"/>
      <c r="M115" s="326"/>
      <c r="N115" s="326"/>
      <c r="O115" s="326"/>
      <c r="P115" s="326"/>
      <c r="Q115" s="326"/>
      <c r="R115" s="326"/>
      <c r="S115" s="326"/>
      <c r="T115" s="326"/>
      <c r="U115" s="326"/>
      <c r="V115" s="326"/>
      <c r="W115" s="326"/>
      <c r="X115" s="326"/>
      <c r="Y115" s="326"/>
    </row>
    <row r="116">
      <c r="A116" s="326"/>
      <c r="B116" s="326"/>
      <c r="C116" s="326"/>
      <c r="D116" s="326"/>
      <c r="E116" s="326"/>
      <c r="F116" s="326"/>
      <c r="G116" s="326"/>
      <c r="H116" s="326"/>
      <c r="I116" s="326"/>
      <c r="J116" s="326"/>
      <c r="K116" s="326"/>
      <c r="L116" s="326"/>
      <c r="M116" s="326"/>
      <c r="N116" s="326"/>
      <c r="O116" s="326"/>
      <c r="P116" s="326"/>
      <c r="Q116" s="326"/>
      <c r="R116" s="326"/>
      <c r="S116" s="326"/>
      <c r="T116" s="326"/>
      <c r="U116" s="326"/>
      <c r="V116" s="326"/>
      <c r="W116" s="326"/>
      <c r="X116" s="326"/>
      <c r="Y116" s="326"/>
    </row>
    <row r="117">
      <c r="A117" s="326"/>
      <c r="B117" s="326"/>
      <c r="C117" s="326"/>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row>
    <row r="118">
      <c r="A118" s="326"/>
      <c r="B118" s="326"/>
      <c r="C118" s="326"/>
      <c r="D118" s="326"/>
      <c r="E118" s="326"/>
      <c r="F118" s="326"/>
      <c r="G118" s="326"/>
      <c r="H118" s="326"/>
      <c r="I118" s="326"/>
      <c r="J118" s="326"/>
      <c r="K118" s="326"/>
      <c r="L118" s="326"/>
      <c r="M118" s="326"/>
      <c r="N118" s="326"/>
      <c r="O118" s="326"/>
      <c r="P118" s="326"/>
      <c r="Q118" s="326"/>
      <c r="R118" s="326"/>
      <c r="S118" s="326"/>
      <c r="T118" s="326"/>
      <c r="U118" s="326"/>
      <c r="V118" s="326"/>
      <c r="W118" s="326"/>
      <c r="X118" s="326"/>
      <c r="Y118" s="326"/>
    </row>
    <row r="119">
      <c r="A119" s="326"/>
      <c r="B119" s="326"/>
      <c r="C119" s="326"/>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row>
    <row r="120">
      <c r="A120" s="326"/>
      <c r="B120" s="326"/>
      <c r="C120" s="326"/>
      <c r="D120" s="326"/>
      <c r="E120" s="326"/>
      <c r="F120" s="326"/>
      <c r="G120" s="326"/>
      <c r="H120" s="326"/>
      <c r="I120" s="326"/>
      <c r="J120" s="326"/>
      <c r="K120" s="326"/>
      <c r="L120" s="326"/>
      <c r="M120" s="326"/>
      <c r="N120" s="326"/>
      <c r="O120" s="326"/>
      <c r="P120" s="326"/>
      <c r="Q120" s="326"/>
      <c r="R120" s="326"/>
      <c r="S120" s="326"/>
      <c r="T120" s="326"/>
      <c r="U120" s="326"/>
      <c r="V120" s="326"/>
      <c r="W120" s="326"/>
      <c r="X120" s="326"/>
      <c r="Y120" s="326"/>
    </row>
    <row r="121">
      <c r="A121" s="326"/>
      <c r="B121" s="326"/>
      <c r="C121" s="326"/>
      <c r="D121" s="326"/>
      <c r="E121" s="326"/>
      <c r="F121" s="326"/>
      <c r="G121" s="326"/>
      <c r="H121" s="326"/>
      <c r="I121" s="326"/>
      <c r="J121" s="326"/>
      <c r="K121" s="326"/>
      <c r="L121" s="326"/>
      <c r="M121" s="326"/>
      <c r="N121" s="326"/>
      <c r="O121" s="326"/>
      <c r="P121" s="326"/>
      <c r="Q121" s="326"/>
      <c r="R121" s="326"/>
      <c r="S121" s="326"/>
      <c r="T121" s="326"/>
      <c r="U121" s="326"/>
      <c r="V121" s="326"/>
      <c r="W121" s="326"/>
      <c r="X121" s="326"/>
      <c r="Y121" s="326"/>
    </row>
    <row r="122">
      <c r="A122" s="326"/>
      <c r="B122" s="326"/>
      <c r="C122" s="326"/>
      <c r="D122" s="326"/>
      <c r="E122" s="326"/>
      <c r="F122" s="326"/>
      <c r="G122" s="326"/>
      <c r="H122" s="326"/>
      <c r="I122" s="326"/>
      <c r="J122" s="326"/>
      <c r="K122" s="326"/>
      <c r="L122" s="326"/>
      <c r="M122" s="326"/>
      <c r="N122" s="326"/>
      <c r="O122" s="326"/>
      <c r="P122" s="326"/>
      <c r="Q122" s="326"/>
      <c r="R122" s="326"/>
      <c r="S122" s="326"/>
      <c r="T122" s="326"/>
      <c r="U122" s="326"/>
      <c r="V122" s="326"/>
      <c r="W122" s="326"/>
      <c r="X122" s="326"/>
      <c r="Y122" s="326"/>
    </row>
    <row r="123">
      <c r="A123" s="326"/>
      <c r="B123" s="326"/>
      <c r="C123" s="326"/>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row>
    <row r="124">
      <c r="A124" s="326"/>
      <c r="B124" s="326"/>
      <c r="C124" s="326"/>
      <c r="D124" s="326"/>
      <c r="E124" s="326"/>
      <c r="F124" s="326"/>
      <c r="G124" s="326"/>
      <c r="H124" s="326"/>
      <c r="I124" s="326"/>
      <c r="J124" s="326"/>
      <c r="K124" s="326"/>
      <c r="L124" s="326"/>
      <c r="M124" s="326"/>
      <c r="N124" s="326"/>
      <c r="O124" s="326"/>
      <c r="P124" s="326"/>
      <c r="Q124" s="326"/>
      <c r="R124" s="326"/>
      <c r="S124" s="326"/>
      <c r="T124" s="326"/>
      <c r="U124" s="326"/>
      <c r="V124" s="326"/>
      <c r="W124" s="326"/>
      <c r="X124" s="326"/>
      <c r="Y124" s="326"/>
    </row>
    <row r="125">
      <c r="A125" s="326"/>
      <c r="B125" s="326"/>
      <c r="C125" s="326"/>
      <c r="D125" s="326"/>
      <c r="E125" s="326"/>
      <c r="F125" s="326"/>
      <c r="G125" s="326"/>
      <c r="H125" s="326"/>
      <c r="I125" s="326"/>
      <c r="J125" s="326"/>
      <c r="K125" s="326"/>
      <c r="L125" s="326"/>
      <c r="M125" s="326"/>
      <c r="N125" s="326"/>
      <c r="O125" s="326"/>
      <c r="P125" s="326"/>
      <c r="Q125" s="326"/>
      <c r="R125" s="326"/>
      <c r="S125" s="326"/>
      <c r="T125" s="326"/>
      <c r="U125" s="326"/>
      <c r="V125" s="326"/>
      <c r="W125" s="326"/>
      <c r="X125" s="326"/>
      <c r="Y125" s="326"/>
    </row>
    <row r="126">
      <c r="A126" s="326"/>
      <c r="B126" s="326"/>
      <c r="C126" s="326"/>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326"/>
    </row>
    <row r="127">
      <c r="A127" s="326"/>
      <c r="B127" s="326"/>
      <c r="C127" s="326"/>
      <c r="D127" s="326"/>
      <c r="E127" s="326"/>
      <c r="F127" s="326"/>
      <c r="G127" s="326"/>
      <c r="H127" s="326"/>
      <c r="I127" s="326"/>
      <c r="J127" s="326"/>
      <c r="K127" s="326"/>
      <c r="L127" s="326"/>
      <c r="M127" s="326"/>
      <c r="N127" s="326"/>
      <c r="O127" s="326"/>
      <c r="P127" s="326"/>
      <c r="Q127" s="326"/>
      <c r="R127" s="326"/>
      <c r="S127" s="326"/>
      <c r="T127" s="326"/>
      <c r="U127" s="326"/>
      <c r="V127" s="326"/>
      <c r="W127" s="326"/>
      <c r="X127" s="326"/>
      <c r="Y127" s="326"/>
    </row>
    <row r="128">
      <c r="A128" s="326"/>
      <c r="B128" s="326"/>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row>
    <row r="129">
      <c r="A129" s="326"/>
      <c r="B129" s="326"/>
      <c r="C129" s="326"/>
      <c r="D129" s="326"/>
      <c r="E129" s="326"/>
      <c r="F129" s="326"/>
      <c r="G129" s="326"/>
      <c r="H129" s="326"/>
      <c r="I129" s="326"/>
      <c r="J129" s="326"/>
      <c r="K129" s="326"/>
      <c r="L129" s="326"/>
      <c r="M129" s="326"/>
      <c r="N129" s="326"/>
      <c r="O129" s="326"/>
      <c r="P129" s="326"/>
      <c r="Q129" s="326"/>
      <c r="R129" s="326"/>
      <c r="S129" s="326"/>
      <c r="T129" s="326"/>
      <c r="U129" s="326"/>
      <c r="V129" s="326"/>
      <c r="W129" s="326"/>
      <c r="X129" s="326"/>
      <c r="Y129" s="326"/>
    </row>
    <row r="130">
      <c r="A130" s="326"/>
      <c r="B130" s="326"/>
      <c r="C130" s="326"/>
      <c r="D130" s="326"/>
      <c r="E130" s="326"/>
      <c r="F130" s="326"/>
      <c r="G130" s="326"/>
      <c r="H130" s="326"/>
      <c r="I130" s="326"/>
      <c r="J130" s="326"/>
      <c r="K130" s="326"/>
      <c r="L130" s="326"/>
      <c r="M130" s="326"/>
      <c r="N130" s="326"/>
      <c r="O130" s="326"/>
      <c r="P130" s="326"/>
      <c r="Q130" s="326"/>
      <c r="R130" s="326"/>
      <c r="S130" s="326"/>
      <c r="T130" s="326"/>
      <c r="U130" s="326"/>
      <c r="V130" s="326"/>
      <c r="W130" s="326"/>
      <c r="X130" s="326"/>
      <c r="Y130" s="326"/>
    </row>
    <row r="131">
      <c r="A131" s="326"/>
      <c r="B131" s="326"/>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row>
    <row r="132">
      <c r="A132" s="326"/>
      <c r="B132" s="326"/>
      <c r="C132" s="326"/>
      <c r="D132" s="326"/>
      <c r="E132" s="326"/>
      <c r="F132" s="326"/>
      <c r="G132" s="326"/>
      <c r="H132" s="326"/>
      <c r="I132" s="326"/>
      <c r="J132" s="326"/>
      <c r="K132" s="326"/>
      <c r="L132" s="326"/>
      <c r="M132" s="326"/>
      <c r="N132" s="326"/>
      <c r="O132" s="326"/>
      <c r="P132" s="326"/>
      <c r="Q132" s="326"/>
      <c r="R132" s="326"/>
      <c r="S132" s="326"/>
      <c r="T132" s="326"/>
      <c r="U132" s="326"/>
      <c r="V132" s="326"/>
      <c r="W132" s="326"/>
      <c r="X132" s="326"/>
      <c r="Y132" s="326"/>
    </row>
    <row r="133">
      <c r="A133" s="326"/>
      <c r="B133" s="326"/>
      <c r="C133" s="326"/>
      <c r="D133" s="326"/>
      <c r="E133" s="326"/>
      <c r="F133" s="326"/>
      <c r="G133" s="326"/>
      <c r="H133" s="326"/>
      <c r="I133" s="326"/>
      <c r="J133" s="326"/>
      <c r="K133" s="326"/>
      <c r="L133" s="326"/>
      <c r="M133" s="326"/>
      <c r="N133" s="326"/>
      <c r="O133" s="326"/>
      <c r="P133" s="326"/>
      <c r="Q133" s="326"/>
      <c r="R133" s="326"/>
      <c r="S133" s="326"/>
      <c r="T133" s="326"/>
      <c r="U133" s="326"/>
      <c r="V133" s="326"/>
      <c r="W133" s="326"/>
      <c r="X133" s="326"/>
      <c r="Y133" s="326"/>
    </row>
    <row r="134">
      <c r="A134" s="326"/>
      <c r="B134" s="326"/>
      <c r="C134" s="326"/>
      <c r="D134" s="326"/>
      <c r="E134" s="326"/>
      <c r="F134" s="326"/>
      <c r="G134" s="326"/>
      <c r="H134" s="326"/>
      <c r="I134" s="326"/>
      <c r="J134" s="326"/>
      <c r="K134" s="326"/>
      <c r="L134" s="326"/>
      <c r="M134" s="326"/>
      <c r="N134" s="326"/>
      <c r="O134" s="326"/>
      <c r="P134" s="326"/>
      <c r="Q134" s="326"/>
      <c r="R134" s="326"/>
      <c r="S134" s="326"/>
      <c r="T134" s="326"/>
      <c r="U134" s="326"/>
      <c r="V134" s="326"/>
      <c r="W134" s="326"/>
      <c r="X134" s="326"/>
      <c r="Y134" s="326"/>
    </row>
    <row r="135">
      <c r="A135" s="326"/>
      <c r="B135" s="326"/>
      <c r="C135" s="326"/>
      <c r="D135" s="326"/>
      <c r="E135" s="326"/>
      <c r="F135" s="326"/>
      <c r="G135" s="326"/>
      <c r="H135" s="326"/>
      <c r="I135" s="326"/>
      <c r="J135" s="326"/>
      <c r="K135" s="326"/>
      <c r="L135" s="326"/>
      <c r="M135" s="326"/>
      <c r="N135" s="326"/>
      <c r="O135" s="326"/>
      <c r="P135" s="326"/>
      <c r="Q135" s="326"/>
      <c r="R135" s="326"/>
      <c r="S135" s="326"/>
      <c r="T135" s="326"/>
      <c r="U135" s="326"/>
      <c r="V135" s="326"/>
      <c r="W135" s="326"/>
      <c r="X135" s="326"/>
      <c r="Y135" s="326"/>
    </row>
    <row r="136">
      <c r="A136" s="326"/>
      <c r="B136" s="326"/>
      <c r="C136" s="326"/>
      <c r="D136" s="326"/>
      <c r="E136" s="326"/>
      <c r="F136" s="326"/>
      <c r="G136" s="326"/>
      <c r="H136" s="326"/>
      <c r="I136" s="326"/>
      <c r="J136" s="326"/>
      <c r="K136" s="326"/>
      <c r="L136" s="326"/>
      <c r="M136" s="326"/>
      <c r="N136" s="326"/>
      <c r="O136" s="326"/>
      <c r="P136" s="326"/>
      <c r="Q136" s="326"/>
      <c r="R136" s="326"/>
      <c r="S136" s="326"/>
      <c r="T136" s="326"/>
      <c r="U136" s="326"/>
      <c r="V136" s="326"/>
      <c r="W136" s="326"/>
      <c r="X136" s="326"/>
      <c r="Y136" s="326"/>
    </row>
    <row r="137">
      <c r="A137" s="326"/>
      <c r="B137" s="326"/>
      <c r="C137" s="326"/>
      <c r="D137" s="326"/>
      <c r="E137" s="326"/>
      <c r="F137" s="326"/>
      <c r="G137" s="326"/>
      <c r="H137" s="326"/>
      <c r="I137" s="326"/>
      <c r="J137" s="326"/>
      <c r="K137" s="326"/>
      <c r="L137" s="326"/>
      <c r="M137" s="326"/>
      <c r="N137" s="326"/>
      <c r="O137" s="326"/>
      <c r="P137" s="326"/>
      <c r="Q137" s="326"/>
      <c r="R137" s="326"/>
      <c r="S137" s="326"/>
      <c r="T137" s="326"/>
      <c r="U137" s="326"/>
      <c r="V137" s="326"/>
      <c r="W137" s="326"/>
      <c r="X137" s="326"/>
      <c r="Y137" s="326"/>
    </row>
    <row r="138">
      <c r="A138" s="326"/>
      <c r="B138" s="326"/>
      <c r="C138" s="326"/>
      <c r="D138" s="326"/>
      <c r="E138" s="326"/>
      <c r="F138" s="326"/>
      <c r="G138" s="326"/>
      <c r="H138" s="326"/>
      <c r="I138" s="326"/>
      <c r="J138" s="326"/>
      <c r="K138" s="326"/>
      <c r="L138" s="326"/>
      <c r="M138" s="326"/>
      <c r="N138" s="326"/>
      <c r="O138" s="326"/>
      <c r="P138" s="326"/>
      <c r="Q138" s="326"/>
      <c r="R138" s="326"/>
      <c r="S138" s="326"/>
      <c r="T138" s="326"/>
      <c r="U138" s="326"/>
      <c r="V138" s="326"/>
      <c r="W138" s="326"/>
      <c r="X138" s="326"/>
      <c r="Y138" s="326"/>
    </row>
    <row r="139">
      <c r="A139" s="326"/>
      <c r="B139" s="326"/>
      <c r="C139" s="326"/>
      <c r="D139" s="326"/>
      <c r="E139" s="326"/>
      <c r="F139" s="326"/>
      <c r="G139" s="326"/>
      <c r="H139" s="326"/>
      <c r="I139" s="326"/>
      <c r="J139" s="326"/>
      <c r="K139" s="326"/>
      <c r="L139" s="326"/>
      <c r="M139" s="326"/>
      <c r="N139" s="326"/>
      <c r="O139" s="326"/>
      <c r="P139" s="326"/>
      <c r="Q139" s="326"/>
      <c r="R139" s="326"/>
      <c r="S139" s="326"/>
      <c r="T139" s="326"/>
      <c r="U139" s="326"/>
      <c r="V139" s="326"/>
      <c r="W139" s="326"/>
      <c r="X139" s="326"/>
      <c r="Y139" s="326"/>
    </row>
    <row r="140">
      <c r="A140" s="326"/>
      <c r="B140" s="326"/>
      <c r="C140" s="326"/>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row>
    <row r="141">
      <c r="A141" s="326"/>
      <c r="B141" s="326"/>
      <c r="C141" s="326"/>
      <c r="D141" s="326"/>
      <c r="E141" s="326"/>
      <c r="F141" s="326"/>
      <c r="G141" s="326"/>
      <c r="H141" s="326"/>
      <c r="I141" s="326"/>
      <c r="J141" s="326"/>
      <c r="K141" s="326"/>
      <c r="L141" s="326"/>
      <c r="M141" s="326"/>
      <c r="N141" s="326"/>
      <c r="O141" s="326"/>
      <c r="P141" s="326"/>
      <c r="Q141" s="326"/>
      <c r="R141" s="326"/>
      <c r="S141" s="326"/>
      <c r="T141" s="326"/>
      <c r="U141" s="326"/>
      <c r="V141" s="326"/>
      <c r="W141" s="326"/>
      <c r="X141" s="326"/>
      <c r="Y141" s="326"/>
    </row>
    <row r="142">
      <c r="A142" s="326"/>
      <c r="B142" s="326"/>
      <c r="C142" s="326"/>
      <c r="D142" s="326"/>
      <c r="E142" s="326"/>
      <c r="F142" s="326"/>
      <c r="G142" s="326"/>
      <c r="H142" s="326"/>
      <c r="I142" s="326"/>
      <c r="J142" s="326"/>
      <c r="K142" s="326"/>
      <c r="L142" s="326"/>
      <c r="M142" s="326"/>
      <c r="N142" s="326"/>
      <c r="O142" s="326"/>
      <c r="P142" s="326"/>
      <c r="Q142" s="326"/>
      <c r="R142" s="326"/>
      <c r="S142" s="326"/>
      <c r="T142" s="326"/>
      <c r="U142" s="326"/>
      <c r="V142" s="326"/>
      <c r="W142" s="326"/>
      <c r="X142" s="326"/>
      <c r="Y142" s="326"/>
    </row>
    <row r="143">
      <c r="A143" s="326"/>
      <c r="B143" s="326"/>
      <c r="C143" s="326"/>
      <c r="D143" s="326"/>
      <c r="E143" s="326"/>
      <c r="F143" s="326"/>
      <c r="G143" s="326"/>
      <c r="H143" s="326"/>
      <c r="I143" s="326"/>
      <c r="J143" s="326"/>
      <c r="K143" s="326"/>
      <c r="L143" s="326"/>
      <c r="M143" s="326"/>
      <c r="N143" s="326"/>
      <c r="O143" s="326"/>
      <c r="P143" s="326"/>
      <c r="Q143" s="326"/>
      <c r="R143" s="326"/>
      <c r="S143" s="326"/>
      <c r="T143" s="326"/>
      <c r="U143" s="326"/>
      <c r="V143" s="326"/>
      <c r="W143" s="326"/>
      <c r="X143" s="326"/>
      <c r="Y143" s="326"/>
    </row>
    <row r="144">
      <c r="A144" s="326"/>
      <c r="B144" s="326"/>
      <c r="C144" s="326"/>
      <c r="D144" s="326"/>
      <c r="E144" s="326"/>
      <c r="F144" s="326"/>
      <c r="G144" s="326"/>
      <c r="H144" s="326"/>
      <c r="I144" s="326"/>
      <c r="J144" s="326"/>
      <c r="K144" s="326"/>
      <c r="L144" s="326"/>
      <c r="M144" s="326"/>
      <c r="N144" s="326"/>
      <c r="O144" s="326"/>
      <c r="P144" s="326"/>
      <c r="Q144" s="326"/>
      <c r="R144" s="326"/>
      <c r="S144" s="326"/>
      <c r="T144" s="326"/>
      <c r="U144" s="326"/>
      <c r="V144" s="326"/>
      <c r="W144" s="326"/>
      <c r="X144" s="326"/>
      <c r="Y144" s="326"/>
    </row>
    <row r="145">
      <c r="A145" s="326"/>
      <c r="B145" s="326"/>
      <c r="C145" s="326"/>
      <c r="D145" s="326"/>
      <c r="E145" s="326"/>
      <c r="F145" s="326"/>
      <c r="G145" s="326"/>
      <c r="H145" s="326"/>
      <c r="I145" s="326"/>
      <c r="J145" s="326"/>
      <c r="K145" s="326"/>
      <c r="L145" s="326"/>
      <c r="M145" s="326"/>
      <c r="N145" s="326"/>
      <c r="O145" s="326"/>
      <c r="P145" s="326"/>
      <c r="Q145" s="326"/>
      <c r="R145" s="326"/>
      <c r="S145" s="326"/>
      <c r="T145" s="326"/>
      <c r="U145" s="326"/>
      <c r="V145" s="326"/>
      <c r="W145" s="326"/>
      <c r="X145" s="326"/>
      <c r="Y145" s="326"/>
    </row>
    <row r="146">
      <c r="A146" s="326"/>
      <c r="B146" s="326"/>
      <c r="C146" s="326"/>
      <c r="D146" s="326"/>
      <c r="E146" s="326"/>
      <c r="F146" s="326"/>
      <c r="G146" s="326"/>
      <c r="H146" s="326"/>
      <c r="I146" s="326"/>
      <c r="J146" s="326"/>
      <c r="K146" s="326"/>
      <c r="L146" s="326"/>
      <c r="M146" s="326"/>
      <c r="N146" s="326"/>
      <c r="O146" s="326"/>
      <c r="P146" s="326"/>
      <c r="Q146" s="326"/>
      <c r="R146" s="326"/>
      <c r="S146" s="326"/>
      <c r="T146" s="326"/>
      <c r="U146" s="326"/>
      <c r="V146" s="326"/>
      <c r="W146" s="326"/>
      <c r="X146" s="326"/>
      <c r="Y146" s="326"/>
    </row>
    <row r="147">
      <c r="A147" s="326"/>
      <c r="B147" s="326"/>
      <c r="C147" s="326"/>
      <c r="D147" s="326"/>
      <c r="E147" s="326"/>
      <c r="F147" s="326"/>
      <c r="G147" s="326"/>
      <c r="H147" s="326"/>
      <c r="I147" s="326"/>
      <c r="J147" s="326"/>
      <c r="K147" s="326"/>
      <c r="L147" s="326"/>
      <c r="M147" s="326"/>
      <c r="N147" s="326"/>
      <c r="O147" s="326"/>
      <c r="P147" s="326"/>
      <c r="Q147" s="326"/>
      <c r="R147" s="326"/>
      <c r="S147" s="326"/>
      <c r="T147" s="326"/>
      <c r="U147" s="326"/>
      <c r="V147" s="326"/>
      <c r="W147" s="326"/>
      <c r="X147" s="326"/>
      <c r="Y147" s="326"/>
    </row>
    <row r="148">
      <c r="A148" s="326"/>
      <c r="B148" s="326"/>
      <c r="C148" s="326"/>
      <c r="D148" s="326"/>
      <c r="E148" s="326"/>
      <c r="F148" s="326"/>
      <c r="G148" s="326"/>
      <c r="H148" s="326"/>
      <c r="I148" s="326"/>
      <c r="J148" s="326"/>
      <c r="K148" s="326"/>
      <c r="L148" s="326"/>
      <c r="M148" s="326"/>
      <c r="N148" s="326"/>
      <c r="O148" s="326"/>
      <c r="P148" s="326"/>
      <c r="Q148" s="326"/>
      <c r="R148" s="326"/>
      <c r="S148" s="326"/>
      <c r="T148" s="326"/>
      <c r="U148" s="326"/>
      <c r="V148" s="326"/>
      <c r="W148" s="326"/>
      <c r="X148" s="326"/>
      <c r="Y148" s="326"/>
    </row>
    <row r="149">
      <c r="A149" s="326"/>
      <c r="B149" s="326"/>
      <c r="C149" s="326"/>
      <c r="D149" s="326"/>
      <c r="E149" s="326"/>
      <c r="F149" s="326"/>
      <c r="G149" s="326"/>
      <c r="H149" s="326"/>
      <c r="I149" s="326"/>
      <c r="J149" s="326"/>
      <c r="K149" s="326"/>
      <c r="L149" s="326"/>
      <c r="M149" s="326"/>
      <c r="N149" s="326"/>
      <c r="O149" s="326"/>
      <c r="P149" s="326"/>
      <c r="Q149" s="326"/>
      <c r="R149" s="326"/>
      <c r="S149" s="326"/>
      <c r="T149" s="326"/>
      <c r="U149" s="326"/>
      <c r="V149" s="326"/>
      <c r="W149" s="326"/>
      <c r="X149" s="326"/>
      <c r="Y149" s="326"/>
    </row>
    <row r="150">
      <c r="A150" s="326"/>
      <c r="B150" s="326"/>
      <c r="C150" s="326"/>
      <c r="D150" s="326"/>
      <c r="E150" s="326"/>
      <c r="F150" s="326"/>
      <c r="G150" s="326"/>
      <c r="H150" s="326"/>
      <c r="I150" s="326"/>
      <c r="J150" s="326"/>
      <c r="K150" s="326"/>
      <c r="L150" s="326"/>
      <c r="M150" s="326"/>
      <c r="N150" s="326"/>
      <c r="O150" s="326"/>
      <c r="P150" s="326"/>
      <c r="Q150" s="326"/>
      <c r="R150" s="326"/>
      <c r="S150" s="326"/>
      <c r="T150" s="326"/>
      <c r="U150" s="326"/>
      <c r="V150" s="326"/>
      <c r="W150" s="326"/>
      <c r="X150" s="326"/>
      <c r="Y150" s="326"/>
    </row>
    <row r="151">
      <c r="A151" s="326"/>
      <c r="B151" s="326"/>
      <c r="C151" s="326"/>
      <c r="D151" s="326"/>
      <c r="E151" s="326"/>
      <c r="F151" s="326"/>
      <c r="G151" s="326"/>
      <c r="H151" s="326"/>
      <c r="I151" s="326"/>
      <c r="J151" s="326"/>
      <c r="K151" s="326"/>
      <c r="L151" s="326"/>
      <c r="M151" s="326"/>
      <c r="N151" s="326"/>
      <c r="O151" s="326"/>
      <c r="P151" s="326"/>
      <c r="Q151" s="326"/>
      <c r="R151" s="326"/>
      <c r="S151" s="326"/>
      <c r="T151" s="326"/>
      <c r="U151" s="326"/>
      <c r="V151" s="326"/>
      <c r="W151" s="326"/>
      <c r="X151" s="326"/>
      <c r="Y151" s="326"/>
    </row>
    <row r="152">
      <c r="A152" s="326"/>
      <c r="B152" s="326"/>
      <c r="C152" s="326"/>
      <c r="D152" s="326"/>
      <c r="E152" s="326"/>
      <c r="F152" s="326"/>
      <c r="G152" s="326"/>
      <c r="H152" s="326"/>
      <c r="I152" s="326"/>
      <c r="J152" s="326"/>
      <c r="K152" s="326"/>
      <c r="L152" s="326"/>
      <c r="M152" s="326"/>
      <c r="N152" s="326"/>
      <c r="O152" s="326"/>
      <c r="P152" s="326"/>
      <c r="Q152" s="326"/>
      <c r="R152" s="326"/>
      <c r="S152" s="326"/>
      <c r="T152" s="326"/>
      <c r="U152" s="326"/>
      <c r="V152" s="326"/>
      <c r="W152" s="326"/>
      <c r="X152" s="326"/>
      <c r="Y152" s="326"/>
    </row>
    <row r="153">
      <c r="A153" s="326"/>
      <c r="B153" s="326"/>
      <c r="C153" s="326"/>
      <c r="D153" s="326"/>
      <c r="E153" s="326"/>
      <c r="F153" s="326"/>
      <c r="G153" s="326"/>
      <c r="H153" s="326"/>
      <c r="I153" s="326"/>
      <c r="J153" s="326"/>
      <c r="K153" s="326"/>
      <c r="L153" s="326"/>
      <c r="M153" s="326"/>
      <c r="N153" s="326"/>
      <c r="O153" s="326"/>
      <c r="P153" s="326"/>
      <c r="Q153" s="326"/>
      <c r="R153" s="326"/>
      <c r="S153" s="326"/>
      <c r="T153" s="326"/>
      <c r="U153" s="326"/>
      <c r="V153" s="326"/>
      <c r="W153" s="326"/>
      <c r="X153" s="326"/>
      <c r="Y153" s="326"/>
    </row>
    <row r="154">
      <c r="A154" s="326"/>
      <c r="B154" s="326"/>
      <c r="C154" s="326"/>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row>
    <row r="155">
      <c r="A155" s="326"/>
      <c r="B155" s="326"/>
      <c r="C155" s="326"/>
      <c r="D155" s="326"/>
      <c r="E155" s="326"/>
      <c r="F155" s="326"/>
      <c r="G155" s="326"/>
      <c r="H155" s="326"/>
      <c r="I155" s="326"/>
      <c r="J155" s="326"/>
      <c r="K155" s="326"/>
      <c r="L155" s="326"/>
      <c r="M155" s="326"/>
      <c r="N155" s="326"/>
      <c r="O155" s="326"/>
      <c r="P155" s="326"/>
      <c r="Q155" s="326"/>
      <c r="R155" s="326"/>
      <c r="S155" s="326"/>
      <c r="T155" s="326"/>
      <c r="U155" s="326"/>
      <c r="V155" s="326"/>
      <c r="W155" s="326"/>
      <c r="X155" s="326"/>
      <c r="Y155" s="326"/>
    </row>
    <row r="156">
      <c r="A156" s="326"/>
      <c r="B156" s="326"/>
      <c r="C156" s="326"/>
      <c r="D156" s="326"/>
      <c r="E156" s="326"/>
      <c r="F156" s="326"/>
      <c r="G156" s="326"/>
      <c r="H156" s="326"/>
      <c r="I156" s="326"/>
      <c r="J156" s="326"/>
      <c r="K156" s="326"/>
      <c r="L156" s="326"/>
      <c r="M156" s="326"/>
      <c r="N156" s="326"/>
      <c r="O156" s="326"/>
      <c r="P156" s="326"/>
      <c r="Q156" s="326"/>
      <c r="R156" s="326"/>
      <c r="S156" s="326"/>
      <c r="T156" s="326"/>
      <c r="U156" s="326"/>
      <c r="V156" s="326"/>
      <c r="W156" s="326"/>
      <c r="X156" s="326"/>
      <c r="Y156" s="326"/>
    </row>
    <row r="157">
      <c r="A157" s="326"/>
      <c r="B157" s="326"/>
      <c r="C157" s="326"/>
      <c r="D157" s="326"/>
      <c r="E157" s="326"/>
      <c r="F157" s="326"/>
      <c r="G157" s="326"/>
      <c r="H157" s="326"/>
      <c r="I157" s="326"/>
      <c r="J157" s="326"/>
      <c r="K157" s="326"/>
      <c r="L157" s="326"/>
      <c r="M157" s="326"/>
      <c r="N157" s="326"/>
      <c r="O157" s="326"/>
      <c r="P157" s="326"/>
      <c r="Q157" s="326"/>
      <c r="R157" s="326"/>
      <c r="S157" s="326"/>
      <c r="T157" s="326"/>
      <c r="U157" s="326"/>
      <c r="V157" s="326"/>
      <c r="W157" s="326"/>
      <c r="X157" s="326"/>
      <c r="Y157" s="326"/>
    </row>
    <row r="158">
      <c r="A158" s="326"/>
      <c r="B158" s="326"/>
      <c r="C158" s="326"/>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row>
    <row r="159">
      <c r="A159" s="326"/>
      <c r="B159" s="326"/>
      <c r="C159" s="326"/>
      <c r="D159" s="326"/>
      <c r="E159" s="326"/>
      <c r="F159" s="326"/>
      <c r="G159" s="326"/>
      <c r="H159" s="326"/>
      <c r="I159" s="326"/>
      <c r="J159" s="326"/>
      <c r="K159" s="326"/>
      <c r="L159" s="326"/>
      <c r="M159" s="326"/>
      <c r="N159" s="326"/>
      <c r="O159" s="326"/>
      <c r="P159" s="326"/>
      <c r="Q159" s="326"/>
      <c r="R159" s="326"/>
      <c r="S159" s="326"/>
      <c r="T159" s="326"/>
      <c r="U159" s="326"/>
      <c r="V159" s="326"/>
      <c r="W159" s="326"/>
      <c r="X159" s="326"/>
      <c r="Y159" s="326"/>
    </row>
    <row r="160">
      <c r="A160" s="326"/>
      <c r="B160" s="326"/>
      <c r="C160" s="326"/>
      <c r="D160" s="326"/>
      <c r="E160" s="326"/>
      <c r="F160" s="326"/>
      <c r="G160" s="326"/>
      <c r="H160" s="326"/>
      <c r="I160" s="326"/>
      <c r="J160" s="326"/>
      <c r="K160" s="326"/>
      <c r="L160" s="326"/>
      <c r="M160" s="326"/>
      <c r="N160" s="326"/>
      <c r="O160" s="326"/>
      <c r="P160" s="326"/>
      <c r="Q160" s="326"/>
      <c r="R160" s="326"/>
      <c r="S160" s="326"/>
      <c r="T160" s="326"/>
      <c r="U160" s="326"/>
      <c r="V160" s="326"/>
      <c r="W160" s="326"/>
      <c r="X160" s="326"/>
      <c r="Y160" s="326"/>
    </row>
    <row r="161">
      <c r="A161" s="326"/>
      <c r="B161" s="326"/>
      <c r="C161" s="326"/>
      <c r="D161" s="326"/>
      <c r="E161" s="326"/>
      <c r="F161" s="326"/>
      <c r="G161" s="326"/>
      <c r="H161" s="326"/>
      <c r="I161" s="326"/>
      <c r="J161" s="326"/>
      <c r="K161" s="326"/>
      <c r="L161" s="326"/>
      <c r="M161" s="326"/>
      <c r="N161" s="326"/>
      <c r="O161" s="326"/>
      <c r="P161" s="326"/>
      <c r="Q161" s="326"/>
      <c r="R161" s="326"/>
      <c r="S161" s="326"/>
      <c r="T161" s="326"/>
      <c r="U161" s="326"/>
      <c r="V161" s="326"/>
      <c r="W161" s="326"/>
      <c r="X161" s="326"/>
      <c r="Y161" s="326"/>
    </row>
    <row r="162">
      <c r="A162" s="326"/>
      <c r="B162" s="326"/>
      <c r="C162" s="326"/>
      <c r="D162" s="326"/>
      <c r="E162" s="326"/>
      <c r="F162" s="326"/>
      <c r="G162" s="326"/>
      <c r="H162" s="326"/>
      <c r="I162" s="326"/>
      <c r="J162" s="326"/>
      <c r="K162" s="326"/>
      <c r="L162" s="326"/>
      <c r="M162" s="326"/>
      <c r="N162" s="326"/>
      <c r="O162" s="326"/>
      <c r="P162" s="326"/>
      <c r="Q162" s="326"/>
      <c r="R162" s="326"/>
      <c r="S162" s="326"/>
      <c r="T162" s="326"/>
      <c r="U162" s="326"/>
      <c r="V162" s="326"/>
      <c r="W162" s="326"/>
      <c r="X162" s="326"/>
      <c r="Y162" s="326"/>
    </row>
    <row r="163">
      <c r="A163" s="326"/>
      <c r="B163" s="326"/>
      <c r="C163" s="326"/>
      <c r="D163" s="326"/>
      <c r="E163" s="326"/>
      <c r="F163" s="326"/>
      <c r="G163" s="326"/>
      <c r="H163" s="326"/>
      <c r="I163" s="326"/>
      <c r="J163" s="326"/>
      <c r="K163" s="326"/>
      <c r="L163" s="326"/>
      <c r="M163" s="326"/>
      <c r="N163" s="326"/>
      <c r="O163" s="326"/>
      <c r="P163" s="326"/>
      <c r="Q163" s="326"/>
      <c r="R163" s="326"/>
      <c r="S163" s="326"/>
      <c r="T163" s="326"/>
      <c r="U163" s="326"/>
      <c r="V163" s="326"/>
      <c r="W163" s="326"/>
      <c r="X163" s="326"/>
      <c r="Y163" s="326"/>
    </row>
    <row r="164">
      <c r="A164" s="326"/>
      <c r="B164" s="326"/>
      <c r="C164" s="326"/>
      <c r="D164" s="326"/>
      <c r="E164" s="326"/>
      <c r="F164" s="326"/>
      <c r="G164" s="326"/>
      <c r="H164" s="326"/>
      <c r="I164" s="326"/>
      <c r="J164" s="326"/>
      <c r="K164" s="326"/>
      <c r="L164" s="326"/>
      <c r="M164" s="326"/>
      <c r="N164" s="326"/>
      <c r="O164" s="326"/>
      <c r="P164" s="326"/>
      <c r="Q164" s="326"/>
      <c r="R164" s="326"/>
      <c r="S164" s="326"/>
      <c r="T164" s="326"/>
      <c r="U164" s="326"/>
      <c r="V164" s="326"/>
      <c r="W164" s="326"/>
      <c r="X164" s="326"/>
      <c r="Y164" s="326"/>
    </row>
    <row r="165">
      <c r="A165" s="326"/>
      <c r="B165" s="326"/>
      <c r="C165" s="326"/>
      <c r="D165" s="326"/>
      <c r="E165" s="326"/>
      <c r="F165" s="326"/>
      <c r="G165" s="326"/>
      <c r="H165" s="326"/>
      <c r="I165" s="326"/>
      <c r="J165" s="326"/>
      <c r="K165" s="326"/>
      <c r="L165" s="326"/>
      <c r="M165" s="326"/>
      <c r="N165" s="326"/>
      <c r="O165" s="326"/>
      <c r="P165" s="326"/>
      <c r="Q165" s="326"/>
      <c r="R165" s="326"/>
      <c r="S165" s="326"/>
      <c r="T165" s="326"/>
      <c r="U165" s="326"/>
      <c r="V165" s="326"/>
      <c r="W165" s="326"/>
      <c r="X165" s="326"/>
      <c r="Y165" s="326"/>
    </row>
    <row r="166">
      <c r="A166" s="326"/>
      <c r="B166" s="326"/>
      <c r="C166" s="326"/>
      <c r="D166" s="326"/>
      <c r="E166" s="326"/>
      <c r="F166" s="326"/>
      <c r="G166" s="326"/>
      <c r="H166" s="326"/>
      <c r="I166" s="326"/>
      <c r="J166" s="326"/>
      <c r="K166" s="326"/>
      <c r="L166" s="326"/>
      <c r="M166" s="326"/>
      <c r="N166" s="326"/>
      <c r="O166" s="326"/>
      <c r="P166" s="326"/>
      <c r="Q166" s="326"/>
      <c r="R166" s="326"/>
      <c r="S166" s="326"/>
      <c r="T166" s="326"/>
      <c r="U166" s="326"/>
      <c r="V166" s="326"/>
      <c r="W166" s="326"/>
      <c r="X166" s="326"/>
      <c r="Y166" s="326"/>
    </row>
    <row r="167">
      <c r="A167" s="326"/>
      <c r="B167" s="326"/>
      <c r="C167" s="326"/>
      <c r="D167" s="326"/>
      <c r="E167" s="326"/>
      <c r="F167" s="326"/>
      <c r="G167" s="326"/>
      <c r="H167" s="326"/>
      <c r="I167" s="326"/>
      <c r="J167" s="326"/>
      <c r="K167" s="326"/>
      <c r="L167" s="326"/>
      <c r="M167" s="326"/>
      <c r="N167" s="326"/>
      <c r="O167" s="326"/>
      <c r="P167" s="326"/>
      <c r="Q167" s="326"/>
      <c r="R167" s="326"/>
      <c r="S167" s="326"/>
      <c r="T167" s="326"/>
      <c r="U167" s="326"/>
      <c r="V167" s="326"/>
      <c r="W167" s="326"/>
      <c r="X167" s="326"/>
      <c r="Y167" s="326"/>
    </row>
    <row r="168">
      <c r="A168" s="326"/>
      <c r="B168" s="326"/>
      <c r="C168" s="326"/>
      <c r="D168" s="326"/>
      <c r="E168" s="326"/>
      <c r="F168" s="326"/>
      <c r="G168" s="326"/>
      <c r="H168" s="326"/>
      <c r="I168" s="326"/>
      <c r="J168" s="326"/>
      <c r="K168" s="326"/>
      <c r="L168" s="326"/>
      <c r="M168" s="326"/>
      <c r="N168" s="326"/>
      <c r="O168" s="326"/>
      <c r="P168" s="326"/>
      <c r="Q168" s="326"/>
      <c r="R168" s="326"/>
      <c r="S168" s="326"/>
      <c r="T168" s="326"/>
      <c r="U168" s="326"/>
      <c r="V168" s="326"/>
      <c r="W168" s="326"/>
      <c r="X168" s="326"/>
      <c r="Y168" s="326"/>
    </row>
    <row r="169">
      <c r="A169" s="326"/>
      <c r="B169" s="326"/>
      <c r="C169" s="326"/>
      <c r="D169" s="326"/>
      <c r="E169" s="326"/>
      <c r="F169" s="326"/>
      <c r="G169" s="326"/>
      <c r="H169" s="326"/>
      <c r="I169" s="326"/>
      <c r="J169" s="326"/>
      <c r="K169" s="326"/>
      <c r="L169" s="326"/>
      <c r="M169" s="326"/>
      <c r="N169" s="326"/>
      <c r="O169" s="326"/>
      <c r="P169" s="326"/>
      <c r="Q169" s="326"/>
      <c r="R169" s="326"/>
      <c r="S169" s="326"/>
      <c r="T169" s="326"/>
      <c r="U169" s="326"/>
      <c r="V169" s="326"/>
      <c r="W169" s="326"/>
      <c r="X169" s="326"/>
      <c r="Y169" s="326"/>
    </row>
    <row r="170">
      <c r="A170" s="326"/>
      <c r="B170" s="326"/>
      <c r="C170" s="326"/>
      <c r="D170" s="326"/>
      <c r="E170" s="326"/>
      <c r="F170" s="326"/>
      <c r="G170" s="326"/>
      <c r="H170" s="326"/>
      <c r="I170" s="326"/>
      <c r="J170" s="326"/>
      <c r="K170" s="326"/>
      <c r="L170" s="326"/>
      <c r="M170" s="326"/>
      <c r="N170" s="326"/>
      <c r="O170" s="326"/>
      <c r="P170" s="326"/>
      <c r="Q170" s="326"/>
      <c r="R170" s="326"/>
      <c r="S170" s="326"/>
      <c r="T170" s="326"/>
      <c r="U170" s="326"/>
      <c r="V170" s="326"/>
      <c r="W170" s="326"/>
      <c r="X170" s="326"/>
      <c r="Y170" s="326"/>
    </row>
    <row r="171">
      <c r="A171" s="326"/>
      <c r="B171" s="326"/>
      <c r="C171" s="326"/>
      <c r="D171" s="326"/>
      <c r="E171" s="326"/>
      <c r="F171" s="326"/>
      <c r="G171" s="326"/>
      <c r="H171" s="326"/>
      <c r="I171" s="326"/>
      <c r="J171" s="326"/>
      <c r="K171" s="326"/>
      <c r="L171" s="326"/>
      <c r="M171" s="326"/>
      <c r="N171" s="326"/>
      <c r="O171" s="326"/>
      <c r="P171" s="326"/>
      <c r="Q171" s="326"/>
      <c r="R171" s="326"/>
      <c r="S171" s="326"/>
      <c r="T171" s="326"/>
      <c r="U171" s="326"/>
      <c r="V171" s="326"/>
      <c r="W171" s="326"/>
      <c r="X171" s="326"/>
      <c r="Y171" s="326"/>
    </row>
    <row r="172">
      <c r="A172" s="326"/>
      <c r="B172" s="326"/>
      <c r="C172" s="326"/>
      <c r="D172" s="326"/>
      <c r="E172" s="326"/>
      <c r="F172" s="326"/>
      <c r="G172" s="326"/>
      <c r="H172" s="326"/>
      <c r="I172" s="326"/>
      <c r="J172" s="326"/>
      <c r="K172" s="326"/>
      <c r="L172" s="326"/>
      <c r="M172" s="326"/>
      <c r="N172" s="326"/>
      <c r="O172" s="326"/>
      <c r="P172" s="326"/>
      <c r="Q172" s="326"/>
      <c r="R172" s="326"/>
      <c r="S172" s="326"/>
      <c r="T172" s="326"/>
      <c r="U172" s="326"/>
      <c r="V172" s="326"/>
      <c r="W172" s="326"/>
      <c r="X172" s="326"/>
      <c r="Y172" s="326"/>
    </row>
    <row r="173">
      <c r="A173" s="326"/>
      <c r="B173" s="326"/>
      <c r="C173" s="326"/>
      <c r="D173" s="326"/>
      <c r="E173" s="326"/>
      <c r="F173" s="326"/>
      <c r="G173" s="326"/>
      <c r="H173" s="326"/>
      <c r="I173" s="326"/>
      <c r="J173" s="326"/>
      <c r="K173" s="326"/>
      <c r="L173" s="326"/>
      <c r="M173" s="326"/>
      <c r="N173" s="326"/>
      <c r="O173" s="326"/>
      <c r="P173" s="326"/>
      <c r="Q173" s="326"/>
      <c r="R173" s="326"/>
      <c r="S173" s="326"/>
      <c r="T173" s="326"/>
      <c r="U173" s="326"/>
      <c r="V173" s="326"/>
      <c r="W173" s="326"/>
      <c r="X173" s="326"/>
      <c r="Y173" s="326"/>
    </row>
    <row r="174">
      <c r="A174" s="326"/>
      <c r="B174" s="326"/>
      <c r="C174" s="326"/>
      <c r="D174" s="326"/>
      <c r="E174" s="326"/>
      <c r="F174" s="326"/>
      <c r="G174" s="326"/>
      <c r="H174" s="326"/>
      <c r="I174" s="326"/>
      <c r="J174" s="326"/>
      <c r="K174" s="326"/>
      <c r="L174" s="326"/>
      <c r="M174" s="326"/>
      <c r="N174" s="326"/>
      <c r="O174" s="326"/>
      <c r="P174" s="326"/>
      <c r="Q174" s="326"/>
      <c r="R174" s="326"/>
      <c r="S174" s="326"/>
      <c r="T174" s="326"/>
      <c r="U174" s="326"/>
      <c r="V174" s="326"/>
      <c r="W174" s="326"/>
      <c r="X174" s="326"/>
      <c r="Y174" s="326"/>
    </row>
    <row r="175">
      <c r="A175" s="326"/>
      <c r="B175" s="326"/>
      <c r="C175" s="326"/>
      <c r="D175" s="326"/>
      <c r="E175" s="326"/>
      <c r="F175" s="326"/>
      <c r="G175" s="326"/>
      <c r="H175" s="326"/>
      <c r="I175" s="326"/>
      <c r="J175" s="326"/>
      <c r="K175" s="326"/>
      <c r="L175" s="326"/>
      <c r="M175" s="326"/>
      <c r="N175" s="326"/>
      <c r="O175" s="326"/>
      <c r="P175" s="326"/>
      <c r="Q175" s="326"/>
      <c r="R175" s="326"/>
      <c r="S175" s="326"/>
      <c r="T175" s="326"/>
      <c r="U175" s="326"/>
      <c r="V175" s="326"/>
      <c r="W175" s="326"/>
      <c r="X175" s="326"/>
      <c r="Y175" s="326"/>
    </row>
    <row r="176">
      <c r="A176" s="326"/>
      <c r="B176" s="326"/>
      <c r="C176" s="326"/>
      <c r="D176" s="326"/>
      <c r="E176" s="326"/>
      <c r="F176" s="326"/>
      <c r="G176" s="326"/>
      <c r="H176" s="326"/>
      <c r="I176" s="326"/>
      <c r="J176" s="326"/>
      <c r="K176" s="326"/>
      <c r="L176" s="326"/>
      <c r="M176" s="326"/>
      <c r="N176" s="326"/>
      <c r="O176" s="326"/>
      <c r="P176" s="326"/>
      <c r="Q176" s="326"/>
      <c r="R176" s="326"/>
      <c r="S176" s="326"/>
      <c r="T176" s="326"/>
      <c r="U176" s="326"/>
      <c r="V176" s="326"/>
      <c r="W176" s="326"/>
      <c r="X176" s="326"/>
      <c r="Y176" s="326"/>
    </row>
    <row r="177">
      <c r="A177" s="326"/>
      <c r="B177" s="326"/>
      <c r="C177" s="326"/>
      <c r="D177" s="326"/>
      <c r="E177" s="326"/>
      <c r="F177" s="326"/>
      <c r="G177" s="326"/>
      <c r="H177" s="326"/>
      <c r="I177" s="326"/>
      <c r="J177" s="326"/>
      <c r="K177" s="326"/>
      <c r="L177" s="326"/>
      <c r="M177" s="326"/>
      <c r="N177" s="326"/>
      <c r="O177" s="326"/>
      <c r="P177" s="326"/>
      <c r="Q177" s="326"/>
      <c r="R177" s="326"/>
      <c r="S177" s="326"/>
      <c r="T177" s="326"/>
      <c r="U177" s="326"/>
      <c r="V177" s="326"/>
      <c r="W177" s="326"/>
      <c r="X177" s="326"/>
      <c r="Y177" s="326"/>
    </row>
    <row r="178">
      <c r="A178" s="326"/>
      <c r="B178" s="326"/>
      <c r="C178" s="326"/>
      <c r="D178" s="326"/>
      <c r="E178" s="326"/>
      <c r="F178" s="326"/>
      <c r="G178" s="326"/>
      <c r="H178" s="326"/>
      <c r="I178" s="326"/>
      <c r="J178" s="326"/>
      <c r="K178" s="326"/>
      <c r="L178" s="326"/>
      <c r="M178" s="326"/>
      <c r="N178" s="326"/>
      <c r="O178" s="326"/>
      <c r="P178" s="326"/>
      <c r="Q178" s="326"/>
      <c r="R178" s="326"/>
      <c r="S178" s="326"/>
      <c r="T178" s="326"/>
      <c r="U178" s="326"/>
      <c r="V178" s="326"/>
      <c r="W178" s="326"/>
      <c r="X178" s="326"/>
      <c r="Y178" s="326"/>
    </row>
    <row r="179">
      <c r="A179" s="326"/>
      <c r="B179" s="326"/>
      <c r="C179" s="326"/>
      <c r="D179" s="326"/>
      <c r="E179" s="326"/>
      <c r="F179" s="326"/>
      <c r="G179" s="326"/>
      <c r="H179" s="326"/>
      <c r="I179" s="326"/>
      <c r="J179" s="326"/>
      <c r="K179" s="326"/>
      <c r="L179" s="326"/>
      <c r="M179" s="326"/>
      <c r="N179" s="326"/>
      <c r="O179" s="326"/>
      <c r="P179" s="326"/>
      <c r="Q179" s="326"/>
      <c r="R179" s="326"/>
      <c r="S179" s="326"/>
      <c r="T179" s="326"/>
      <c r="U179" s="326"/>
      <c r="V179" s="326"/>
      <c r="W179" s="326"/>
      <c r="X179" s="326"/>
      <c r="Y179" s="326"/>
    </row>
    <row r="180">
      <c r="A180" s="326"/>
      <c r="B180" s="326"/>
      <c r="C180" s="326"/>
      <c r="D180" s="326"/>
      <c r="E180" s="326"/>
      <c r="F180" s="326"/>
      <c r="G180" s="326"/>
      <c r="H180" s="326"/>
      <c r="I180" s="326"/>
      <c r="J180" s="326"/>
      <c r="K180" s="326"/>
      <c r="L180" s="326"/>
      <c r="M180" s="326"/>
      <c r="N180" s="326"/>
      <c r="O180" s="326"/>
      <c r="P180" s="326"/>
      <c r="Q180" s="326"/>
      <c r="R180" s="326"/>
      <c r="S180" s="326"/>
      <c r="T180" s="326"/>
      <c r="U180" s="326"/>
      <c r="V180" s="326"/>
      <c r="W180" s="326"/>
      <c r="X180" s="326"/>
      <c r="Y180" s="326"/>
    </row>
    <row r="181">
      <c r="A181" s="326"/>
      <c r="B181" s="326"/>
      <c r="C181" s="326"/>
      <c r="D181" s="326"/>
      <c r="E181" s="326"/>
      <c r="F181" s="326"/>
      <c r="G181" s="326"/>
      <c r="H181" s="326"/>
      <c r="I181" s="326"/>
      <c r="J181" s="326"/>
      <c r="K181" s="326"/>
      <c r="L181" s="326"/>
      <c r="M181" s="326"/>
      <c r="N181" s="326"/>
      <c r="O181" s="326"/>
      <c r="P181" s="326"/>
      <c r="Q181" s="326"/>
      <c r="R181" s="326"/>
      <c r="S181" s="326"/>
      <c r="T181" s="326"/>
      <c r="U181" s="326"/>
      <c r="V181" s="326"/>
      <c r="W181" s="326"/>
      <c r="X181" s="326"/>
      <c r="Y181" s="326"/>
    </row>
    <row r="182">
      <c r="A182" s="326"/>
      <c r="B182" s="326"/>
      <c r="C182" s="326"/>
      <c r="D182" s="326"/>
      <c r="E182" s="326"/>
      <c r="F182" s="326"/>
      <c r="G182" s="326"/>
      <c r="H182" s="326"/>
      <c r="I182" s="326"/>
      <c r="J182" s="326"/>
      <c r="K182" s="326"/>
      <c r="L182" s="326"/>
      <c r="M182" s="326"/>
      <c r="N182" s="326"/>
      <c r="O182" s="326"/>
      <c r="P182" s="326"/>
      <c r="Q182" s="326"/>
      <c r="R182" s="326"/>
      <c r="S182" s="326"/>
      <c r="T182" s="326"/>
      <c r="U182" s="326"/>
      <c r="V182" s="326"/>
      <c r="W182" s="326"/>
      <c r="X182" s="326"/>
      <c r="Y182" s="326"/>
    </row>
    <row r="183">
      <c r="A183" s="326"/>
      <c r="B183" s="326"/>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row>
    <row r="184">
      <c r="A184" s="326"/>
      <c r="B184" s="326"/>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row>
    <row r="185">
      <c r="A185" s="326"/>
      <c r="B185" s="326"/>
      <c r="C185" s="326"/>
      <c r="D185" s="326"/>
      <c r="E185" s="326"/>
      <c r="F185" s="326"/>
      <c r="G185" s="326"/>
      <c r="H185" s="326"/>
      <c r="I185" s="326"/>
      <c r="J185" s="326"/>
      <c r="K185" s="326"/>
      <c r="L185" s="326"/>
      <c r="M185" s="326"/>
      <c r="N185" s="326"/>
      <c r="O185" s="326"/>
      <c r="P185" s="326"/>
      <c r="Q185" s="326"/>
      <c r="R185" s="326"/>
      <c r="S185" s="326"/>
      <c r="T185" s="326"/>
      <c r="U185" s="326"/>
      <c r="V185" s="326"/>
      <c r="W185" s="326"/>
      <c r="X185" s="326"/>
      <c r="Y185" s="326"/>
    </row>
    <row r="186">
      <c r="A186" s="326"/>
      <c r="B186" s="326"/>
      <c r="C186" s="326"/>
      <c r="D186" s="326"/>
      <c r="E186" s="326"/>
      <c r="F186" s="326"/>
      <c r="G186" s="326"/>
      <c r="H186" s="326"/>
      <c r="I186" s="326"/>
      <c r="J186" s="326"/>
      <c r="K186" s="326"/>
      <c r="L186" s="326"/>
      <c r="M186" s="326"/>
      <c r="N186" s="326"/>
      <c r="O186" s="326"/>
      <c r="P186" s="326"/>
      <c r="Q186" s="326"/>
      <c r="R186" s="326"/>
      <c r="S186" s="326"/>
      <c r="T186" s="326"/>
      <c r="U186" s="326"/>
      <c r="V186" s="326"/>
      <c r="W186" s="326"/>
      <c r="X186" s="326"/>
      <c r="Y186" s="326"/>
    </row>
    <row r="187">
      <c r="A187" s="326"/>
      <c r="B187" s="326"/>
      <c r="C187" s="326"/>
      <c r="D187" s="326"/>
      <c r="E187" s="326"/>
      <c r="F187" s="326"/>
      <c r="G187" s="326"/>
      <c r="H187" s="326"/>
      <c r="I187" s="326"/>
      <c r="J187" s="326"/>
      <c r="K187" s="326"/>
      <c r="L187" s="326"/>
      <c r="M187" s="326"/>
      <c r="N187" s="326"/>
      <c r="O187" s="326"/>
      <c r="P187" s="326"/>
      <c r="Q187" s="326"/>
      <c r="R187" s="326"/>
      <c r="S187" s="326"/>
      <c r="T187" s="326"/>
      <c r="U187" s="326"/>
      <c r="V187" s="326"/>
      <c r="W187" s="326"/>
      <c r="X187" s="326"/>
      <c r="Y187" s="326"/>
    </row>
    <row r="188">
      <c r="A188" s="326"/>
      <c r="B188" s="326"/>
      <c r="C188" s="326"/>
      <c r="D188" s="326"/>
      <c r="E188" s="326"/>
      <c r="F188" s="326"/>
      <c r="G188" s="326"/>
      <c r="H188" s="326"/>
      <c r="I188" s="326"/>
      <c r="J188" s="326"/>
      <c r="K188" s="326"/>
      <c r="L188" s="326"/>
      <c r="M188" s="326"/>
      <c r="N188" s="326"/>
      <c r="O188" s="326"/>
      <c r="P188" s="326"/>
      <c r="Q188" s="326"/>
      <c r="R188" s="326"/>
      <c r="S188" s="326"/>
      <c r="T188" s="326"/>
      <c r="U188" s="326"/>
      <c r="V188" s="326"/>
      <c r="W188" s="326"/>
      <c r="X188" s="326"/>
      <c r="Y188" s="326"/>
    </row>
    <row r="189">
      <c r="A189" s="326"/>
      <c r="B189" s="326"/>
      <c r="C189" s="326"/>
      <c r="D189" s="326"/>
      <c r="E189" s="326"/>
      <c r="F189" s="326"/>
      <c r="G189" s="326"/>
      <c r="H189" s="326"/>
      <c r="I189" s="326"/>
      <c r="J189" s="326"/>
      <c r="K189" s="326"/>
      <c r="L189" s="326"/>
      <c r="M189" s="326"/>
      <c r="N189" s="326"/>
      <c r="O189" s="326"/>
      <c r="P189" s="326"/>
      <c r="Q189" s="326"/>
      <c r="R189" s="326"/>
      <c r="S189" s="326"/>
      <c r="T189" s="326"/>
      <c r="U189" s="326"/>
      <c r="V189" s="326"/>
      <c r="W189" s="326"/>
      <c r="X189" s="326"/>
      <c r="Y189" s="326"/>
    </row>
    <row r="190">
      <c r="A190" s="326"/>
      <c r="B190" s="326"/>
      <c r="C190" s="326"/>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row>
    <row r="191">
      <c r="A191" s="326"/>
      <c r="B191" s="326"/>
      <c r="C191" s="326"/>
      <c r="D191" s="326"/>
      <c r="E191" s="326"/>
      <c r="F191" s="326"/>
      <c r="G191" s="326"/>
      <c r="H191" s="326"/>
      <c r="I191" s="326"/>
      <c r="J191" s="326"/>
      <c r="K191" s="326"/>
      <c r="L191" s="326"/>
      <c r="M191" s="326"/>
      <c r="N191" s="326"/>
      <c r="O191" s="326"/>
      <c r="P191" s="326"/>
      <c r="Q191" s="326"/>
      <c r="R191" s="326"/>
      <c r="S191" s="326"/>
      <c r="T191" s="326"/>
      <c r="U191" s="326"/>
      <c r="V191" s="326"/>
      <c r="W191" s="326"/>
      <c r="X191" s="326"/>
      <c r="Y191" s="326"/>
    </row>
    <row r="192">
      <c r="A192" s="326"/>
      <c r="B192" s="326"/>
      <c r="C192" s="326"/>
      <c r="D192" s="326"/>
      <c r="E192" s="326"/>
      <c r="F192" s="326"/>
      <c r="G192" s="326"/>
      <c r="H192" s="326"/>
      <c r="I192" s="326"/>
      <c r="J192" s="326"/>
      <c r="K192" s="326"/>
      <c r="L192" s="326"/>
      <c r="M192" s="326"/>
      <c r="N192" s="326"/>
      <c r="O192" s="326"/>
      <c r="P192" s="326"/>
      <c r="Q192" s="326"/>
      <c r="R192" s="326"/>
      <c r="S192" s="326"/>
      <c r="T192" s="326"/>
      <c r="U192" s="326"/>
      <c r="V192" s="326"/>
      <c r="W192" s="326"/>
      <c r="X192" s="326"/>
      <c r="Y192" s="326"/>
    </row>
    <row r="193">
      <c r="A193" s="326"/>
      <c r="B193" s="326"/>
      <c r="C193" s="326"/>
      <c r="D193" s="326"/>
      <c r="E193" s="326"/>
      <c r="F193" s="326"/>
      <c r="G193" s="326"/>
      <c r="H193" s="326"/>
      <c r="I193" s="326"/>
      <c r="J193" s="326"/>
      <c r="K193" s="326"/>
      <c r="L193" s="326"/>
      <c r="M193" s="326"/>
      <c r="N193" s="326"/>
      <c r="O193" s="326"/>
      <c r="P193" s="326"/>
      <c r="Q193" s="326"/>
      <c r="R193" s="326"/>
      <c r="S193" s="326"/>
      <c r="T193" s="326"/>
      <c r="U193" s="326"/>
      <c r="V193" s="326"/>
      <c r="W193" s="326"/>
      <c r="X193" s="326"/>
      <c r="Y193" s="326"/>
    </row>
    <row r="194">
      <c r="A194" s="326"/>
      <c r="B194" s="326"/>
      <c r="C194" s="326"/>
      <c r="D194" s="326"/>
      <c r="E194" s="326"/>
      <c r="F194" s="326"/>
      <c r="G194" s="326"/>
      <c r="H194" s="326"/>
      <c r="I194" s="326"/>
      <c r="J194" s="326"/>
      <c r="K194" s="326"/>
      <c r="L194" s="326"/>
      <c r="M194" s="326"/>
      <c r="N194" s="326"/>
      <c r="O194" s="326"/>
      <c r="P194" s="326"/>
      <c r="Q194" s="326"/>
      <c r="R194" s="326"/>
      <c r="S194" s="326"/>
      <c r="T194" s="326"/>
      <c r="U194" s="326"/>
      <c r="V194" s="326"/>
      <c r="W194" s="326"/>
      <c r="X194" s="326"/>
      <c r="Y194" s="326"/>
    </row>
    <row r="195">
      <c r="A195" s="326"/>
      <c r="B195" s="326"/>
      <c r="C195" s="326"/>
      <c r="D195" s="326"/>
      <c r="E195" s="326"/>
      <c r="F195" s="326"/>
      <c r="G195" s="326"/>
      <c r="H195" s="326"/>
      <c r="I195" s="326"/>
      <c r="J195" s="326"/>
      <c r="K195" s="326"/>
      <c r="L195" s="326"/>
      <c r="M195" s="326"/>
      <c r="N195" s="326"/>
      <c r="O195" s="326"/>
      <c r="P195" s="326"/>
      <c r="Q195" s="326"/>
      <c r="R195" s="326"/>
      <c r="S195" s="326"/>
      <c r="T195" s="326"/>
      <c r="U195" s="326"/>
      <c r="V195" s="326"/>
      <c r="W195" s="326"/>
      <c r="X195" s="326"/>
      <c r="Y195" s="326"/>
    </row>
    <row r="196">
      <c r="A196" s="326"/>
      <c r="B196" s="326"/>
      <c r="C196" s="326"/>
      <c r="D196" s="326"/>
      <c r="E196" s="326"/>
      <c r="F196" s="326"/>
      <c r="G196" s="326"/>
      <c r="H196" s="326"/>
      <c r="I196" s="326"/>
      <c r="J196" s="326"/>
      <c r="K196" s="326"/>
      <c r="L196" s="326"/>
      <c r="M196" s="326"/>
      <c r="N196" s="326"/>
      <c r="O196" s="326"/>
      <c r="P196" s="326"/>
      <c r="Q196" s="326"/>
      <c r="R196" s="326"/>
      <c r="S196" s="326"/>
      <c r="T196" s="326"/>
      <c r="U196" s="326"/>
      <c r="V196" s="326"/>
      <c r="W196" s="326"/>
      <c r="X196" s="326"/>
      <c r="Y196" s="326"/>
    </row>
    <row r="197">
      <c r="A197" s="326"/>
      <c r="B197" s="326"/>
      <c r="C197" s="326"/>
      <c r="D197" s="326"/>
      <c r="E197" s="326"/>
      <c r="F197" s="326"/>
      <c r="G197" s="326"/>
      <c r="H197" s="326"/>
      <c r="I197" s="326"/>
      <c r="J197" s="326"/>
      <c r="K197" s="326"/>
      <c r="L197" s="326"/>
      <c r="M197" s="326"/>
      <c r="N197" s="326"/>
      <c r="O197" s="326"/>
      <c r="P197" s="326"/>
      <c r="Q197" s="326"/>
      <c r="R197" s="326"/>
      <c r="S197" s="326"/>
      <c r="T197" s="326"/>
      <c r="U197" s="326"/>
      <c r="V197" s="326"/>
      <c r="W197" s="326"/>
      <c r="X197" s="326"/>
      <c r="Y197" s="326"/>
    </row>
    <row r="198">
      <c r="A198" s="326"/>
      <c r="B198" s="326"/>
      <c r="C198" s="326"/>
      <c r="D198" s="326"/>
      <c r="E198" s="326"/>
      <c r="F198" s="326"/>
      <c r="G198" s="326"/>
      <c r="H198" s="326"/>
      <c r="I198" s="326"/>
      <c r="J198" s="326"/>
      <c r="K198" s="326"/>
      <c r="L198" s="326"/>
      <c r="M198" s="326"/>
      <c r="N198" s="326"/>
      <c r="O198" s="326"/>
      <c r="P198" s="326"/>
      <c r="Q198" s="326"/>
      <c r="R198" s="326"/>
      <c r="S198" s="326"/>
      <c r="T198" s="326"/>
      <c r="U198" s="326"/>
      <c r="V198" s="326"/>
      <c r="W198" s="326"/>
      <c r="X198" s="326"/>
      <c r="Y198" s="326"/>
    </row>
    <row r="199">
      <c r="A199" s="326"/>
      <c r="B199" s="326"/>
      <c r="C199" s="326"/>
      <c r="D199" s="326"/>
      <c r="E199" s="326"/>
      <c r="F199" s="326"/>
      <c r="G199" s="326"/>
      <c r="H199" s="326"/>
      <c r="I199" s="326"/>
      <c r="J199" s="326"/>
      <c r="K199" s="326"/>
      <c r="L199" s="326"/>
      <c r="M199" s="326"/>
      <c r="N199" s="326"/>
      <c r="O199" s="326"/>
      <c r="P199" s="326"/>
      <c r="Q199" s="326"/>
      <c r="R199" s="326"/>
      <c r="S199" s="326"/>
      <c r="T199" s="326"/>
      <c r="U199" s="326"/>
      <c r="V199" s="326"/>
      <c r="W199" s="326"/>
      <c r="X199" s="326"/>
      <c r="Y199" s="326"/>
    </row>
    <row r="200">
      <c r="A200" s="326"/>
      <c r="B200" s="326"/>
      <c r="C200" s="326"/>
      <c r="D200" s="326"/>
      <c r="E200" s="326"/>
      <c r="F200" s="326"/>
      <c r="G200" s="326"/>
      <c r="H200" s="326"/>
      <c r="I200" s="326"/>
      <c r="J200" s="326"/>
      <c r="K200" s="326"/>
      <c r="L200" s="326"/>
      <c r="M200" s="326"/>
      <c r="N200" s="326"/>
      <c r="O200" s="326"/>
      <c r="P200" s="326"/>
      <c r="Q200" s="326"/>
      <c r="R200" s="326"/>
      <c r="S200" s="326"/>
      <c r="T200" s="326"/>
      <c r="U200" s="326"/>
      <c r="V200" s="326"/>
      <c r="W200" s="326"/>
      <c r="X200" s="326"/>
      <c r="Y200" s="326"/>
    </row>
    <row r="201">
      <c r="A201" s="326"/>
      <c r="B201" s="326"/>
      <c r="C201" s="326"/>
      <c r="D201" s="326"/>
      <c r="E201" s="326"/>
      <c r="F201" s="326"/>
      <c r="G201" s="326"/>
      <c r="H201" s="326"/>
      <c r="I201" s="326"/>
      <c r="J201" s="326"/>
      <c r="K201" s="326"/>
      <c r="L201" s="326"/>
      <c r="M201" s="326"/>
      <c r="N201" s="326"/>
      <c r="O201" s="326"/>
      <c r="P201" s="326"/>
      <c r="Q201" s="326"/>
      <c r="R201" s="326"/>
      <c r="S201" s="326"/>
      <c r="T201" s="326"/>
      <c r="U201" s="326"/>
      <c r="V201" s="326"/>
      <c r="W201" s="326"/>
      <c r="X201" s="326"/>
      <c r="Y201" s="326"/>
    </row>
    <row r="202">
      <c r="A202" s="326"/>
      <c r="B202" s="326"/>
      <c r="C202" s="326"/>
      <c r="D202" s="326"/>
      <c r="E202" s="326"/>
      <c r="F202" s="326"/>
      <c r="G202" s="326"/>
      <c r="H202" s="326"/>
      <c r="I202" s="326"/>
      <c r="J202" s="326"/>
      <c r="K202" s="326"/>
      <c r="L202" s="326"/>
      <c r="M202" s="326"/>
      <c r="N202" s="326"/>
      <c r="O202" s="326"/>
      <c r="P202" s="326"/>
      <c r="Q202" s="326"/>
      <c r="R202" s="326"/>
      <c r="S202" s="326"/>
      <c r="T202" s="326"/>
      <c r="U202" s="326"/>
      <c r="V202" s="326"/>
      <c r="W202" s="326"/>
      <c r="X202" s="326"/>
      <c r="Y202" s="326"/>
    </row>
    <row r="203">
      <c r="A203" s="326"/>
      <c r="B203" s="326"/>
      <c r="C203" s="326"/>
      <c r="D203" s="326"/>
      <c r="E203" s="326"/>
      <c r="F203" s="326"/>
      <c r="G203" s="326"/>
      <c r="H203" s="326"/>
      <c r="I203" s="326"/>
      <c r="J203" s="326"/>
      <c r="K203" s="326"/>
      <c r="L203" s="326"/>
      <c r="M203" s="326"/>
      <c r="N203" s="326"/>
      <c r="O203" s="326"/>
      <c r="P203" s="326"/>
      <c r="Q203" s="326"/>
      <c r="R203" s="326"/>
      <c r="S203" s="326"/>
      <c r="T203" s="326"/>
      <c r="U203" s="326"/>
      <c r="V203" s="326"/>
      <c r="W203" s="326"/>
      <c r="X203" s="326"/>
      <c r="Y203" s="326"/>
    </row>
    <row r="204">
      <c r="A204" s="326"/>
      <c r="B204" s="326"/>
      <c r="C204" s="326"/>
      <c r="D204" s="326"/>
      <c r="E204" s="326"/>
      <c r="F204" s="326"/>
      <c r="G204" s="326"/>
      <c r="H204" s="326"/>
      <c r="I204" s="326"/>
      <c r="J204" s="326"/>
      <c r="K204" s="326"/>
      <c r="L204" s="326"/>
      <c r="M204" s="326"/>
      <c r="N204" s="326"/>
      <c r="O204" s="326"/>
      <c r="P204" s="326"/>
      <c r="Q204" s="326"/>
      <c r="R204" s="326"/>
      <c r="S204" s="326"/>
      <c r="T204" s="326"/>
      <c r="U204" s="326"/>
      <c r="V204" s="326"/>
      <c r="W204" s="326"/>
      <c r="X204" s="326"/>
      <c r="Y204" s="326"/>
    </row>
    <row r="205">
      <c r="A205" s="326"/>
      <c r="B205" s="326"/>
      <c r="C205" s="326"/>
      <c r="D205" s="326"/>
      <c r="E205" s="326"/>
      <c r="F205" s="326"/>
      <c r="G205" s="326"/>
      <c r="H205" s="326"/>
      <c r="I205" s="326"/>
      <c r="J205" s="326"/>
      <c r="K205" s="326"/>
      <c r="L205" s="326"/>
      <c r="M205" s="326"/>
      <c r="N205" s="326"/>
      <c r="O205" s="326"/>
      <c r="P205" s="326"/>
      <c r="Q205" s="326"/>
      <c r="R205" s="326"/>
      <c r="S205" s="326"/>
      <c r="T205" s="326"/>
      <c r="U205" s="326"/>
      <c r="V205" s="326"/>
      <c r="W205" s="326"/>
      <c r="X205" s="326"/>
      <c r="Y205" s="326"/>
    </row>
    <row r="206">
      <c r="A206" s="326"/>
      <c r="B206" s="326"/>
      <c r="C206" s="326"/>
      <c r="D206" s="326"/>
      <c r="E206" s="326"/>
      <c r="F206" s="326"/>
      <c r="G206" s="326"/>
      <c r="H206" s="326"/>
      <c r="I206" s="326"/>
      <c r="J206" s="326"/>
      <c r="K206" s="326"/>
      <c r="L206" s="326"/>
      <c r="M206" s="326"/>
      <c r="N206" s="326"/>
      <c r="O206" s="326"/>
      <c r="P206" s="326"/>
      <c r="Q206" s="326"/>
      <c r="R206" s="326"/>
      <c r="S206" s="326"/>
      <c r="T206" s="326"/>
      <c r="U206" s="326"/>
      <c r="V206" s="326"/>
      <c r="W206" s="326"/>
      <c r="X206" s="326"/>
      <c r="Y206" s="326"/>
    </row>
    <row r="207">
      <c r="A207" s="326"/>
      <c r="B207" s="326"/>
      <c r="C207" s="326"/>
      <c r="D207" s="326"/>
      <c r="E207" s="326"/>
      <c r="F207" s="326"/>
      <c r="G207" s="326"/>
      <c r="H207" s="326"/>
      <c r="I207" s="326"/>
      <c r="J207" s="326"/>
      <c r="K207" s="326"/>
      <c r="L207" s="326"/>
      <c r="M207" s="326"/>
      <c r="N207" s="326"/>
      <c r="O207" s="326"/>
      <c r="P207" s="326"/>
      <c r="Q207" s="326"/>
      <c r="R207" s="326"/>
      <c r="S207" s="326"/>
      <c r="T207" s="326"/>
      <c r="U207" s="326"/>
      <c r="V207" s="326"/>
      <c r="W207" s="326"/>
      <c r="X207" s="326"/>
      <c r="Y207" s="326"/>
    </row>
    <row r="208">
      <c r="A208" s="326"/>
      <c r="B208" s="326"/>
      <c r="C208" s="326"/>
      <c r="D208" s="326"/>
      <c r="E208" s="326"/>
      <c r="F208" s="326"/>
      <c r="G208" s="326"/>
      <c r="H208" s="326"/>
      <c r="I208" s="326"/>
      <c r="J208" s="326"/>
      <c r="K208" s="326"/>
      <c r="L208" s="326"/>
      <c r="M208" s="326"/>
      <c r="N208" s="326"/>
      <c r="O208" s="326"/>
      <c r="P208" s="326"/>
      <c r="Q208" s="326"/>
      <c r="R208" s="326"/>
      <c r="S208" s="326"/>
      <c r="T208" s="326"/>
      <c r="U208" s="326"/>
      <c r="V208" s="326"/>
      <c r="W208" s="326"/>
      <c r="X208" s="326"/>
      <c r="Y208" s="326"/>
    </row>
    <row r="209">
      <c r="A209" s="326"/>
      <c r="B209" s="326"/>
      <c r="C209" s="326"/>
      <c r="D209" s="326"/>
      <c r="E209" s="326"/>
      <c r="F209" s="326"/>
      <c r="G209" s="326"/>
      <c r="H209" s="326"/>
      <c r="I209" s="326"/>
      <c r="J209" s="326"/>
      <c r="K209" s="326"/>
      <c r="L209" s="326"/>
      <c r="M209" s="326"/>
      <c r="N209" s="326"/>
      <c r="O209" s="326"/>
      <c r="P209" s="326"/>
      <c r="Q209" s="326"/>
      <c r="R209" s="326"/>
      <c r="S209" s="326"/>
      <c r="T209" s="326"/>
      <c r="U209" s="326"/>
      <c r="V209" s="326"/>
      <c r="W209" s="326"/>
      <c r="X209" s="326"/>
      <c r="Y209" s="326"/>
    </row>
    <row r="210">
      <c r="A210" s="326"/>
      <c r="B210" s="326"/>
      <c r="C210" s="326"/>
      <c r="D210" s="326"/>
      <c r="E210" s="326"/>
      <c r="F210" s="326"/>
      <c r="G210" s="326"/>
      <c r="H210" s="326"/>
      <c r="I210" s="326"/>
      <c r="J210" s="326"/>
      <c r="K210" s="326"/>
      <c r="L210" s="326"/>
      <c r="M210" s="326"/>
      <c r="N210" s="326"/>
      <c r="O210" s="326"/>
      <c r="P210" s="326"/>
      <c r="Q210" s="326"/>
      <c r="R210" s="326"/>
      <c r="S210" s="326"/>
      <c r="T210" s="326"/>
      <c r="U210" s="326"/>
      <c r="V210" s="326"/>
      <c r="W210" s="326"/>
      <c r="X210" s="326"/>
      <c r="Y210" s="326"/>
    </row>
    <row r="211">
      <c r="A211" s="326"/>
      <c r="B211" s="326"/>
      <c r="C211" s="326"/>
      <c r="D211" s="326"/>
      <c r="E211" s="326"/>
      <c r="F211" s="326"/>
      <c r="G211" s="326"/>
      <c r="H211" s="326"/>
      <c r="I211" s="326"/>
      <c r="J211" s="326"/>
      <c r="K211" s="326"/>
      <c r="L211" s="326"/>
      <c r="M211" s="326"/>
      <c r="N211" s="326"/>
      <c r="O211" s="326"/>
      <c r="P211" s="326"/>
      <c r="Q211" s="326"/>
      <c r="R211" s="326"/>
      <c r="S211" s="326"/>
      <c r="T211" s="326"/>
      <c r="U211" s="326"/>
      <c r="V211" s="326"/>
      <c r="W211" s="326"/>
      <c r="X211" s="326"/>
      <c r="Y211" s="326"/>
    </row>
    <row r="212">
      <c r="A212" s="326"/>
      <c r="B212" s="326"/>
      <c r="C212" s="326"/>
      <c r="D212" s="326"/>
      <c r="E212" s="326"/>
      <c r="F212" s="326"/>
      <c r="G212" s="326"/>
      <c r="H212" s="326"/>
      <c r="I212" s="326"/>
      <c r="J212" s="326"/>
      <c r="K212" s="326"/>
      <c r="L212" s="326"/>
      <c r="M212" s="326"/>
      <c r="N212" s="326"/>
      <c r="O212" s="326"/>
      <c r="P212" s="326"/>
      <c r="Q212" s="326"/>
      <c r="R212" s="326"/>
      <c r="S212" s="326"/>
      <c r="T212" s="326"/>
      <c r="U212" s="326"/>
      <c r="V212" s="326"/>
      <c r="W212" s="326"/>
      <c r="X212" s="326"/>
      <c r="Y212" s="326"/>
    </row>
    <row r="213">
      <c r="A213" s="326"/>
      <c r="B213" s="326"/>
      <c r="C213" s="326"/>
      <c r="D213" s="326"/>
      <c r="E213" s="326"/>
      <c r="F213" s="326"/>
      <c r="G213" s="326"/>
      <c r="H213" s="326"/>
      <c r="I213" s="326"/>
      <c r="J213" s="326"/>
      <c r="K213" s="326"/>
      <c r="L213" s="326"/>
      <c r="M213" s="326"/>
      <c r="N213" s="326"/>
      <c r="O213" s="326"/>
      <c r="P213" s="326"/>
      <c r="Q213" s="326"/>
      <c r="R213" s="326"/>
      <c r="S213" s="326"/>
      <c r="T213" s="326"/>
      <c r="U213" s="326"/>
      <c r="V213" s="326"/>
      <c r="W213" s="326"/>
      <c r="X213" s="326"/>
      <c r="Y213" s="326"/>
    </row>
    <row r="214">
      <c r="A214" s="326"/>
      <c r="B214" s="326"/>
      <c r="C214" s="326"/>
      <c r="D214" s="326"/>
      <c r="E214" s="326"/>
      <c r="F214" s="326"/>
      <c r="G214" s="326"/>
      <c r="H214" s="326"/>
      <c r="I214" s="326"/>
      <c r="J214" s="326"/>
      <c r="K214" s="326"/>
      <c r="L214" s="326"/>
      <c r="M214" s="326"/>
      <c r="N214" s="326"/>
      <c r="O214" s="326"/>
      <c r="P214" s="326"/>
      <c r="Q214" s="326"/>
      <c r="R214" s="326"/>
      <c r="S214" s="326"/>
      <c r="T214" s="326"/>
      <c r="U214" s="326"/>
      <c r="V214" s="326"/>
      <c r="W214" s="326"/>
      <c r="X214" s="326"/>
      <c r="Y214" s="326"/>
    </row>
    <row r="215">
      <c r="A215" s="326"/>
      <c r="B215" s="326"/>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row>
    <row r="216">
      <c r="A216" s="326"/>
      <c r="B216" s="326"/>
      <c r="C216" s="326"/>
      <c r="D216" s="326"/>
      <c r="E216" s="326"/>
      <c r="F216" s="326"/>
      <c r="G216" s="326"/>
      <c r="H216" s="326"/>
      <c r="I216" s="326"/>
      <c r="J216" s="326"/>
      <c r="K216" s="326"/>
      <c r="L216" s="326"/>
      <c r="M216" s="326"/>
      <c r="N216" s="326"/>
      <c r="O216" s="326"/>
      <c r="P216" s="326"/>
      <c r="Q216" s="326"/>
      <c r="R216" s="326"/>
      <c r="S216" s="326"/>
      <c r="T216" s="326"/>
      <c r="U216" s="326"/>
      <c r="V216" s="326"/>
      <c r="W216" s="326"/>
      <c r="X216" s="326"/>
      <c r="Y216" s="326"/>
    </row>
    <row r="217">
      <c r="A217" s="326"/>
      <c r="B217" s="326"/>
      <c r="C217" s="326"/>
      <c r="D217" s="326"/>
      <c r="E217" s="326"/>
      <c r="F217" s="326"/>
      <c r="G217" s="326"/>
      <c r="H217" s="326"/>
      <c r="I217" s="326"/>
      <c r="J217" s="326"/>
      <c r="K217" s="326"/>
      <c r="L217" s="326"/>
      <c r="M217" s="326"/>
      <c r="N217" s="326"/>
      <c r="O217" s="326"/>
      <c r="P217" s="326"/>
      <c r="Q217" s="326"/>
      <c r="R217" s="326"/>
      <c r="S217" s="326"/>
      <c r="T217" s="326"/>
      <c r="U217" s="326"/>
      <c r="V217" s="326"/>
      <c r="W217" s="326"/>
      <c r="X217" s="326"/>
      <c r="Y217" s="326"/>
    </row>
    <row r="218">
      <c r="A218" s="326"/>
      <c r="B218" s="326"/>
      <c r="C218" s="326"/>
      <c r="D218" s="326"/>
      <c r="E218" s="326"/>
      <c r="F218" s="326"/>
      <c r="G218" s="326"/>
      <c r="H218" s="326"/>
      <c r="I218" s="326"/>
      <c r="J218" s="326"/>
      <c r="K218" s="326"/>
      <c r="L218" s="326"/>
      <c r="M218" s="326"/>
      <c r="N218" s="326"/>
      <c r="O218" s="326"/>
      <c r="P218" s="326"/>
      <c r="Q218" s="326"/>
      <c r="R218" s="326"/>
      <c r="S218" s="326"/>
      <c r="T218" s="326"/>
      <c r="U218" s="326"/>
      <c r="V218" s="326"/>
      <c r="W218" s="326"/>
      <c r="X218" s="326"/>
      <c r="Y218" s="326"/>
    </row>
    <row r="219">
      <c r="A219" s="326"/>
      <c r="B219" s="326"/>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row>
    <row r="220">
      <c r="A220" s="326"/>
      <c r="B220" s="326"/>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row>
    <row r="221">
      <c r="A221" s="326"/>
      <c r="B221" s="326"/>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row>
    <row r="222">
      <c r="A222" s="326"/>
      <c r="B222" s="326"/>
      <c r="C222" s="326"/>
      <c r="D222" s="326"/>
      <c r="E222" s="326"/>
      <c r="F222" s="326"/>
      <c r="G222" s="326"/>
      <c r="H222" s="326"/>
      <c r="I222" s="326"/>
      <c r="J222" s="326"/>
      <c r="K222" s="326"/>
      <c r="L222" s="326"/>
      <c r="M222" s="326"/>
      <c r="N222" s="326"/>
      <c r="O222" s="326"/>
      <c r="P222" s="326"/>
      <c r="Q222" s="326"/>
      <c r="R222" s="326"/>
      <c r="S222" s="326"/>
      <c r="T222" s="326"/>
      <c r="U222" s="326"/>
      <c r="V222" s="326"/>
      <c r="W222" s="326"/>
      <c r="X222" s="326"/>
      <c r="Y222" s="326"/>
    </row>
    <row r="223">
      <c r="A223" s="326"/>
      <c r="B223" s="326"/>
      <c r="C223" s="326"/>
      <c r="D223" s="326"/>
      <c r="E223" s="326"/>
      <c r="F223" s="326"/>
      <c r="G223" s="326"/>
      <c r="H223" s="326"/>
      <c r="I223" s="326"/>
      <c r="J223" s="326"/>
      <c r="K223" s="326"/>
      <c r="L223" s="326"/>
      <c r="M223" s="326"/>
      <c r="N223" s="326"/>
      <c r="O223" s="326"/>
      <c r="P223" s="326"/>
      <c r="Q223" s="326"/>
      <c r="R223" s="326"/>
      <c r="S223" s="326"/>
      <c r="T223" s="326"/>
      <c r="U223" s="326"/>
      <c r="V223" s="326"/>
      <c r="W223" s="326"/>
      <c r="X223" s="326"/>
      <c r="Y223" s="326"/>
    </row>
    <row r="224">
      <c r="A224" s="326"/>
      <c r="B224" s="326"/>
      <c r="C224" s="326"/>
      <c r="D224" s="326"/>
      <c r="E224" s="326"/>
      <c r="F224" s="326"/>
      <c r="G224" s="326"/>
      <c r="H224" s="326"/>
      <c r="I224" s="326"/>
      <c r="J224" s="326"/>
      <c r="K224" s="326"/>
      <c r="L224" s="326"/>
      <c r="M224" s="326"/>
      <c r="N224" s="326"/>
      <c r="O224" s="326"/>
      <c r="P224" s="326"/>
      <c r="Q224" s="326"/>
      <c r="R224" s="326"/>
      <c r="S224" s="326"/>
      <c r="T224" s="326"/>
      <c r="U224" s="326"/>
      <c r="V224" s="326"/>
      <c r="W224" s="326"/>
      <c r="X224" s="326"/>
      <c r="Y224" s="326"/>
    </row>
    <row r="225">
      <c r="A225" s="326"/>
      <c r="B225" s="326"/>
      <c r="C225" s="326"/>
      <c r="D225" s="326"/>
      <c r="E225" s="326"/>
      <c r="F225" s="326"/>
      <c r="G225" s="326"/>
      <c r="H225" s="326"/>
      <c r="I225" s="326"/>
      <c r="J225" s="326"/>
      <c r="K225" s="326"/>
      <c r="L225" s="326"/>
      <c r="M225" s="326"/>
      <c r="N225" s="326"/>
      <c r="O225" s="326"/>
      <c r="P225" s="326"/>
      <c r="Q225" s="326"/>
      <c r="R225" s="326"/>
      <c r="S225" s="326"/>
      <c r="T225" s="326"/>
      <c r="U225" s="326"/>
      <c r="V225" s="326"/>
      <c r="W225" s="326"/>
      <c r="X225" s="326"/>
      <c r="Y225" s="326"/>
    </row>
    <row r="226">
      <c r="A226" s="326"/>
      <c r="B226" s="326"/>
      <c r="C226" s="326"/>
      <c r="D226" s="326"/>
      <c r="E226" s="326"/>
      <c r="F226" s="326"/>
      <c r="G226" s="326"/>
      <c r="H226" s="326"/>
      <c r="I226" s="326"/>
      <c r="J226" s="326"/>
      <c r="K226" s="326"/>
      <c r="L226" s="326"/>
      <c r="M226" s="326"/>
      <c r="N226" s="326"/>
      <c r="O226" s="326"/>
      <c r="P226" s="326"/>
      <c r="Q226" s="326"/>
      <c r="R226" s="326"/>
      <c r="S226" s="326"/>
      <c r="T226" s="326"/>
      <c r="U226" s="326"/>
      <c r="V226" s="326"/>
      <c r="W226" s="326"/>
      <c r="X226" s="326"/>
      <c r="Y226" s="326"/>
    </row>
    <row r="227">
      <c r="A227" s="326"/>
      <c r="B227" s="326"/>
      <c r="C227" s="326"/>
      <c r="D227" s="326"/>
      <c r="E227" s="326"/>
      <c r="F227" s="326"/>
      <c r="G227" s="326"/>
      <c r="H227" s="326"/>
      <c r="I227" s="326"/>
      <c r="J227" s="326"/>
      <c r="K227" s="326"/>
      <c r="L227" s="326"/>
      <c r="M227" s="326"/>
      <c r="N227" s="326"/>
      <c r="O227" s="326"/>
      <c r="P227" s="326"/>
      <c r="Q227" s="326"/>
      <c r="R227" s="326"/>
      <c r="S227" s="326"/>
      <c r="T227" s="326"/>
      <c r="U227" s="326"/>
      <c r="V227" s="326"/>
      <c r="W227" s="326"/>
      <c r="X227" s="326"/>
      <c r="Y227" s="326"/>
    </row>
    <row r="228">
      <c r="A228" s="326"/>
      <c r="B228" s="326"/>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row>
    <row r="229">
      <c r="A229" s="326"/>
      <c r="B229" s="326"/>
      <c r="C229" s="326"/>
      <c r="D229" s="326"/>
      <c r="E229" s="326"/>
      <c r="F229" s="326"/>
      <c r="G229" s="326"/>
      <c r="H229" s="326"/>
      <c r="I229" s="326"/>
      <c r="J229" s="326"/>
      <c r="K229" s="326"/>
      <c r="L229" s="326"/>
      <c r="M229" s="326"/>
      <c r="N229" s="326"/>
      <c r="O229" s="326"/>
      <c r="P229" s="326"/>
      <c r="Q229" s="326"/>
      <c r="R229" s="326"/>
      <c r="S229" s="326"/>
      <c r="T229" s="326"/>
      <c r="U229" s="326"/>
      <c r="V229" s="326"/>
      <c r="W229" s="326"/>
      <c r="X229" s="326"/>
      <c r="Y229" s="326"/>
    </row>
    <row r="230">
      <c r="A230" s="326"/>
      <c r="B230" s="326"/>
      <c r="C230" s="326"/>
      <c r="D230" s="326"/>
      <c r="E230" s="326"/>
      <c r="F230" s="326"/>
      <c r="G230" s="326"/>
      <c r="H230" s="326"/>
      <c r="I230" s="326"/>
      <c r="J230" s="326"/>
      <c r="K230" s="326"/>
      <c r="L230" s="326"/>
      <c r="M230" s="326"/>
      <c r="N230" s="326"/>
      <c r="O230" s="326"/>
      <c r="P230" s="326"/>
      <c r="Q230" s="326"/>
      <c r="R230" s="326"/>
      <c r="S230" s="326"/>
      <c r="T230" s="326"/>
      <c r="U230" s="326"/>
      <c r="V230" s="326"/>
      <c r="W230" s="326"/>
      <c r="X230" s="326"/>
      <c r="Y230" s="326"/>
    </row>
    <row r="231">
      <c r="A231" s="326"/>
      <c r="B231" s="326"/>
      <c r="C231" s="326"/>
      <c r="D231" s="326"/>
      <c r="E231" s="326"/>
      <c r="F231" s="326"/>
      <c r="G231" s="326"/>
      <c r="H231" s="326"/>
      <c r="I231" s="326"/>
      <c r="J231" s="326"/>
      <c r="K231" s="326"/>
      <c r="L231" s="326"/>
      <c r="M231" s="326"/>
      <c r="N231" s="326"/>
      <c r="O231" s="326"/>
      <c r="P231" s="326"/>
      <c r="Q231" s="326"/>
      <c r="R231" s="326"/>
      <c r="S231" s="326"/>
      <c r="T231" s="326"/>
      <c r="U231" s="326"/>
      <c r="V231" s="326"/>
      <c r="W231" s="326"/>
      <c r="X231" s="326"/>
      <c r="Y231" s="326"/>
    </row>
    <row r="232">
      <c r="A232" s="326"/>
      <c r="B232" s="326"/>
      <c r="C232" s="326"/>
      <c r="D232" s="326"/>
      <c r="E232" s="326"/>
      <c r="F232" s="326"/>
      <c r="G232" s="326"/>
      <c r="H232" s="326"/>
      <c r="I232" s="326"/>
      <c r="J232" s="326"/>
      <c r="K232" s="326"/>
      <c r="L232" s="326"/>
      <c r="M232" s="326"/>
      <c r="N232" s="326"/>
      <c r="O232" s="326"/>
      <c r="P232" s="326"/>
      <c r="Q232" s="326"/>
      <c r="R232" s="326"/>
      <c r="S232" s="326"/>
      <c r="T232" s="326"/>
      <c r="U232" s="326"/>
      <c r="V232" s="326"/>
      <c r="W232" s="326"/>
      <c r="X232" s="326"/>
      <c r="Y232" s="326"/>
    </row>
    <row r="233">
      <c r="A233" s="326"/>
      <c r="B233" s="326"/>
      <c r="C233" s="326"/>
      <c r="D233" s="326"/>
      <c r="E233" s="326"/>
      <c r="F233" s="326"/>
      <c r="G233" s="326"/>
      <c r="H233" s="326"/>
      <c r="I233" s="326"/>
      <c r="J233" s="326"/>
      <c r="K233" s="326"/>
      <c r="L233" s="326"/>
      <c r="M233" s="326"/>
      <c r="N233" s="326"/>
      <c r="O233" s="326"/>
      <c r="P233" s="326"/>
      <c r="Q233" s="326"/>
      <c r="R233" s="326"/>
      <c r="S233" s="326"/>
      <c r="T233" s="326"/>
      <c r="U233" s="326"/>
      <c r="V233" s="326"/>
      <c r="W233" s="326"/>
      <c r="X233" s="326"/>
      <c r="Y233" s="326"/>
    </row>
    <row r="234">
      <c r="A234" s="326"/>
      <c r="B234" s="326"/>
      <c r="C234" s="326"/>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row>
    <row r="235">
      <c r="A235" s="326"/>
      <c r="B235" s="326"/>
      <c r="C235" s="326"/>
      <c r="D235" s="326"/>
      <c r="E235" s="326"/>
      <c r="F235" s="326"/>
      <c r="G235" s="326"/>
      <c r="H235" s="326"/>
      <c r="I235" s="326"/>
      <c r="J235" s="326"/>
      <c r="K235" s="326"/>
      <c r="L235" s="326"/>
      <c r="M235" s="326"/>
      <c r="N235" s="326"/>
      <c r="O235" s="326"/>
      <c r="P235" s="326"/>
      <c r="Q235" s="326"/>
      <c r="R235" s="326"/>
      <c r="S235" s="326"/>
      <c r="T235" s="326"/>
      <c r="U235" s="326"/>
      <c r="V235" s="326"/>
      <c r="W235" s="326"/>
      <c r="X235" s="326"/>
      <c r="Y235" s="326"/>
    </row>
    <row r="236">
      <c r="A236" s="326"/>
      <c r="B236" s="326"/>
      <c r="C236" s="326"/>
      <c r="D236" s="326"/>
      <c r="E236" s="326"/>
      <c r="F236" s="326"/>
      <c r="G236" s="326"/>
      <c r="H236" s="326"/>
      <c r="I236" s="326"/>
      <c r="J236" s="326"/>
      <c r="K236" s="326"/>
      <c r="L236" s="326"/>
      <c r="M236" s="326"/>
      <c r="N236" s="326"/>
      <c r="O236" s="326"/>
      <c r="P236" s="326"/>
      <c r="Q236" s="326"/>
      <c r="R236" s="326"/>
      <c r="S236" s="326"/>
      <c r="T236" s="326"/>
      <c r="U236" s="326"/>
      <c r="V236" s="326"/>
      <c r="W236" s="326"/>
      <c r="X236" s="326"/>
      <c r="Y236" s="326"/>
    </row>
    <row r="237">
      <c r="A237" s="326"/>
      <c r="B237" s="326"/>
      <c r="C237" s="326"/>
      <c r="D237" s="326"/>
      <c r="E237" s="326"/>
      <c r="F237" s="326"/>
      <c r="G237" s="326"/>
      <c r="H237" s="326"/>
      <c r="I237" s="326"/>
      <c r="J237" s="326"/>
      <c r="K237" s="326"/>
      <c r="L237" s="326"/>
      <c r="M237" s="326"/>
      <c r="N237" s="326"/>
      <c r="O237" s="326"/>
      <c r="P237" s="326"/>
      <c r="Q237" s="326"/>
      <c r="R237" s="326"/>
      <c r="S237" s="326"/>
      <c r="T237" s="326"/>
      <c r="U237" s="326"/>
      <c r="V237" s="326"/>
      <c r="W237" s="326"/>
      <c r="X237" s="326"/>
      <c r="Y237" s="326"/>
    </row>
    <row r="238">
      <c r="A238" s="326"/>
      <c r="B238" s="326"/>
      <c r="C238" s="326"/>
      <c r="D238" s="326"/>
      <c r="E238" s="326"/>
      <c r="F238" s="326"/>
      <c r="G238" s="326"/>
      <c r="H238" s="326"/>
      <c r="I238" s="326"/>
      <c r="J238" s="326"/>
      <c r="K238" s="326"/>
      <c r="L238" s="326"/>
      <c r="M238" s="326"/>
      <c r="N238" s="326"/>
      <c r="O238" s="326"/>
      <c r="P238" s="326"/>
      <c r="Q238" s="326"/>
      <c r="R238" s="326"/>
      <c r="S238" s="326"/>
      <c r="T238" s="326"/>
      <c r="U238" s="326"/>
      <c r="V238" s="326"/>
      <c r="W238" s="326"/>
      <c r="X238" s="326"/>
      <c r="Y238" s="326"/>
    </row>
    <row r="239">
      <c r="A239" s="326"/>
      <c r="B239" s="326"/>
      <c r="C239" s="326"/>
      <c r="D239" s="326"/>
      <c r="E239" s="326"/>
      <c r="F239" s="326"/>
      <c r="G239" s="326"/>
      <c r="H239" s="326"/>
      <c r="I239" s="326"/>
      <c r="J239" s="326"/>
      <c r="K239" s="326"/>
      <c r="L239" s="326"/>
      <c r="M239" s="326"/>
      <c r="N239" s="326"/>
      <c r="O239" s="326"/>
      <c r="P239" s="326"/>
      <c r="Q239" s="326"/>
      <c r="R239" s="326"/>
      <c r="S239" s="326"/>
      <c r="T239" s="326"/>
      <c r="U239" s="326"/>
      <c r="V239" s="326"/>
      <c r="W239" s="326"/>
      <c r="X239" s="326"/>
      <c r="Y239" s="326"/>
    </row>
    <row r="240">
      <c r="A240" s="326"/>
      <c r="B240" s="326"/>
      <c r="C240" s="326"/>
      <c r="D240" s="326"/>
      <c r="E240" s="326"/>
      <c r="F240" s="326"/>
      <c r="G240" s="326"/>
      <c r="H240" s="326"/>
      <c r="I240" s="326"/>
      <c r="J240" s="326"/>
      <c r="K240" s="326"/>
      <c r="L240" s="326"/>
      <c r="M240" s="326"/>
      <c r="N240" s="326"/>
      <c r="O240" s="326"/>
      <c r="P240" s="326"/>
      <c r="Q240" s="326"/>
      <c r="R240" s="326"/>
      <c r="S240" s="326"/>
      <c r="T240" s="326"/>
      <c r="U240" s="326"/>
      <c r="V240" s="326"/>
      <c r="W240" s="326"/>
      <c r="X240" s="326"/>
      <c r="Y240" s="326"/>
    </row>
    <row r="241">
      <c r="A241" s="326"/>
      <c r="B241" s="326"/>
      <c r="C241" s="326"/>
      <c r="D241" s="326"/>
      <c r="E241" s="326"/>
      <c r="F241" s="326"/>
      <c r="G241" s="326"/>
      <c r="H241" s="326"/>
      <c r="I241" s="326"/>
      <c r="J241" s="326"/>
      <c r="K241" s="326"/>
      <c r="L241" s="326"/>
      <c r="M241" s="326"/>
      <c r="N241" s="326"/>
      <c r="O241" s="326"/>
      <c r="P241" s="326"/>
      <c r="Q241" s="326"/>
      <c r="R241" s="326"/>
      <c r="S241" s="326"/>
      <c r="T241" s="326"/>
      <c r="U241" s="326"/>
      <c r="V241" s="326"/>
      <c r="W241" s="326"/>
      <c r="X241" s="326"/>
      <c r="Y241" s="326"/>
    </row>
    <row r="242">
      <c r="A242" s="326"/>
      <c r="B242" s="326"/>
      <c r="C242" s="326"/>
      <c r="D242" s="326"/>
      <c r="E242" s="326"/>
      <c r="F242" s="326"/>
      <c r="G242" s="326"/>
      <c r="H242" s="326"/>
      <c r="I242" s="326"/>
      <c r="J242" s="326"/>
      <c r="K242" s="326"/>
      <c r="L242" s="326"/>
      <c r="M242" s="326"/>
      <c r="N242" s="326"/>
      <c r="O242" s="326"/>
      <c r="P242" s="326"/>
      <c r="Q242" s="326"/>
      <c r="R242" s="326"/>
      <c r="S242" s="326"/>
      <c r="T242" s="326"/>
      <c r="U242" s="326"/>
      <c r="V242" s="326"/>
      <c r="W242" s="326"/>
      <c r="X242" s="326"/>
      <c r="Y242" s="326"/>
    </row>
    <row r="243">
      <c r="A243" s="326"/>
      <c r="B243" s="326"/>
      <c r="C243" s="326"/>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row>
    <row r="244">
      <c r="A244" s="326"/>
      <c r="B244" s="326"/>
      <c r="C244" s="326"/>
      <c r="D244" s="326"/>
      <c r="E244" s="326"/>
      <c r="F244" s="326"/>
      <c r="G244" s="326"/>
      <c r="H244" s="326"/>
      <c r="I244" s="326"/>
      <c r="J244" s="326"/>
      <c r="K244" s="326"/>
      <c r="L244" s="326"/>
      <c r="M244" s="326"/>
      <c r="N244" s="326"/>
      <c r="O244" s="326"/>
      <c r="P244" s="326"/>
      <c r="Q244" s="326"/>
      <c r="R244" s="326"/>
      <c r="S244" s="326"/>
      <c r="T244" s="326"/>
      <c r="U244" s="326"/>
      <c r="V244" s="326"/>
      <c r="W244" s="326"/>
      <c r="X244" s="326"/>
      <c r="Y244" s="326"/>
    </row>
    <row r="245">
      <c r="A245" s="326"/>
      <c r="B245" s="326"/>
      <c r="C245" s="326"/>
      <c r="D245" s="326"/>
      <c r="E245" s="326"/>
      <c r="F245" s="326"/>
      <c r="G245" s="326"/>
      <c r="H245" s="326"/>
      <c r="I245" s="326"/>
      <c r="J245" s="326"/>
      <c r="K245" s="326"/>
      <c r="L245" s="326"/>
      <c r="M245" s="326"/>
      <c r="N245" s="326"/>
      <c r="O245" s="326"/>
      <c r="P245" s="326"/>
      <c r="Q245" s="326"/>
      <c r="R245" s="326"/>
      <c r="S245" s="326"/>
      <c r="T245" s="326"/>
      <c r="U245" s="326"/>
      <c r="V245" s="326"/>
      <c r="W245" s="326"/>
      <c r="X245" s="326"/>
      <c r="Y245" s="326"/>
    </row>
    <row r="246">
      <c r="A246" s="326"/>
      <c r="B246" s="326"/>
      <c r="C246" s="326"/>
      <c r="D246" s="326"/>
      <c r="E246" s="326"/>
      <c r="F246" s="326"/>
      <c r="G246" s="326"/>
      <c r="H246" s="326"/>
      <c r="I246" s="326"/>
      <c r="J246" s="326"/>
      <c r="K246" s="326"/>
      <c r="L246" s="326"/>
      <c r="M246" s="326"/>
      <c r="N246" s="326"/>
      <c r="O246" s="326"/>
      <c r="P246" s="326"/>
      <c r="Q246" s="326"/>
      <c r="R246" s="326"/>
      <c r="S246" s="326"/>
      <c r="T246" s="326"/>
      <c r="U246" s="326"/>
      <c r="V246" s="326"/>
      <c r="W246" s="326"/>
      <c r="X246" s="326"/>
      <c r="Y246" s="326"/>
    </row>
    <row r="247">
      <c r="A247" s="326"/>
      <c r="B247" s="326"/>
      <c r="C247" s="326"/>
      <c r="D247" s="326"/>
      <c r="E247" s="326"/>
      <c r="F247" s="326"/>
      <c r="G247" s="326"/>
      <c r="H247" s="326"/>
      <c r="I247" s="326"/>
      <c r="J247" s="326"/>
      <c r="K247" s="326"/>
      <c r="L247" s="326"/>
      <c r="M247" s="326"/>
      <c r="N247" s="326"/>
      <c r="O247" s="326"/>
      <c r="P247" s="326"/>
      <c r="Q247" s="326"/>
      <c r="R247" s="326"/>
      <c r="S247" s="326"/>
      <c r="T247" s="326"/>
      <c r="U247" s="326"/>
      <c r="V247" s="326"/>
      <c r="W247" s="326"/>
      <c r="X247" s="326"/>
      <c r="Y247" s="326"/>
    </row>
    <row r="248">
      <c r="A248" s="326"/>
      <c r="B248" s="326"/>
      <c r="C248" s="326"/>
      <c r="D248" s="326"/>
      <c r="E248" s="326"/>
      <c r="F248" s="326"/>
      <c r="G248" s="326"/>
      <c r="H248" s="326"/>
      <c r="I248" s="326"/>
      <c r="J248" s="326"/>
      <c r="K248" s="326"/>
      <c r="L248" s="326"/>
      <c r="M248" s="326"/>
      <c r="N248" s="326"/>
      <c r="O248" s="326"/>
      <c r="P248" s="326"/>
      <c r="Q248" s="326"/>
      <c r="R248" s="326"/>
      <c r="S248" s="326"/>
      <c r="T248" s="326"/>
      <c r="U248" s="326"/>
      <c r="V248" s="326"/>
      <c r="W248" s="326"/>
      <c r="X248" s="326"/>
      <c r="Y248" s="326"/>
    </row>
    <row r="249">
      <c r="A249" s="326"/>
      <c r="B249" s="326"/>
      <c r="C249" s="326"/>
      <c r="D249" s="326"/>
      <c r="E249" s="326"/>
      <c r="F249" s="326"/>
      <c r="G249" s="326"/>
      <c r="H249" s="326"/>
      <c r="I249" s="326"/>
      <c r="J249" s="326"/>
      <c r="K249" s="326"/>
      <c r="L249" s="326"/>
      <c r="M249" s="326"/>
      <c r="N249" s="326"/>
      <c r="O249" s="326"/>
      <c r="P249" s="326"/>
      <c r="Q249" s="326"/>
      <c r="R249" s="326"/>
      <c r="S249" s="326"/>
      <c r="T249" s="326"/>
      <c r="U249" s="326"/>
      <c r="V249" s="326"/>
      <c r="W249" s="326"/>
      <c r="X249" s="326"/>
      <c r="Y249" s="326"/>
    </row>
    <row r="250">
      <c r="A250" s="326"/>
      <c r="B250" s="326"/>
      <c r="C250" s="326"/>
      <c r="D250" s="326"/>
      <c r="E250" s="326"/>
      <c r="F250" s="326"/>
      <c r="G250" s="326"/>
      <c r="H250" s="326"/>
      <c r="I250" s="326"/>
      <c r="J250" s="326"/>
      <c r="K250" s="326"/>
      <c r="L250" s="326"/>
      <c r="M250" s="326"/>
      <c r="N250" s="326"/>
      <c r="O250" s="326"/>
      <c r="P250" s="326"/>
      <c r="Q250" s="326"/>
      <c r="R250" s="326"/>
      <c r="S250" s="326"/>
      <c r="T250" s="326"/>
      <c r="U250" s="326"/>
      <c r="V250" s="326"/>
      <c r="W250" s="326"/>
      <c r="X250" s="326"/>
      <c r="Y250" s="326"/>
    </row>
    <row r="251">
      <c r="A251" s="326"/>
      <c r="B251" s="326"/>
      <c r="C251" s="326"/>
      <c r="D251" s="326"/>
      <c r="E251" s="326"/>
      <c r="F251" s="326"/>
      <c r="G251" s="326"/>
      <c r="H251" s="326"/>
      <c r="I251" s="326"/>
      <c r="J251" s="326"/>
      <c r="K251" s="326"/>
      <c r="L251" s="326"/>
      <c r="M251" s="326"/>
      <c r="N251" s="326"/>
      <c r="O251" s="326"/>
      <c r="P251" s="326"/>
      <c r="Q251" s="326"/>
      <c r="R251" s="326"/>
      <c r="S251" s="326"/>
      <c r="T251" s="326"/>
      <c r="U251" s="326"/>
      <c r="V251" s="326"/>
      <c r="W251" s="326"/>
      <c r="X251" s="326"/>
      <c r="Y251" s="326"/>
    </row>
    <row r="252">
      <c r="A252" s="326"/>
      <c r="B252" s="326"/>
      <c r="C252" s="326"/>
      <c r="D252" s="326"/>
      <c r="E252" s="326"/>
      <c r="F252" s="326"/>
      <c r="G252" s="326"/>
      <c r="H252" s="326"/>
      <c r="I252" s="326"/>
      <c r="J252" s="326"/>
      <c r="K252" s="326"/>
      <c r="L252" s="326"/>
      <c r="M252" s="326"/>
      <c r="N252" s="326"/>
      <c r="O252" s="326"/>
      <c r="P252" s="326"/>
      <c r="Q252" s="326"/>
      <c r="R252" s="326"/>
      <c r="S252" s="326"/>
      <c r="T252" s="326"/>
      <c r="U252" s="326"/>
      <c r="V252" s="326"/>
      <c r="W252" s="326"/>
      <c r="X252" s="326"/>
      <c r="Y252" s="326"/>
    </row>
    <row r="253">
      <c r="A253" s="326"/>
      <c r="B253" s="326"/>
      <c r="C253" s="326"/>
      <c r="D253" s="326"/>
      <c r="E253" s="326"/>
      <c r="F253" s="326"/>
      <c r="G253" s="326"/>
      <c r="H253" s="326"/>
      <c r="I253" s="326"/>
      <c r="J253" s="326"/>
      <c r="K253" s="326"/>
      <c r="L253" s="326"/>
      <c r="M253" s="326"/>
      <c r="N253" s="326"/>
      <c r="O253" s="326"/>
      <c r="P253" s="326"/>
      <c r="Q253" s="326"/>
      <c r="R253" s="326"/>
      <c r="S253" s="326"/>
      <c r="T253" s="326"/>
      <c r="U253" s="326"/>
      <c r="V253" s="326"/>
      <c r="W253" s="326"/>
      <c r="X253" s="326"/>
      <c r="Y253" s="326"/>
    </row>
    <row r="254">
      <c r="A254" s="326"/>
      <c r="B254" s="326"/>
      <c r="C254" s="326"/>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26"/>
    </row>
    <row r="255">
      <c r="A255" s="326"/>
      <c r="B255" s="326"/>
      <c r="C255" s="326"/>
      <c r="D255" s="326"/>
      <c r="E255" s="326"/>
      <c r="F255" s="326"/>
      <c r="G255" s="326"/>
      <c r="H255" s="326"/>
      <c r="I255" s="326"/>
      <c r="J255" s="326"/>
      <c r="K255" s="326"/>
      <c r="L255" s="326"/>
      <c r="M255" s="326"/>
      <c r="N255" s="326"/>
      <c r="O255" s="326"/>
      <c r="P255" s="326"/>
      <c r="Q255" s="326"/>
      <c r="R255" s="326"/>
      <c r="S255" s="326"/>
      <c r="T255" s="326"/>
      <c r="U255" s="326"/>
      <c r="V255" s="326"/>
      <c r="W255" s="326"/>
      <c r="X255" s="326"/>
      <c r="Y255" s="326"/>
    </row>
    <row r="256">
      <c r="A256" s="326"/>
      <c r="B256" s="326"/>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row>
    <row r="257">
      <c r="A257" s="326"/>
      <c r="B257" s="326"/>
      <c r="C257" s="326"/>
      <c r="D257" s="326"/>
      <c r="E257" s="326"/>
      <c r="F257" s="326"/>
      <c r="G257" s="326"/>
      <c r="H257" s="326"/>
      <c r="I257" s="326"/>
      <c r="J257" s="326"/>
      <c r="K257" s="326"/>
      <c r="L257" s="326"/>
      <c r="M257" s="326"/>
      <c r="N257" s="326"/>
      <c r="O257" s="326"/>
      <c r="P257" s="326"/>
      <c r="Q257" s="326"/>
      <c r="R257" s="326"/>
      <c r="S257" s="326"/>
      <c r="T257" s="326"/>
      <c r="U257" s="326"/>
      <c r="V257" s="326"/>
      <c r="W257" s="326"/>
      <c r="X257" s="326"/>
      <c r="Y257" s="326"/>
    </row>
    <row r="258">
      <c r="A258" s="326"/>
      <c r="B258" s="326"/>
      <c r="C258" s="326"/>
      <c r="D258" s="326"/>
      <c r="E258" s="326"/>
      <c r="F258" s="326"/>
      <c r="G258" s="326"/>
      <c r="H258" s="326"/>
      <c r="I258" s="326"/>
      <c r="J258" s="326"/>
      <c r="K258" s="326"/>
      <c r="L258" s="326"/>
      <c r="M258" s="326"/>
      <c r="N258" s="326"/>
      <c r="O258" s="326"/>
      <c r="P258" s="326"/>
      <c r="Q258" s="326"/>
      <c r="R258" s="326"/>
      <c r="S258" s="326"/>
      <c r="T258" s="326"/>
      <c r="U258" s="326"/>
      <c r="V258" s="326"/>
      <c r="W258" s="326"/>
      <c r="X258" s="326"/>
      <c r="Y258" s="326"/>
    </row>
    <row r="259">
      <c r="A259" s="326"/>
      <c r="B259" s="326"/>
      <c r="C259" s="326"/>
      <c r="D259" s="326"/>
      <c r="E259" s="326"/>
      <c r="F259" s="326"/>
      <c r="G259" s="326"/>
      <c r="H259" s="326"/>
      <c r="I259" s="326"/>
      <c r="J259" s="326"/>
      <c r="K259" s="326"/>
      <c r="L259" s="326"/>
      <c r="M259" s="326"/>
      <c r="N259" s="326"/>
      <c r="O259" s="326"/>
      <c r="P259" s="326"/>
      <c r="Q259" s="326"/>
      <c r="R259" s="326"/>
      <c r="S259" s="326"/>
      <c r="T259" s="326"/>
      <c r="U259" s="326"/>
      <c r="V259" s="326"/>
      <c r="W259" s="326"/>
      <c r="X259" s="326"/>
      <c r="Y259" s="326"/>
    </row>
    <row r="260">
      <c r="A260" s="326"/>
      <c r="B260" s="326"/>
      <c r="C260" s="326"/>
      <c r="D260" s="326"/>
      <c r="E260" s="326"/>
      <c r="F260" s="326"/>
      <c r="G260" s="326"/>
      <c r="H260" s="326"/>
      <c r="I260" s="326"/>
      <c r="J260" s="326"/>
      <c r="K260" s="326"/>
      <c r="L260" s="326"/>
      <c r="M260" s="326"/>
      <c r="N260" s="326"/>
      <c r="O260" s="326"/>
      <c r="P260" s="326"/>
      <c r="Q260" s="326"/>
      <c r="R260" s="326"/>
      <c r="S260" s="326"/>
      <c r="T260" s="326"/>
      <c r="U260" s="326"/>
      <c r="V260" s="326"/>
      <c r="W260" s="326"/>
      <c r="X260" s="326"/>
      <c r="Y260" s="326"/>
    </row>
    <row r="261">
      <c r="A261" s="326"/>
      <c r="B261" s="326"/>
      <c r="C261" s="326"/>
      <c r="D261" s="326"/>
      <c r="E261" s="326"/>
      <c r="F261" s="326"/>
      <c r="G261" s="326"/>
      <c r="H261" s="326"/>
      <c r="I261" s="326"/>
      <c r="J261" s="326"/>
      <c r="K261" s="326"/>
      <c r="L261" s="326"/>
      <c r="M261" s="326"/>
      <c r="N261" s="326"/>
      <c r="O261" s="326"/>
      <c r="P261" s="326"/>
      <c r="Q261" s="326"/>
      <c r="R261" s="326"/>
      <c r="S261" s="326"/>
      <c r="T261" s="326"/>
      <c r="U261" s="326"/>
      <c r="V261" s="326"/>
      <c r="W261" s="326"/>
      <c r="X261" s="326"/>
      <c r="Y261" s="326"/>
    </row>
    <row r="262">
      <c r="A262" s="326"/>
      <c r="B262" s="326"/>
      <c r="C262" s="326"/>
      <c r="D262" s="326"/>
      <c r="E262" s="326"/>
      <c r="F262" s="326"/>
      <c r="G262" s="326"/>
      <c r="H262" s="326"/>
      <c r="I262" s="326"/>
      <c r="J262" s="326"/>
      <c r="K262" s="326"/>
      <c r="L262" s="326"/>
      <c r="M262" s="326"/>
      <c r="N262" s="326"/>
      <c r="O262" s="326"/>
      <c r="P262" s="326"/>
      <c r="Q262" s="326"/>
      <c r="R262" s="326"/>
      <c r="S262" s="326"/>
      <c r="T262" s="326"/>
      <c r="U262" s="326"/>
      <c r="V262" s="326"/>
      <c r="W262" s="326"/>
      <c r="X262" s="326"/>
      <c r="Y262" s="326"/>
    </row>
    <row r="263">
      <c r="A263" s="326"/>
      <c r="B263" s="326"/>
      <c r="C263" s="326"/>
      <c r="D263" s="326"/>
      <c r="E263" s="326"/>
      <c r="F263" s="326"/>
      <c r="G263" s="326"/>
      <c r="H263" s="326"/>
      <c r="I263" s="326"/>
      <c r="J263" s="326"/>
      <c r="K263" s="326"/>
      <c r="L263" s="326"/>
      <c r="M263" s="326"/>
      <c r="N263" s="326"/>
      <c r="O263" s="326"/>
      <c r="P263" s="326"/>
      <c r="Q263" s="326"/>
      <c r="R263" s="326"/>
      <c r="S263" s="326"/>
      <c r="T263" s="326"/>
      <c r="U263" s="326"/>
      <c r="V263" s="326"/>
      <c r="W263" s="326"/>
      <c r="X263" s="326"/>
      <c r="Y263" s="326"/>
    </row>
    <row r="264">
      <c r="A264" s="326"/>
      <c r="B264" s="326"/>
      <c r="C264" s="326"/>
      <c r="D264" s="326"/>
      <c r="E264" s="326"/>
      <c r="F264" s="326"/>
      <c r="G264" s="326"/>
      <c r="H264" s="326"/>
      <c r="I264" s="326"/>
      <c r="J264" s="326"/>
      <c r="K264" s="326"/>
      <c r="L264" s="326"/>
      <c r="M264" s="326"/>
      <c r="N264" s="326"/>
      <c r="O264" s="326"/>
      <c r="P264" s="326"/>
      <c r="Q264" s="326"/>
      <c r="R264" s="326"/>
      <c r="S264" s="326"/>
      <c r="T264" s="326"/>
      <c r="U264" s="326"/>
      <c r="V264" s="326"/>
      <c r="W264" s="326"/>
      <c r="X264" s="326"/>
      <c r="Y264" s="326"/>
    </row>
    <row r="265">
      <c r="A265" s="326"/>
      <c r="B265" s="326"/>
      <c r="C265" s="326"/>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row>
    <row r="266">
      <c r="A266" s="326"/>
      <c r="B266" s="326"/>
      <c r="C266" s="326"/>
      <c r="D266" s="326"/>
      <c r="E266" s="326"/>
      <c r="F266" s="326"/>
      <c r="G266" s="326"/>
      <c r="H266" s="326"/>
      <c r="I266" s="326"/>
      <c r="J266" s="326"/>
      <c r="K266" s="326"/>
      <c r="L266" s="326"/>
      <c r="M266" s="326"/>
      <c r="N266" s="326"/>
      <c r="O266" s="326"/>
      <c r="P266" s="326"/>
      <c r="Q266" s="326"/>
      <c r="R266" s="326"/>
      <c r="S266" s="326"/>
      <c r="T266" s="326"/>
      <c r="U266" s="326"/>
      <c r="V266" s="326"/>
      <c r="W266" s="326"/>
      <c r="X266" s="326"/>
      <c r="Y266" s="326"/>
    </row>
    <row r="267">
      <c r="A267" s="326"/>
      <c r="B267" s="326"/>
      <c r="C267" s="326"/>
      <c r="D267" s="326"/>
      <c r="E267" s="326"/>
      <c r="F267" s="326"/>
      <c r="G267" s="326"/>
      <c r="H267" s="326"/>
      <c r="I267" s="326"/>
      <c r="J267" s="326"/>
      <c r="K267" s="326"/>
      <c r="L267" s="326"/>
      <c r="M267" s="326"/>
      <c r="N267" s="326"/>
      <c r="O267" s="326"/>
      <c r="P267" s="326"/>
      <c r="Q267" s="326"/>
      <c r="R267" s="326"/>
      <c r="S267" s="326"/>
      <c r="T267" s="326"/>
      <c r="U267" s="326"/>
      <c r="V267" s="326"/>
      <c r="W267" s="326"/>
      <c r="X267" s="326"/>
      <c r="Y267" s="326"/>
    </row>
    <row r="268">
      <c r="A268" s="326"/>
      <c r="B268" s="326"/>
      <c r="C268" s="326"/>
      <c r="D268" s="326"/>
      <c r="E268" s="326"/>
      <c r="F268" s="326"/>
      <c r="G268" s="326"/>
      <c r="H268" s="326"/>
      <c r="I268" s="326"/>
      <c r="J268" s="326"/>
      <c r="K268" s="326"/>
      <c r="L268" s="326"/>
      <c r="M268" s="326"/>
      <c r="N268" s="326"/>
      <c r="O268" s="326"/>
      <c r="P268" s="326"/>
      <c r="Q268" s="326"/>
      <c r="R268" s="326"/>
      <c r="S268" s="326"/>
      <c r="T268" s="326"/>
      <c r="U268" s="326"/>
      <c r="V268" s="326"/>
      <c r="W268" s="326"/>
      <c r="X268" s="326"/>
      <c r="Y268" s="326"/>
    </row>
    <row r="269">
      <c r="A269" s="326"/>
      <c r="B269" s="326"/>
      <c r="C269" s="326"/>
      <c r="D269" s="326"/>
      <c r="E269" s="326"/>
      <c r="F269" s="326"/>
      <c r="G269" s="326"/>
      <c r="H269" s="326"/>
      <c r="I269" s="326"/>
      <c r="J269" s="326"/>
      <c r="K269" s="326"/>
      <c r="L269" s="326"/>
      <c r="M269" s="326"/>
      <c r="N269" s="326"/>
      <c r="O269" s="326"/>
      <c r="P269" s="326"/>
      <c r="Q269" s="326"/>
      <c r="R269" s="326"/>
      <c r="S269" s="326"/>
      <c r="T269" s="326"/>
      <c r="U269" s="326"/>
      <c r="V269" s="326"/>
      <c r="W269" s="326"/>
      <c r="X269" s="326"/>
      <c r="Y269" s="326"/>
    </row>
    <row r="270">
      <c r="A270" s="326"/>
      <c r="B270" s="326"/>
      <c r="C270" s="326"/>
      <c r="D270" s="326"/>
      <c r="E270" s="326"/>
      <c r="F270" s="326"/>
      <c r="G270" s="326"/>
      <c r="H270" s="326"/>
      <c r="I270" s="326"/>
      <c r="J270" s="326"/>
      <c r="K270" s="326"/>
      <c r="L270" s="326"/>
      <c r="M270" s="326"/>
      <c r="N270" s="326"/>
      <c r="O270" s="326"/>
      <c r="P270" s="326"/>
      <c r="Q270" s="326"/>
      <c r="R270" s="326"/>
      <c r="S270" s="326"/>
      <c r="T270" s="326"/>
      <c r="U270" s="326"/>
      <c r="V270" s="326"/>
      <c r="W270" s="326"/>
      <c r="X270" s="326"/>
      <c r="Y270" s="326"/>
    </row>
    <row r="271">
      <c r="A271" s="326"/>
      <c r="B271" s="326"/>
      <c r="C271" s="326"/>
      <c r="D271" s="326"/>
      <c r="E271" s="326"/>
      <c r="F271" s="326"/>
      <c r="G271" s="326"/>
      <c r="H271" s="326"/>
      <c r="I271" s="326"/>
      <c r="J271" s="326"/>
      <c r="K271" s="326"/>
      <c r="L271" s="326"/>
      <c r="M271" s="326"/>
      <c r="N271" s="326"/>
      <c r="O271" s="326"/>
      <c r="P271" s="326"/>
      <c r="Q271" s="326"/>
      <c r="R271" s="326"/>
      <c r="S271" s="326"/>
      <c r="T271" s="326"/>
      <c r="U271" s="326"/>
      <c r="V271" s="326"/>
      <c r="W271" s="326"/>
      <c r="X271" s="326"/>
      <c r="Y271" s="326"/>
    </row>
    <row r="272">
      <c r="A272" s="326"/>
      <c r="B272" s="326"/>
      <c r="C272" s="326"/>
      <c r="D272" s="326"/>
      <c r="E272" s="326"/>
      <c r="F272" s="326"/>
      <c r="G272" s="326"/>
      <c r="H272" s="326"/>
      <c r="I272" s="326"/>
      <c r="J272" s="326"/>
      <c r="K272" s="326"/>
      <c r="L272" s="326"/>
      <c r="M272" s="326"/>
      <c r="N272" s="326"/>
      <c r="O272" s="326"/>
      <c r="P272" s="326"/>
      <c r="Q272" s="326"/>
      <c r="R272" s="326"/>
      <c r="S272" s="326"/>
      <c r="T272" s="326"/>
      <c r="U272" s="326"/>
      <c r="V272" s="326"/>
      <c r="W272" s="326"/>
      <c r="X272" s="326"/>
      <c r="Y272" s="326"/>
    </row>
    <row r="273">
      <c r="A273" s="326"/>
      <c r="B273" s="326"/>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row>
    <row r="274">
      <c r="A274" s="326"/>
      <c r="B274" s="326"/>
      <c r="C274" s="326"/>
      <c r="D274" s="326"/>
      <c r="E274" s="326"/>
      <c r="F274" s="326"/>
      <c r="G274" s="326"/>
      <c r="H274" s="326"/>
      <c r="I274" s="326"/>
      <c r="J274" s="326"/>
      <c r="K274" s="326"/>
      <c r="L274" s="326"/>
      <c r="M274" s="326"/>
      <c r="N274" s="326"/>
      <c r="O274" s="326"/>
      <c r="P274" s="326"/>
      <c r="Q274" s="326"/>
      <c r="R274" s="326"/>
      <c r="S274" s="326"/>
      <c r="T274" s="326"/>
      <c r="U274" s="326"/>
      <c r="V274" s="326"/>
      <c r="W274" s="326"/>
      <c r="X274" s="326"/>
      <c r="Y274" s="326"/>
    </row>
    <row r="275">
      <c r="A275" s="326"/>
      <c r="B275" s="326"/>
      <c r="C275" s="326"/>
      <c r="D275" s="326"/>
      <c r="E275" s="326"/>
      <c r="F275" s="326"/>
      <c r="G275" s="326"/>
      <c r="H275" s="326"/>
      <c r="I275" s="326"/>
      <c r="J275" s="326"/>
      <c r="K275" s="326"/>
      <c r="L275" s="326"/>
      <c r="M275" s="326"/>
      <c r="N275" s="326"/>
      <c r="O275" s="326"/>
      <c r="P275" s="326"/>
      <c r="Q275" s="326"/>
      <c r="R275" s="326"/>
      <c r="S275" s="326"/>
      <c r="T275" s="326"/>
      <c r="U275" s="326"/>
      <c r="V275" s="326"/>
      <c r="W275" s="326"/>
      <c r="X275" s="326"/>
      <c r="Y275" s="326"/>
    </row>
    <row r="276">
      <c r="A276" s="326"/>
      <c r="B276" s="326"/>
      <c r="C276" s="326"/>
      <c r="D276" s="326"/>
      <c r="E276" s="326"/>
      <c r="F276" s="326"/>
      <c r="G276" s="326"/>
      <c r="H276" s="326"/>
      <c r="I276" s="326"/>
      <c r="J276" s="326"/>
      <c r="K276" s="326"/>
      <c r="L276" s="326"/>
      <c r="M276" s="326"/>
      <c r="N276" s="326"/>
      <c r="O276" s="326"/>
      <c r="P276" s="326"/>
      <c r="Q276" s="326"/>
      <c r="R276" s="326"/>
      <c r="S276" s="326"/>
      <c r="T276" s="326"/>
      <c r="U276" s="326"/>
      <c r="V276" s="326"/>
      <c r="W276" s="326"/>
      <c r="X276" s="326"/>
      <c r="Y276" s="326"/>
    </row>
    <row r="277">
      <c r="A277" s="326"/>
      <c r="B277" s="326"/>
      <c r="C277" s="326"/>
      <c r="D277" s="326"/>
      <c r="E277" s="326"/>
      <c r="F277" s="326"/>
      <c r="G277" s="326"/>
      <c r="H277" s="326"/>
      <c r="I277" s="326"/>
      <c r="J277" s="326"/>
      <c r="K277" s="326"/>
      <c r="L277" s="326"/>
      <c r="M277" s="326"/>
      <c r="N277" s="326"/>
      <c r="O277" s="326"/>
      <c r="P277" s="326"/>
      <c r="Q277" s="326"/>
      <c r="R277" s="326"/>
      <c r="S277" s="326"/>
      <c r="T277" s="326"/>
      <c r="U277" s="326"/>
      <c r="V277" s="326"/>
      <c r="W277" s="326"/>
      <c r="X277" s="326"/>
      <c r="Y277" s="326"/>
    </row>
    <row r="278">
      <c r="A278" s="326"/>
      <c r="B278" s="326"/>
      <c r="C278" s="326"/>
      <c r="D278" s="326"/>
      <c r="E278" s="326"/>
      <c r="F278" s="326"/>
      <c r="G278" s="326"/>
      <c r="H278" s="326"/>
      <c r="I278" s="326"/>
      <c r="J278" s="326"/>
      <c r="K278" s="326"/>
      <c r="L278" s="326"/>
      <c r="M278" s="326"/>
      <c r="N278" s="326"/>
      <c r="O278" s="326"/>
      <c r="P278" s="326"/>
      <c r="Q278" s="326"/>
      <c r="R278" s="326"/>
      <c r="S278" s="326"/>
      <c r="T278" s="326"/>
      <c r="U278" s="326"/>
      <c r="V278" s="326"/>
      <c r="W278" s="326"/>
      <c r="X278" s="326"/>
      <c r="Y278" s="326"/>
    </row>
    <row r="279">
      <c r="A279" s="326"/>
      <c r="B279" s="326"/>
      <c r="C279" s="326"/>
      <c r="D279" s="326"/>
      <c r="E279" s="326"/>
      <c r="F279" s="326"/>
      <c r="G279" s="326"/>
      <c r="H279" s="326"/>
      <c r="I279" s="326"/>
      <c r="J279" s="326"/>
      <c r="K279" s="326"/>
      <c r="L279" s="326"/>
      <c r="M279" s="326"/>
      <c r="N279" s="326"/>
      <c r="O279" s="326"/>
      <c r="P279" s="326"/>
      <c r="Q279" s="326"/>
      <c r="R279" s="326"/>
      <c r="S279" s="326"/>
      <c r="T279" s="326"/>
      <c r="U279" s="326"/>
      <c r="V279" s="326"/>
      <c r="W279" s="326"/>
      <c r="X279" s="326"/>
      <c r="Y279" s="326"/>
    </row>
    <row r="280">
      <c r="A280" s="326"/>
      <c r="B280" s="326"/>
      <c r="C280" s="326"/>
      <c r="D280" s="326"/>
      <c r="E280" s="326"/>
      <c r="F280" s="326"/>
      <c r="G280" s="326"/>
      <c r="H280" s="326"/>
      <c r="I280" s="326"/>
      <c r="J280" s="326"/>
      <c r="K280" s="326"/>
      <c r="L280" s="326"/>
      <c r="M280" s="326"/>
      <c r="N280" s="326"/>
      <c r="O280" s="326"/>
      <c r="P280" s="326"/>
      <c r="Q280" s="326"/>
      <c r="R280" s="326"/>
      <c r="S280" s="326"/>
      <c r="T280" s="326"/>
      <c r="U280" s="326"/>
      <c r="V280" s="326"/>
      <c r="W280" s="326"/>
      <c r="X280" s="326"/>
      <c r="Y280" s="326"/>
    </row>
    <row r="281">
      <c r="A281" s="326"/>
      <c r="B281" s="326"/>
      <c r="C281" s="326"/>
      <c r="D281" s="326"/>
      <c r="E281" s="326"/>
      <c r="F281" s="326"/>
      <c r="G281" s="326"/>
      <c r="H281" s="326"/>
      <c r="I281" s="326"/>
      <c r="J281" s="326"/>
      <c r="K281" s="326"/>
      <c r="L281" s="326"/>
      <c r="M281" s="326"/>
      <c r="N281" s="326"/>
      <c r="O281" s="326"/>
      <c r="P281" s="326"/>
      <c r="Q281" s="326"/>
      <c r="R281" s="326"/>
      <c r="S281" s="326"/>
      <c r="T281" s="326"/>
      <c r="U281" s="326"/>
      <c r="V281" s="326"/>
      <c r="W281" s="326"/>
      <c r="X281" s="326"/>
      <c r="Y281" s="326"/>
    </row>
    <row r="282">
      <c r="A282" s="326"/>
      <c r="B282" s="326"/>
      <c r="C282" s="326"/>
      <c r="D282" s="326"/>
      <c r="E282" s="326"/>
      <c r="F282" s="326"/>
      <c r="G282" s="326"/>
      <c r="H282" s="326"/>
      <c r="I282" s="326"/>
      <c r="J282" s="326"/>
      <c r="K282" s="326"/>
      <c r="L282" s="326"/>
      <c r="M282" s="326"/>
      <c r="N282" s="326"/>
      <c r="O282" s="326"/>
      <c r="P282" s="326"/>
      <c r="Q282" s="326"/>
      <c r="R282" s="326"/>
      <c r="S282" s="326"/>
      <c r="T282" s="326"/>
      <c r="U282" s="326"/>
      <c r="V282" s="326"/>
      <c r="W282" s="326"/>
      <c r="X282" s="326"/>
      <c r="Y282" s="326"/>
    </row>
    <row r="283">
      <c r="A283" s="326"/>
      <c r="B283" s="326"/>
      <c r="C283" s="326"/>
      <c r="D283" s="326"/>
      <c r="E283" s="326"/>
      <c r="F283" s="326"/>
      <c r="G283" s="326"/>
      <c r="H283" s="326"/>
      <c r="I283" s="326"/>
      <c r="J283" s="326"/>
      <c r="K283" s="326"/>
      <c r="L283" s="326"/>
      <c r="M283" s="326"/>
      <c r="N283" s="326"/>
      <c r="O283" s="326"/>
      <c r="P283" s="326"/>
      <c r="Q283" s="326"/>
      <c r="R283" s="326"/>
      <c r="S283" s="326"/>
      <c r="T283" s="326"/>
      <c r="U283" s="326"/>
      <c r="V283" s="326"/>
      <c r="W283" s="326"/>
      <c r="X283" s="326"/>
      <c r="Y283" s="326"/>
    </row>
    <row r="284">
      <c r="A284" s="326"/>
      <c r="B284" s="326"/>
      <c r="C284" s="326"/>
      <c r="D284" s="326"/>
      <c r="E284" s="326"/>
      <c r="F284" s="326"/>
      <c r="G284" s="326"/>
      <c r="H284" s="326"/>
      <c r="I284" s="326"/>
      <c r="J284" s="326"/>
      <c r="K284" s="326"/>
      <c r="L284" s="326"/>
      <c r="M284" s="326"/>
      <c r="N284" s="326"/>
      <c r="O284" s="326"/>
      <c r="P284" s="326"/>
      <c r="Q284" s="326"/>
      <c r="R284" s="326"/>
      <c r="S284" s="326"/>
      <c r="T284" s="326"/>
      <c r="U284" s="326"/>
      <c r="V284" s="326"/>
      <c r="W284" s="326"/>
      <c r="X284" s="326"/>
      <c r="Y284" s="326"/>
    </row>
    <row r="285">
      <c r="A285" s="326"/>
      <c r="B285" s="326"/>
      <c r="C285" s="326"/>
      <c r="D285" s="326"/>
      <c r="E285" s="326"/>
      <c r="F285" s="326"/>
      <c r="G285" s="326"/>
      <c r="H285" s="326"/>
      <c r="I285" s="326"/>
      <c r="J285" s="326"/>
      <c r="K285" s="326"/>
      <c r="L285" s="326"/>
      <c r="M285" s="326"/>
      <c r="N285" s="326"/>
      <c r="O285" s="326"/>
      <c r="P285" s="326"/>
      <c r="Q285" s="326"/>
      <c r="R285" s="326"/>
      <c r="S285" s="326"/>
      <c r="T285" s="326"/>
      <c r="U285" s="326"/>
      <c r="V285" s="326"/>
      <c r="W285" s="326"/>
      <c r="X285" s="326"/>
      <c r="Y285" s="326"/>
    </row>
    <row r="286">
      <c r="A286" s="326"/>
      <c r="B286" s="326"/>
      <c r="C286" s="326"/>
      <c r="D286" s="326"/>
      <c r="E286" s="326"/>
      <c r="F286" s="326"/>
      <c r="G286" s="326"/>
      <c r="H286" s="326"/>
      <c r="I286" s="326"/>
      <c r="J286" s="326"/>
      <c r="K286" s="326"/>
      <c r="L286" s="326"/>
      <c r="M286" s="326"/>
      <c r="N286" s="326"/>
      <c r="O286" s="326"/>
      <c r="P286" s="326"/>
      <c r="Q286" s="326"/>
      <c r="R286" s="326"/>
      <c r="S286" s="326"/>
      <c r="T286" s="326"/>
      <c r="U286" s="326"/>
      <c r="V286" s="326"/>
      <c r="W286" s="326"/>
      <c r="X286" s="326"/>
      <c r="Y286" s="326"/>
    </row>
    <row r="287">
      <c r="A287" s="326"/>
      <c r="B287" s="326"/>
      <c r="C287" s="326"/>
      <c r="D287" s="326"/>
      <c r="E287" s="326"/>
      <c r="F287" s="326"/>
      <c r="G287" s="326"/>
      <c r="H287" s="326"/>
      <c r="I287" s="326"/>
      <c r="J287" s="326"/>
      <c r="K287" s="326"/>
      <c r="L287" s="326"/>
      <c r="M287" s="326"/>
      <c r="N287" s="326"/>
      <c r="O287" s="326"/>
      <c r="P287" s="326"/>
      <c r="Q287" s="326"/>
      <c r="R287" s="326"/>
      <c r="S287" s="326"/>
      <c r="T287" s="326"/>
      <c r="U287" s="326"/>
      <c r="V287" s="326"/>
      <c r="W287" s="326"/>
      <c r="X287" s="326"/>
      <c r="Y287" s="326"/>
    </row>
    <row r="288">
      <c r="A288" s="326"/>
      <c r="B288" s="326"/>
      <c r="C288" s="326"/>
      <c r="D288" s="326"/>
      <c r="E288" s="326"/>
      <c r="F288" s="326"/>
      <c r="G288" s="326"/>
      <c r="H288" s="326"/>
      <c r="I288" s="326"/>
      <c r="J288" s="326"/>
      <c r="K288" s="326"/>
      <c r="L288" s="326"/>
      <c r="M288" s="326"/>
      <c r="N288" s="326"/>
      <c r="O288" s="326"/>
      <c r="P288" s="326"/>
      <c r="Q288" s="326"/>
      <c r="R288" s="326"/>
      <c r="S288" s="326"/>
      <c r="T288" s="326"/>
      <c r="U288" s="326"/>
      <c r="V288" s="326"/>
      <c r="W288" s="326"/>
      <c r="X288" s="326"/>
      <c r="Y288" s="326"/>
    </row>
    <row r="289">
      <c r="A289" s="326"/>
      <c r="B289" s="326"/>
      <c r="C289" s="326"/>
      <c r="D289" s="326"/>
      <c r="E289" s="326"/>
      <c r="F289" s="326"/>
      <c r="G289" s="326"/>
      <c r="H289" s="326"/>
      <c r="I289" s="326"/>
      <c r="J289" s="326"/>
      <c r="K289" s="326"/>
      <c r="L289" s="326"/>
      <c r="M289" s="326"/>
      <c r="N289" s="326"/>
      <c r="O289" s="326"/>
      <c r="P289" s="326"/>
      <c r="Q289" s="326"/>
      <c r="R289" s="326"/>
      <c r="S289" s="326"/>
      <c r="T289" s="326"/>
      <c r="U289" s="326"/>
      <c r="V289" s="326"/>
      <c r="W289" s="326"/>
      <c r="X289" s="326"/>
      <c r="Y289" s="326"/>
    </row>
    <row r="290">
      <c r="A290" s="326"/>
      <c r="B290" s="326"/>
      <c r="C290" s="326"/>
      <c r="D290" s="326"/>
      <c r="E290" s="326"/>
      <c r="F290" s="326"/>
      <c r="G290" s="326"/>
      <c r="H290" s="326"/>
      <c r="I290" s="326"/>
      <c r="J290" s="326"/>
      <c r="K290" s="326"/>
      <c r="L290" s="326"/>
      <c r="M290" s="326"/>
      <c r="N290" s="326"/>
      <c r="O290" s="326"/>
      <c r="P290" s="326"/>
      <c r="Q290" s="326"/>
      <c r="R290" s="326"/>
      <c r="S290" s="326"/>
      <c r="T290" s="326"/>
      <c r="U290" s="326"/>
      <c r="V290" s="326"/>
      <c r="W290" s="326"/>
      <c r="X290" s="326"/>
      <c r="Y290" s="326"/>
    </row>
    <row r="291">
      <c r="A291" s="326"/>
      <c r="B291" s="326"/>
      <c r="C291" s="32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6"/>
    </row>
    <row r="292">
      <c r="A292" s="326"/>
      <c r="B292" s="326"/>
      <c r="C292" s="326"/>
      <c r="D292" s="326"/>
      <c r="E292" s="326"/>
      <c r="F292" s="326"/>
      <c r="G292" s="326"/>
      <c r="H292" s="326"/>
      <c r="I292" s="326"/>
      <c r="J292" s="326"/>
      <c r="K292" s="326"/>
      <c r="L292" s="326"/>
      <c r="M292" s="326"/>
      <c r="N292" s="326"/>
      <c r="O292" s="326"/>
      <c r="P292" s="326"/>
      <c r="Q292" s="326"/>
      <c r="R292" s="326"/>
      <c r="S292" s="326"/>
      <c r="T292" s="326"/>
      <c r="U292" s="326"/>
      <c r="V292" s="326"/>
      <c r="W292" s="326"/>
      <c r="X292" s="326"/>
      <c r="Y292" s="326"/>
    </row>
    <row r="293">
      <c r="A293" s="326"/>
      <c r="B293" s="326"/>
      <c r="C293" s="326"/>
      <c r="D293" s="326"/>
      <c r="E293" s="326"/>
      <c r="F293" s="326"/>
      <c r="G293" s="326"/>
      <c r="H293" s="326"/>
      <c r="I293" s="326"/>
      <c r="J293" s="326"/>
      <c r="K293" s="326"/>
      <c r="L293" s="326"/>
      <c r="M293" s="326"/>
      <c r="N293" s="326"/>
      <c r="O293" s="326"/>
      <c r="P293" s="326"/>
      <c r="Q293" s="326"/>
      <c r="R293" s="326"/>
      <c r="S293" s="326"/>
      <c r="T293" s="326"/>
      <c r="U293" s="326"/>
      <c r="V293" s="326"/>
      <c r="W293" s="326"/>
      <c r="X293" s="326"/>
      <c r="Y293" s="326"/>
    </row>
    <row r="294">
      <c r="A294" s="326"/>
      <c r="B294" s="326"/>
      <c r="C294" s="326"/>
      <c r="D294" s="326"/>
      <c r="E294" s="326"/>
      <c r="F294" s="326"/>
      <c r="G294" s="326"/>
      <c r="H294" s="326"/>
      <c r="I294" s="326"/>
      <c r="J294" s="326"/>
      <c r="K294" s="326"/>
      <c r="L294" s="326"/>
      <c r="M294" s="326"/>
      <c r="N294" s="326"/>
      <c r="O294" s="326"/>
      <c r="P294" s="326"/>
      <c r="Q294" s="326"/>
      <c r="R294" s="326"/>
      <c r="S294" s="326"/>
      <c r="T294" s="326"/>
      <c r="U294" s="326"/>
      <c r="V294" s="326"/>
      <c r="W294" s="326"/>
      <c r="X294" s="326"/>
      <c r="Y294" s="326"/>
    </row>
    <row r="295">
      <c r="A295" s="326"/>
      <c r="B295" s="326"/>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row>
    <row r="296">
      <c r="A296" s="326"/>
      <c r="B296" s="326"/>
      <c r="C296" s="326"/>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row>
    <row r="297">
      <c r="A297" s="326"/>
      <c r="B297" s="326"/>
      <c r="C297" s="326"/>
      <c r="D297" s="326"/>
      <c r="E297" s="326"/>
      <c r="F297" s="326"/>
      <c r="G297" s="326"/>
      <c r="H297" s="326"/>
      <c r="I297" s="326"/>
      <c r="J297" s="326"/>
      <c r="K297" s="326"/>
      <c r="L297" s="326"/>
      <c r="M297" s="326"/>
      <c r="N297" s="326"/>
      <c r="O297" s="326"/>
      <c r="P297" s="326"/>
      <c r="Q297" s="326"/>
      <c r="R297" s="326"/>
      <c r="S297" s="326"/>
      <c r="T297" s="326"/>
      <c r="U297" s="326"/>
      <c r="V297" s="326"/>
      <c r="W297" s="326"/>
      <c r="X297" s="326"/>
      <c r="Y297" s="326"/>
    </row>
    <row r="298">
      <c r="A298" s="326"/>
      <c r="B298" s="326"/>
      <c r="C298" s="326"/>
      <c r="D298" s="326"/>
      <c r="E298" s="326"/>
      <c r="F298" s="326"/>
      <c r="G298" s="326"/>
      <c r="H298" s="326"/>
      <c r="I298" s="326"/>
      <c r="J298" s="326"/>
      <c r="K298" s="326"/>
      <c r="L298" s="326"/>
      <c r="M298" s="326"/>
      <c r="N298" s="326"/>
      <c r="O298" s="326"/>
      <c r="P298" s="326"/>
      <c r="Q298" s="326"/>
      <c r="R298" s="326"/>
      <c r="S298" s="326"/>
      <c r="T298" s="326"/>
      <c r="U298" s="326"/>
      <c r="V298" s="326"/>
      <c r="W298" s="326"/>
      <c r="X298" s="326"/>
      <c r="Y298" s="326"/>
    </row>
    <row r="299">
      <c r="A299" s="326"/>
      <c r="B299" s="326"/>
      <c r="C299" s="326"/>
      <c r="D299" s="326"/>
      <c r="E299" s="326"/>
      <c r="F299" s="326"/>
      <c r="G299" s="326"/>
      <c r="H299" s="326"/>
      <c r="I299" s="326"/>
      <c r="J299" s="326"/>
      <c r="K299" s="326"/>
      <c r="L299" s="326"/>
      <c r="M299" s="326"/>
      <c r="N299" s="326"/>
      <c r="O299" s="326"/>
      <c r="P299" s="326"/>
      <c r="Q299" s="326"/>
      <c r="R299" s="326"/>
      <c r="S299" s="326"/>
      <c r="T299" s="326"/>
      <c r="U299" s="326"/>
      <c r="V299" s="326"/>
      <c r="W299" s="326"/>
      <c r="X299" s="326"/>
      <c r="Y299" s="326"/>
    </row>
    <row r="300">
      <c r="A300" s="326"/>
      <c r="B300" s="326"/>
      <c r="C300" s="326"/>
      <c r="D300" s="326"/>
      <c r="E300" s="326"/>
      <c r="F300" s="326"/>
      <c r="G300" s="326"/>
      <c r="H300" s="326"/>
      <c r="I300" s="326"/>
      <c r="J300" s="326"/>
      <c r="K300" s="326"/>
      <c r="L300" s="326"/>
      <c r="M300" s="326"/>
      <c r="N300" s="326"/>
      <c r="O300" s="326"/>
      <c r="P300" s="326"/>
      <c r="Q300" s="326"/>
      <c r="R300" s="326"/>
      <c r="S300" s="326"/>
      <c r="T300" s="326"/>
      <c r="U300" s="326"/>
      <c r="V300" s="326"/>
      <c r="W300" s="326"/>
      <c r="X300" s="326"/>
      <c r="Y300" s="326"/>
    </row>
    <row r="301">
      <c r="A301" s="326"/>
      <c r="B301" s="326"/>
      <c r="C301" s="326"/>
      <c r="D301" s="326"/>
      <c r="E301" s="326"/>
      <c r="F301" s="326"/>
      <c r="G301" s="326"/>
      <c r="H301" s="326"/>
      <c r="I301" s="326"/>
      <c r="J301" s="326"/>
      <c r="K301" s="326"/>
      <c r="L301" s="326"/>
      <c r="M301" s="326"/>
      <c r="N301" s="326"/>
      <c r="O301" s="326"/>
      <c r="P301" s="326"/>
      <c r="Q301" s="326"/>
      <c r="R301" s="326"/>
      <c r="S301" s="326"/>
      <c r="T301" s="326"/>
      <c r="U301" s="326"/>
      <c r="V301" s="326"/>
      <c r="W301" s="326"/>
      <c r="X301" s="326"/>
      <c r="Y301" s="326"/>
    </row>
    <row r="302">
      <c r="A302" s="326"/>
      <c r="B302" s="326"/>
      <c r="C302" s="326"/>
      <c r="D302" s="326"/>
      <c r="E302" s="326"/>
      <c r="F302" s="326"/>
      <c r="G302" s="326"/>
      <c r="H302" s="326"/>
      <c r="I302" s="326"/>
      <c r="J302" s="326"/>
      <c r="K302" s="326"/>
      <c r="L302" s="326"/>
      <c r="M302" s="326"/>
      <c r="N302" s="326"/>
      <c r="O302" s="326"/>
      <c r="P302" s="326"/>
      <c r="Q302" s="326"/>
      <c r="R302" s="326"/>
      <c r="S302" s="326"/>
      <c r="T302" s="326"/>
      <c r="U302" s="326"/>
      <c r="V302" s="326"/>
      <c r="W302" s="326"/>
      <c r="X302" s="326"/>
      <c r="Y302" s="326"/>
    </row>
    <row r="303">
      <c r="A303" s="326"/>
      <c r="B303" s="326"/>
      <c r="C303" s="326"/>
      <c r="D303" s="326"/>
      <c r="E303" s="326"/>
      <c r="F303" s="326"/>
      <c r="G303" s="326"/>
      <c r="H303" s="326"/>
      <c r="I303" s="326"/>
      <c r="J303" s="326"/>
      <c r="K303" s="326"/>
      <c r="L303" s="326"/>
      <c r="M303" s="326"/>
      <c r="N303" s="326"/>
      <c r="O303" s="326"/>
      <c r="P303" s="326"/>
      <c r="Q303" s="326"/>
      <c r="R303" s="326"/>
      <c r="S303" s="326"/>
      <c r="T303" s="326"/>
      <c r="U303" s="326"/>
      <c r="V303" s="326"/>
      <c r="W303" s="326"/>
      <c r="X303" s="326"/>
      <c r="Y303" s="326"/>
    </row>
    <row r="304">
      <c r="A304" s="326"/>
      <c r="B304" s="326"/>
      <c r="C304" s="326"/>
      <c r="D304" s="326"/>
      <c r="E304" s="326"/>
      <c r="F304" s="326"/>
      <c r="G304" s="326"/>
      <c r="H304" s="326"/>
      <c r="I304" s="326"/>
      <c r="J304" s="326"/>
      <c r="K304" s="326"/>
      <c r="L304" s="326"/>
      <c r="M304" s="326"/>
      <c r="N304" s="326"/>
      <c r="O304" s="326"/>
      <c r="P304" s="326"/>
      <c r="Q304" s="326"/>
      <c r="R304" s="326"/>
      <c r="S304" s="326"/>
      <c r="T304" s="326"/>
      <c r="U304" s="326"/>
      <c r="V304" s="326"/>
      <c r="W304" s="326"/>
      <c r="X304" s="326"/>
      <c r="Y304" s="326"/>
    </row>
    <row r="305">
      <c r="A305" s="326"/>
      <c r="B305" s="326"/>
      <c r="C305" s="326"/>
      <c r="D305" s="326"/>
      <c r="E305" s="326"/>
      <c r="F305" s="326"/>
      <c r="G305" s="326"/>
      <c r="H305" s="326"/>
      <c r="I305" s="326"/>
      <c r="J305" s="326"/>
      <c r="K305" s="326"/>
      <c r="L305" s="326"/>
      <c r="M305" s="326"/>
      <c r="N305" s="326"/>
      <c r="O305" s="326"/>
      <c r="P305" s="326"/>
      <c r="Q305" s="326"/>
      <c r="R305" s="326"/>
      <c r="S305" s="326"/>
      <c r="T305" s="326"/>
      <c r="U305" s="326"/>
      <c r="V305" s="326"/>
      <c r="W305" s="326"/>
      <c r="X305" s="326"/>
      <c r="Y305" s="326"/>
    </row>
    <row r="306">
      <c r="A306" s="326"/>
      <c r="B306" s="326"/>
      <c r="C306" s="326"/>
      <c r="D306" s="326"/>
      <c r="E306" s="326"/>
      <c r="F306" s="326"/>
      <c r="G306" s="326"/>
      <c r="H306" s="326"/>
      <c r="I306" s="326"/>
      <c r="J306" s="326"/>
      <c r="K306" s="326"/>
      <c r="L306" s="326"/>
      <c r="M306" s="326"/>
      <c r="N306" s="326"/>
      <c r="O306" s="326"/>
      <c r="P306" s="326"/>
      <c r="Q306" s="326"/>
      <c r="R306" s="326"/>
      <c r="S306" s="326"/>
      <c r="T306" s="326"/>
      <c r="U306" s="326"/>
      <c r="V306" s="326"/>
      <c r="W306" s="326"/>
      <c r="X306" s="326"/>
      <c r="Y306" s="326"/>
    </row>
    <row r="307">
      <c r="A307" s="326"/>
      <c r="B307" s="326"/>
      <c r="C307" s="326"/>
      <c r="D307" s="326"/>
      <c r="E307" s="326"/>
      <c r="F307" s="326"/>
      <c r="G307" s="326"/>
      <c r="H307" s="326"/>
      <c r="I307" s="326"/>
      <c r="J307" s="326"/>
      <c r="K307" s="326"/>
      <c r="L307" s="326"/>
      <c r="M307" s="326"/>
      <c r="N307" s="326"/>
      <c r="O307" s="326"/>
      <c r="P307" s="326"/>
      <c r="Q307" s="326"/>
      <c r="R307" s="326"/>
      <c r="S307" s="326"/>
      <c r="T307" s="326"/>
      <c r="U307" s="326"/>
      <c r="V307" s="326"/>
      <c r="W307" s="326"/>
      <c r="X307" s="326"/>
      <c r="Y307" s="326"/>
    </row>
    <row r="308">
      <c r="A308" s="326"/>
      <c r="B308" s="326"/>
      <c r="C308" s="326"/>
      <c r="D308" s="326"/>
      <c r="E308" s="326"/>
      <c r="F308" s="326"/>
      <c r="G308" s="326"/>
      <c r="H308" s="326"/>
      <c r="I308" s="326"/>
      <c r="J308" s="326"/>
      <c r="K308" s="326"/>
      <c r="L308" s="326"/>
      <c r="M308" s="326"/>
      <c r="N308" s="326"/>
      <c r="O308" s="326"/>
      <c r="P308" s="326"/>
      <c r="Q308" s="326"/>
      <c r="R308" s="326"/>
      <c r="S308" s="326"/>
      <c r="T308" s="326"/>
      <c r="U308" s="326"/>
      <c r="V308" s="326"/>
      <c r="W308" s="326"/>
      <c r="X308" s="326"/>
      <c r="Y308" s="326"/>
    </row>
    <row r="309">
      <c r="A309" s="326"/>
      <c r="B309" s="326"/>
      <c r="C309" s="326"/>
      <c r="D309" s="326"/>
      <c r="E309" s="326"/>
      <c r="F309" s="326"/>
      <c r="G309" s="326"/>
      <c r="H309" s="326"/>
      <c r="I309" s="326"/>
      <c r="J309" s="326"/>
      <c r="K309" s="326"/>
      <c r="L309" s="326"/>
      <c r="M309" s="326"/>
      <c r="N309" s="326"/>
      <c r="O309" s="326"/>
      <c r="P309" s="326"/>
      <c r="Q309" s="326"/>
      <c r="R309" s="326"/>
      <c r="S309" s="326"/>
      <c r="T309" s="326"/>
      <c r="U309" s="326"/>
      <c r="V309" s="326"/>
      <c r="W309" s="326"/>
      <c r="X309" s="326"/>
      <c r="Y309" s="326"/>
    </row>
    <row r="310">
      <c r="A310" s="326"/>
      <c r="B310" s="326"/>
      <c r="C310" s="326"/>
      <c r="D310" s="326"/>
      <c r="E310" s="326"/>
      <c r="F310" s="326"/>
      <c r="G310" s="326"/>
      <c r="H310" s="326"/>
      <c r="I310" s="326"/>
      <c r="J310" s="326"/>
      <c r="K310" s="326"/>
      <c r="L310" s="326"/>
      <c r="M310" s="326"/>
      <c r="N310" s="326"/>
      <c r="O310" s="326"/>
      <c r="P310" s="326"/>
      <c r="Q310" s="326"/>
      <c r="R310" s="326"/>
      <c r="S310" s="326"/>
      <c r="T310" s="326"/>
      <c r="U310" s="326"/>
      <c r="V310" s="326"/>
      <c r="W310" s="326"/>
      <c r="X310" s="326"/>
      <c r="Y310" s="326"/>
    </row>
    <row r="311">
      <c r="A311" s="326"/>
      <c r="B311" s="326"/>
      <c r="C311" s="326"/>
      <c r="D311" s="326"/>
      <c r="E311" s="326"/>
      <c r="F311" s="326"/>
      <c r="G311" s="326"/>
      <c r="H311" s="326"/>
      <c r="I311" s="326"/>
      <c r="J311" s="326"/>
      <c r="K311" s="326"/>
      <c r="L311" s="326"/>
      <c r="M311" s="326"/>
      <c r="N311" s="326"/>
      <c r="O311" s="326"/>
      <c r="P311" s="326"/>
      <c r="Q311" s="326"/>
      <c r="R311" s="326"/>
      <c r="S311" s="326"/>
      <c r="T311" s="326"/>
      <c r="U311" s="326"/>
      <c r="V311" s="326"/>
      <c r="W311" s="326"/>
      <c r="X311" s="326"/>
      <c r="Y311" s="326"/>
    </row>
    <row r="312">
      <c r="A312" s="326"/>
      <c r="B312" s="326"/>
      <c r="C312" s="326"/>
      <c r="D312" s="326"/>
      <c r="E312" s="326"/>
      <c r="F312" s="326"/>
      <c r="G312" s="326"/>
      <c r="H312" s="326"/>
      <c r="I312" s="326"/>
      <c r="J312" s="326"/>
      <c r="K312" s="326"/>
      <c r="L312" s="326"/>
      <c r="M312" s="326"/>
      <c r="N312" s="326"/>
      <c r="O312" s="326"/>
      <c r="P312" s="326"/>
      <c r="Q312" s="326"/>
      <c r="R312" s="326"/>
      <c r="S312" s="326"/>
      <c r="T312" s="326"/>
      <c r="U312" s="326"/>
      <c r="V312" s="326"/>
      <c r="W312" s="326"/>
      <c r="X312" s="326"/>
      <c r="Y312" s="326"/>
    </row>
    <row r="313">
      <c r="A313" s="326"/>
      <c r="B313" s="326"/>
      <c r="C313" s="326"/>
      <c r="D313" s="326"/>
      <c r="E313" s="326"/>
      <c r="F313" s="326"/>
      <c r="G313" s="326"/>
      <c r="H313" s="326"/>
      <c r="I313" s="326"/>
      <c r="J313" s="326"/>
      <c r="K313" s="326"/>
      <c r="L313" s="326"/>
      <c r="M313" s="326"/>
      <c r="N313" s="326"/>
      <c r="O313" s="326"/>
      <c r="P313" s="326"/>
      <c r="Q313" s="326"/>
      <c r="R313" s="326"/>
      <c r="S313" s="326"/>
      <c r="T313" s="326"/>
      <c r="U313" s="326"/>
      <c r="V313" s="326"/>
      <c r="W313" s="326"/>
      <c r="X313" s="326"/>
      <c r="Y313" s="326"/>
    </row>
    <row r="314">
      <c r="A314" s="326"/>
      <c r="B314" s="326"/>
      <c r="C314" s="326"/>
      <c r="D314" s="326"/>
      <c r="E314" s="326"/>
      <c r="F314" s="326"/>
      <c r="G314" s="326"/>
      <c r="H314" s="326"/>
      <c r="I314" s="326"/>
      <c r="J314" s="326"/>
      <c r="K314" s="326"/>
      <c r="L314" s="326"/>
      <c r="M314" s="326"/>
      <c r="N314" s="326"/>
      <c r="O314" s="326"/>
      <c r="P314" s="326"/>
      <c r="Q314" s="326"/>
      <c r="R314" s="326"/>
      <c r="S314" s="326"/>
      <c r="T314" s="326"/>
      <c r="U314" s="326"/>
      <c r="V314" s="326"/>
      <c r="W314" s="326"/>
      <c r="X314" s="326"/>
      <c r="Y314" s="326"/>
    </row>
    <row r="315">
      <c r="A315" s="326"/>
      <c r="B315" s="326"/>
      <c r="C315" s="326"/>
      <c r="D315" s="326"/>
      <c r="E315" s="326"/>
      <c r="F315" s="326"/>
      <c r="G315" s="326"/>
      <c r="H315" s="326"/>
      <c r="I315" s="326"/>
      <c r="J315" s="326"/>
      <c r="K315" s="326"/>
      <c r="L315" s="326"/>
      <c r="M315" s="326"/>
      <c r="N315" s="326"/>
      <c r="O315" s="326"/>
      <c r="P315" s="326"/>
      <c r="Q315" s="326"/>
      <c r="R315" s="326"/>
      <c r="S315" s="326"/>
      <c r="T315" s="326"/>
      <c r="U315" s="326"/>
      <c r="V315" s="326"/>
      <c r="W315" s="326"/>
      <c r="X315" s="326"/>
      <c r="Y315" s="326"/>
    </row>
    <row r="316">
      <c r="A316" s="326"/>
      <c r="B316" s="326"/>
      <c r="C316" s="326"/>
      <c r="D316" s="326"/>
      <c r="E316" s="326"/>
      <c r="F316" s="326"/>
      <c r="G316" s="326"/>
      <c r="H316" s="326"/>
      <c r="I316" s="326"/>
      <c r="J316" s="326"/>
      <c r="K316" s="326"/>
      <c r="L316" s="326"/>
      <c r="M316" s="326"/>
      <c r="N316" s="326"/>
      <c r="O316" s="326"/>
      <c r="P316" s="326"/>
      <c r="Q316" s="326"/>
      <c r="R316" s="326"/>
      <c r="S316" s="326"/>
      <c r="T316" s="326"/>
      <c r="U316" s="326"/>
      <c r="V316" s="326"/>
      <c r="W316" s="326"/>
      <c r="X316" s="326"/>
      <c r="Y316" s="326"/>
    </row>
    <row r="317">
      <c r="A317" s="326"/>
      <c r="B317" s="326"/>
      <c r="C317" s="326"/>
      <c r="D317" s="326"/>
      <c r="E317" s="326"/>
      <c r="F317" s="326"/>
      <c r="G317" s="326"/>
      <c r="H317" s="326"/>
      <c r="I317" s="326"/>
      <c r="J317" s="326"/>
      <c r="K317" s="326"/>
      <c r="L317" s="326"/>
      <c r="M317" s="326"/>
      <c r="N317" s="326"/>
      <c r="O317" s="326"/>
      <c r="P317" s="326"/>
      <c r="Q317" s="326"/>
      <c r="R317" s="326"/>
      <c r="S317" s="326"/>
      <c r="T317" s="326"/>
      <c r="U317" s="326"/>
      <c r="V317" s="326"/>
      <c r="W317" s="326"/>
      <c r="X317" s="326"/>
      <c r="Y317" s="326"/>
    </row>
    <row r="318">
      <c r="A318" s="326"/>
      <c r="B318" s="326"/>
      <c r="C318" s="326"/>
      <c r="D318" s="326"/>
      <c r="E318" s="326"/>
      <c r="F318" s="326"/>
      <c r="G318" s="326"/>
      <c r="H318" s="326"/>
      <c r="I318" s="326"/>
      <c r="J318" s="326"/>
      <c r="K318" s="326"/>
      <c r="L318" s="326"/>
      <c r="M318" s="326"/>
      <c r="N318" s="326"/>
      <c r="O318" s="326"/>
      <c r="P318" s="326"/>
      <c r="Q318" s="326"/>
      <c r="R318" s="326"/>
      <c r="S318" s="326"/>
      <c r="T318" s="326"/>
      <c r="U318" s="326"/>
      <c r="V318" s="326"/>
      <c r="W318" s="326"/>
      <c r="X318" s="326"/>
      <c r="Y318" s="326"/>
    </row>
    <row r="319">
      <c r="A319" s="326"/>
      <c r="B319" s="326"/>
      <c r="C319" s="326"/>
      <c r="D319" s="326"/>
      <c r="E319" s="326"/>
      <c r="F319" s="326"/>
      <c r="G319" s="326"/>
      <c r="H319" s="326"/>
      <c r="I319" s="326"/>
      <c r="J319" s="326"/>
      <c r="K319" s="326"/>
      <c r="L319" s="326"/>
      <c r="M319" s="326"/>
      <c r="N319" s="326"/>
      <c r="O319" s="326"/>
      <c r="P319" s="326"/>
      <c r="Q319" s="326"/>
      <c r="R319" s="326"/>
      <c r="S319" s="326"/>
      <c r="T319" s="326"/>
      <c r="U319" s="326"/>
      <c r="V319" s="326"/>
      <c r="W319" s="326"/>
      <c r="X319" s="326"/>
      <c r="Y319" s="326"/>
    </row>
    <row r="320">
      <c r="A320" s="326"/>
      <c r="B320" s="326"/>
      <c r="C320" s="326"/>
      <c r="D320" s="326"/>
      <c r="E320" s="326"/>
      <c r="F320" s="326"/>
      <c r="G320" s="326"/>
      <c r="H320" s="326"/>
      <c r="I320" s="326"/>
      <c r="J320" s="326"/>
      <c r="K320" s="326"/>
      <c r="L320" s="326"/>
      <c r="M320" s="326"/>
      <c r="N320" s="326"/>
      <c r="O320" s="326"/>
      <c r="P320" s="326"/>
      <c r="Q320" s="326"/>
      <c r="R320" s="326"/>
      <c r="S320" s="326"/>
      <c r="T320" s="326"/>
      <c r="U320" s="326"/>
      <c r="V320" s="326"/>
      <c r="W320" s="326"/>
      <c r="X320" s="326"/>
      <c r="Y320" s="326"/>
    </row>
    <row r="321">
      <c r="A321" s="326"/>
      <c r="B321" s="326"/>
      <c r="C321" s="326"/>
      <c r="D321" s="326"/>
      <c r="E321" s="326"/>
      <c r="F321" s="326"/>
      <c r="G321" s="326"/>
      <c r="H321" s="326"/>
      <c r="I321" s="326"/>
      <c r="J321" s="326"/>
      <c r="K321" s="326"/>
      <c r="L321" s="326"/>
      <c r="M321" s="326"/>
      <c r="N321" s="326"/>
      <c r="O321" s="326"/>
      <c r="P321" s="326"/>
      <c r="Q321" s="326"/>
      <c r="R321" s="326"/>
      <c r="S321" s="326"/>
      <c r="T321" s="326"/>
      <c r="U321" s="326"/>
      <c r="V321" s="326"/>
      <c r="W321" s="326"/>
      <c r="X321" s="326"/>
      <c r="Y321" s="326"/>
    </row>
    <row r="322">
      <c r="A322" s="326"/>
      <c r="B322" s="326"/>
      <c r="C322" s="326"/>
      <c r="D322" s="326"/>
      <c r="E322" s="326"/>
      <c r="F322" s="326"/>
      <c r="G322" s="326"/>
      <c r="H322" s="326"/>
      <c r="I322" s="326"/>
      <c r="J322" s="326"/>
      <c r="K322" s="326"/>
      <c r="L322" s="326"/>
      <c r="M322" s="326"/>
      <c r="N322" s="326"/>
      <c r="O322" s="326"/>
      <c r="P322" s="326"/>
      <c r="Q322" s="326"/>
      <c r="R322" s="326"/>
      <c r="S322" s="326"/>
      <c r="T322" s="326"/>
      <c r="U322" s="326"/>
      <c r="V322" s="326"/>
      <c r="W322" s="326"/>
      <c r="X322" s="326"/>
      <c r="Y322" s="326"/>
    </row>
    <row r="323">
      <c r="A323" s="326"/>
      <c r="B323" s="326"/>
      <c r="C323" s="326"/>
      <c r="D323" s="326"/>
      <c r="E323" s="326"/>
      <c r="F323" s="326"/>
      <c r="G323" s="326"/>
      <c r="H323" s="326"/>
      <c r="I323" s="326"/>
      <c r="J323" s="326"/>
      <c r="K323" s="326"/>
      <c r="L323" s="326"/>
      <c r="M323" s="326"/>
      <c r="N323" s="326"/>
      <c r="O323" s="326"/>
      <c r="P323" s="326"/>
      <c r="Q323" s="326"/>
      <c r="R323" s="326"/>
      <c r="S323" s="326"/>
      <c r="T323" s="326"/>
      <c r="U323" s="326"/>
      <c r="V323" s="326"/>
      <c r="W323" s="326"/>
      <c r="X323" s="326"/>
      <c r="Y323" s="326"/>
    </row>
    <row r="324">
      <c r="A324" s="326"/>
      <c r="B324" s="326"/>
      <c r="C324" s="326"/>
      <c r="D324" s="326"/>
      <c r="E324" s="326"/>
      <c r="F324" s="326"/>
      <c r="G324" s="326"/>
      <c r="H324" s="326"/>
      <c r="I324" s="326"/>
      <c r="J324" s="326"/>
      <c r="K324" s="326"/>
      <c r="L324" s="326"/>
      <c r="M324" s="326"/>
      <c r="N324" s="326"/>
      <c r="O324" s="326"/>
      <c r="P324" s="326"/>
      <c r="Q324" s="326"/>
      <c r="R324" s="326"/>
      <c r="S324" s="326"/>
      <c r="T324" s="326"/>
      <c r="U324" s="326"/>
      <c r="V324" s="326"/>
      <c r="W324" s="326"/>
      <c r="X324" s="326"/>
      <c r="Y324" s="326"/>
    </row>
    <row r="325">
      <c r="A325" s="326"/>
      <c r="B325" s="326"/>
      <c r="C325" s="326"/>
      <c r="D325" s="326"/>
      <c r="E325" s="326"/>
      <c r="F325" s="326"/>
      <c r="G325" s="326"/>
      <c r="H325" s="326"/>
      <c r="I325" s="326"/>
      <c r="J325" s="326"/>
      <c r="K325" s="326"/>
      <c r="L325" s="326"/>
      <c r="M325" s="326"/>
      <c r="N325" s="326"/>
      <c r="O325" s="326"/>
      <c r="P325" s="326"/>
      <c r="Q325" s="326"/>
      <c r="R325" s="326"/>
      <c r="S325" s="326"/>
      <c r="T325" s="326"/>
      <c r="U325" s="326"/>
      <c r="V325" s="326"/>
      <c r="W325" s="326"/>
      <c r="X325" s="326"/>
      <c r="Y325" s="326"/>
    </row>
    <row r="326">
      <c r="A326" s="326"/>
      <c r="B326" s="326"/>
      <c r="C326" s="326"/>
      <c r="D326" s="326"/>
      <c r="E326" s="326"/>
      <c r="F326" s="326"/>
      <c r="G326" s="326"/>
      <c r="H326" s="326"/>
      <c r="I326" s="326"/>
      <c r="J326" s="326"/>
      <c r="K326" s="326"/>
      <c r="L326" s="326"/>
      <c r="M326" s="326"/>
      <c r="N326" s="326"/>
      <c r="O326" s="326"/>
      <c r="P326" s="326"/>
      <c r="Q326" s="326"/>
      <c r="R326" s="326"/>
      <c r="S326" s="326"/>
      <c r="T326" s="326"/>
      <c r="U326" s="326"/>
      <c r="V326" s="326"/>
      <c r="W326" s="326"/>
      <c r="X326" s="326"/>
      <c r="Y326" s="326"/>
    </row>
    <row r="327">
      <c r="A327" s="326"/>
      <c r="B327" s="326"/>
      <c r="C327" s="326"/>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row>
    <row r="328">
      <c r="A328" s="326"/>
      <c r="B328" s="326"/>
      <c r="C328" s="326"/>
      <c r="D328" s="326"/>
      <c r="E328" s="326"/>
      <c r="F328" s="326"/>
      <c r="G328" s="326"/>
      <c r="H328" s="326"/>
      <c r="I328" s="326"/>
      <c r="J328" s="326"/>
      <c r="K328" s="326"/>
      <c r="L328" s="326"/>
      <c r="M328" s="326"/>
      <c r="N328" s="326"/>
      <c r="O328" s="326"/>
      <c r="P328" s="326"/>
      <c r="Q328" s="326"/>
      <c r="R328" s="326"/>
      <c r="S328" s="326"/>
      <c r="T328" s="326"/>
      <c r="U328" s="326"/>
      <c r="V328" s="326"/>
      <c r="W328" s="326"/>
      <c r="X328" s="326"/>
      <c r="Y328" s="326"/>
    </row>
    <row r="329">
      <c r="A329" s="326"/>
      <c r="B329" s="326"/>
      <c r="C329" s="326"/>
      <c r="D329" s="326"/>
      <c r="E329" s="326"/>
      <c r="F329" s="326"/>
      <c r="G329" s="326"/>
      <c r="H329" s="326"/>
      <c r="I329" s="326"/>
      <c r="J329" s="326"/>
      <c r="K329" s="326"/>
      <c r="L329" s="326"/>
      <c r="M329" s="326"/>
      <c r="N329" s="326"/>
      <c r="O329" s="326"/>
      <c r="P329" s="326"/>
      <c r="Q329" s="326"/>
      <c r="R329" s="326"/>
      <c r="S329" s="326"/>
      <c r="T329" s="326"/>
      <c r="U329" s="326"/>
      <c r="V329" s="326"/>
      <c r="W329" s="326"/>
      <c r="X329" s="326"/>
      <c r="Y329" s="326"/>
    </row>
    <row r="330">
      <c r="A330" s="326"/>
      <c r="B330" s="326"/>
      <c r="C330" s="326"/>
      <c r="D330" s="326"/>
      <c r="E330" s="326"/>
      <c r="F330" s="326"/>
      <c r="G330" s="326"/>
      <c r="H330" s="326"/>
      <c r="I330" s="326"/>
      <c r="J330" s="326"/>
      <c r="K330" s="326"/>
      <c r="L330" s="326"/>
      <c r="M330" s="326"/>
      <c r="N330" s="326"/>
      <c r="O330" s="326"/>
      <c r="P330" s="326"/>
      <c r="Q330" s="326"/>
      <c r="R330" s="326"/>
      <c r="S330" s="326"/>
      <c r="T330" s="326"/>
      <c r="U330" s="326"/>
      <c r="V330" s="326"/>
      <c r="W330" s="326"/>
      <c r="X330" s="326"/>
      <c r="Y330" s="326"/>
    </row>
    <row r="331">
      <c r="A331" s="326"/>
      <c r="B331" s="326"/>
      <c r="C331" s="326"/>
      <c r="D331" s="326"/>
      <c r="E331" s="326"/>
      <c r="F331" s="326"/>
      <c r="G331" s="326"/>
      <c r="H331" s="326"/>
      <c r="I331" s="326"/>
      <c r="J331" s="326"/>
      <c r="K331" s="326"/>
      <c r="L331" s="326"/>
      <c r="M331" s="326"/>
      <c r="N331" s="326"/>
      <c r="O331" s="326"/>
      <c r="P331" s="326"/>
      <c r="Q331" s="326"/>
      <c r="R331" s="326"/>
      <c r="S331" s="326"/>
      <c r="T331" s="326"/>
      <c r="U331" s="326"/>
      <c r="V331" s="326"/>
      <c r="W331" s="326"/>
      <c r="X331" s="326"/>
      <c r="Y331" s="326"/>
    </row>
    <row r="332">
      <c r="A332" s="326"/>
      <c r="B332" s="326"/>
      <c r="C332" s="326"/>
      <c r="D332" s="326"/>
      <c r="E332" s="326"/>
      <c r="F332" s="326"/>
      <c r="G332" s="326"/>
      <c r="H332" s="326"/>
      <c r="I332" s="326"/>
      <c r="J332" s="326"/>
      <c r="K332" s="326"/>
      <c r="L332" s="326"/>
      <c r="M332" s="326"/>
      <c r="N332" s="326"/>
      <c r="O332" s="326"/>
      <c r="P332" s="326"/>
      <c r="Q332" s="326"/>
      <c r="R332" s="326"/>
      <c r="S332" s="326"/>
      <c r="T332" s="326"/>
      <c r="U332" s="326"/>
      <c r="V332" s="326"/>
      <c r="W332" s="326"/>
      <c r="X332" s="326"/>
      <c r="Y332" s="326"/>
    </row>
    <row r="333">
      <c r="A333" s="326"/>
      <c r="B333" s="326"/>
      <c r="C333" s="326"/>
      <c r="D333" s="326"/>
      <c r="E333" s="326"/>
      <c r="F333" s="326"/>
      <c r="G333" s="326"/>
      <c r="H333" s="326"/>
      <c r="I333" s="326"/>
      <c r="J333" s="326"/>
      <c r="K333" s="326"/>
      <c r="L333" s="326"/>
      <c r="M333" s="326"/>
      <c r="N333" s="326"/>
      <c r="O333" s="326"/>
      <c r="P333" s="326"/>
      <c r="Q333" s="326"/>
      <c r="R333" s="326"/>
      <c r="S333" s="326"/>
      <c r="T333" s="326"/>
      <c r="U333" s="326"/>
      <c r="V333" s="326"/>
      <c r="W333" s="326"/>
      <c r="X333" s="326"/>
      <c r="Y333" s="326"/>
    </row>
    <row r="334">
      <c r="A334" s="326"/>
      <c r="B334" s="326"/>
      <c r="C334" s="326"/>
      <c r="D334" s="326"/>
      <c r="E334" s="326"/>
      <c r="F334" s="326"/>
      <c r="G334" s="326"/>
      <c r="H334" s="326"/>
      <c r="I334" s="326"/>
      <c r="J334" s="326"/>
      <c r="K334" s="326"/>
      <c r="L334" s="326"/>
      <c r="M334" s="326"/>
      <c r="N334" s="326"/>
      <c r="O334" s="326"/>
      <c r="P334" s="326"/>
      <c r="Q334" s="326"/>
      <c r="R334" s="326"/>
      <c r="S334" s="326"/>
      <c r="T334" s="326"/>
      <c r="U334" s="326"/>
      <c r="V334" s="326"/>
      <c r="W334" s="326"/>
      <c r="X334" s="326"/>
      <c r="Y334" s="326"/>
    </row>
    <row r="335">
      <c r="A335" s="326"/>
      <c r="B335" s="326"/>
      <c r="C335" s="326"/>
      <c r="D335" s="326"/>
      <c r="E335" s="326"/>
      <c r="F335" s="326"/>
      <c r="G335" s="326"/>
      <c r="H335" s="326"/>
      <c r="I335" s="326"/>
      <c r="J335" s="326"/>
      <c r="K335" s="326"/>
      <c r="L335" s="326"/>
      <c r="M335" s="326"/>
      <c r="N335" s="326"/>
      <c r="O335" s="326"/>
      <c r="P335" s="326"/>
      <c r="Q335" s="326"/>
      <c r="R335" s="326"/>
      <c r="S335" s="326"/>
      <c r="T335" s="326"/>
      <c r="U335" s="326"/>
      <c r="V335" s="326"/>
      <c r="W335" s="326"/>
      <c r="X335" s="326"/>
      <c r="Y335" s="326"/>
    </row>
    <row r="336">
      <c r="A336" s="326"/>
      <c r="B336" s="326"/>
      <c r="C336" s="326"/>
      <c r="D336" s="326"/>
      <c r="E336" s="326"/>
      <c r="F336" s="326"/>
      <c r="G336" s="326"/>
      <c r="H336" s="326"/>
      <c r="I336" s="326"/>
      <c r="J336" s="326"/>
      <c r="K336" s="326"/>
      <c r="L336" s="326"/>
      <c r="M336" s="326"/>
      <c r="N336" s="326"/>
      <c r="O336" s="326"/>
      <c r="P336" s="326"/>
      <c r="Q336" s="326"/>
      <c r="R336" s="326"/>
      <c r="S336" s="326"/>
      <c r="T336" s="326"/>
      <c r="U336" s="326"/>
      <c r="V336" s="326"/>
      <c r="W336" s="326"/>
      <c r="X336" s="326"/>
      <c r="Y336" s="326"/>
    </row>
    <row r="337">
      <c r="A337" s="326"/>
      <c r="B337" s="326"/>
      <c r="C337" s="326"/>
      <c r="D337" s="326"/>
      <c r="E337" s="326"/>
      <c r="F337" s="326"/>
      <c r="G337" s="326"/>
      <c r="H337" s="326"/>
      <c r="I337" s="326"/>
      <c r="J337" s="326"/>
      <c r="K337" s="326"/>
      <c r="L337" s="326"/>
      <c r="M337" s="326"/>
      <c r="N337" s="326"/>
      <c r="O337" s="326"/>
      <c r="P337" s="326"/>
      <c r="Q337" s="326"/>
      <c r="R337" s="326"/>
      <c r="S337" s="326"/>
      <c r="T337" s="326"/>
      <c r="U337" s="326"/>
      <c r="V337" s="326"/>
      <c r="W337" s="326"/>
      <c r="X337" s="326"/>
      <c r="Y337" s="326"/>
    </row>
    <row r="338">
      <c r="A338" s="326"/>
      <c r="B338" s="326"/>
      <c r="C338" s="326"/>
      <c r="D338" s="326"/>
      <c r="E338" s="326"/>
      <c r="F338" s="326"/>
      <c r="G338" s="326"/>
      <c r="H338" s="326"/>
      <c r="I338" s="326"/>
      <c r="J338" s="326"/>
      <c r="K338" s="326"/>
      <c r="L338" s="326"/>
      <c r="M338" s="326"/>
      <c r="N338" s="326"/>
      <c r="O338" s="326"/>
      <c r="P338" s="326"/>
      <c r="Q338" s="326"/>
      <c r="R338" s="326"/>
      <c r="S338" s="326"/>
      <c r="T338" s="326"/>
      <c r="U338" s="326"/>
      <c r="V338" s="326"/>
      <c r="W338" s="326"/>
      <c r="X338" s="326"/>
      <c r="Y338" s="326"/>
    </row>
    <row r="339">
      <c r="A339" s="326"/>
      <c r="B339" s="326"/>
      <c r="C339" s="326"/>
      <c r="D339" s="326"/>
      <c r="E339" s="326"/>
      <c r="F339" s="326"/>
      <c r="G339" s="326"/>
      <c r="H339" s="326"/>
      <c r="I339" s="326"/>
      <c r="J339" s="326"/>
      <c r="K339" s="326"/>
      <c r="L339" s="326"/>
      <c r="M339" s="326"/>
      <c r="N339" s="326"/>
      <c r="O339" s="326"/>
      <c r="P339" s="326"/>
      <c r="Q339" s="326"/>
      <c r="R339" s="326"/>
      <c r="S339" s="326"/>
      <c r="T339" s="326"/>
      <c r="U339" s="326"/>
      <c r="V339" s="326"/>
      <c r="W339" s="326"/>
      <c r="X339" s="326"/>
      <c r="Y339" s="326"/>
    </row>
    <row r="340">
      <c r="A340" s="326"/>
      <c r="B340" s="326"/>
      <c r="C340" s="326"/>
      <c r="D340" s="326"/>
      <c r="E340" s="326"/>
      <c r="F340" s="326"/>
      <c r="G340" s="326"/>
      <c r="H340" s="326"/>
      <c r="I340" s="326"/>
      <c r="J340" s="326"/>
      <c r="K340" s="326"/>
      <c r="L340" s="326"/>
      <c r="M340" s="326"/>
      <c r="N340" s="326"/>
      <c r="O340" s="326"/>
      <c r="P340" s="326"/>
      <c r="Q340" s="326"/>
      <c r="R340" s="326"/>
      <c r="S340" s="326"/>
      <c r="T340" s="326"/>
      <c r="U340" s="326"/>
      <c r="V340" s="326"/>
      <c r="W340" s="326"/>
      <c r="X340" s="326"/>
      <c r="Y340" s="326"/>
    </row>
    <row r="341">
      <c r="A341" s="326"/>
      <c r="B341" s="326"/>
      <c r="C341" s="326"/>
      <c r="D341" s="326"/>
      <c r="E341" s="326"/>
      <c r="F341" s="326"/>
      <c r="G341" s="326"/>
      <c r="H341" s="326"/>
      <c r="I341" s="326"/>
      <c r="J341" s="326"/>
      <c r="K341" s="326"/>
      <c r="L341" s="326"/>
      <c r="M341" s="326"/>
      <c r="N341" s="326"/>
      <c r="O341" s="326"/>
      <c r="P341" s="326"/>
      <c r="Q341" s="326"/>
      <c r="R341" s="326"/>
      <c r="S341" s="326"/>
      <c r="T341" s="326"/>
      <c r="U341" s="326"/>
      <c r="V341" s="326"/>
      <c r="W341" s="326"/>
      <c r="X341" s="326"/>
      <c r="Y341" s="326"/>
    </row>
    <row r="342">
      <c r="A342" s="326"/>
      <c r="B342" s="326"/>
      <c r="C342" s="326"/>
      <c r="D342" s="326"/>
      <c r="E342" s="326"/>
      <c r="F342" s="326"/>
      <c r="G342" s="326"/>
      <c r="H342" s="326"/>
      <c r="I342" s="326"/>
      <c r="J342" s="326"/>
      <c r="K342" s="326"/>
      <c r="L342" s="326"/>
      <c r="M342" s="326"/>
      <c r="N342" s="326"/>
      <c r="O342" s="326"/>
      <c r="P342" s="326"/>
      <c r="Q342" s="326"/>
      <c r="R342" s="326"/>
      <c r="S342" s="326"/>
      <c r="T342" s="326"/>
      <c r="U342" s="326"/>
      <c r="V342" s="326"/>
      <c r="W342" s="326"/>
      <c r="X342" s="326"/>
      <c r="Y342" s="326"/>
    </row>
    <row r="343">
      <c r="A343" s="326"/>
      <c r="B343" s="326"/>
      <c r="C343" s="326"/>
      <c r="D343" s="326"/>
      <c r="E343" s="326"/>
      <c r="F343" s="326"/>
      <c r="G343" s="326"/>
      <c r="H343" s="326"/>
      <c r="I343" s="326"/>
      <c r="J343" s="326"/>
      <c r="K343" s="326"/>
      <c r="L343" s="326"/>
      <c r="M343" s="326"/>
      <c r="N343" s="326"/>
      <c r="O343" s="326"/>
      <c r="P343" s="326"/>
      <c r="Q343" s="326"/>
      <c r="R343" s="326"/>
      <c r="S343" s="326"/>
      <c r="T343" s="326"/>
      <c r="U343" s="326"/>
      <c r="V343" s="326"/>
      <c r="W343" s="326"/>
      <c r="X343" s="326"/>
      <c r="Y343" s="326"/>
    </row>
    <row r="344">
      <c r="A344" s="326"/>
      <c r="B344" s="326"/>
      <c r="C344" s="326"/>
      <c r="D344" s="326"/>
      <c r="E344" s="326"/>
      <c r="F344" s="326"/>
      <c r="G344" s="326"/>
      <c r="H344" s="326"/>
      <c r="I344" s="326"/>
      <c r="J344" s="326"/>
      <c r="K344" s="326"/>
      <c r="L344" s="326"/>
      <c r="M344" s="326"/>
      <c r="N344" s="326"/>
      <c r="O344" s="326"/>
      <c r="P344" s="326"/>
      <c r="Q344" s="326"/>
      <c r="R344" s="326"/>
      <c r="S344" s="326"/>
      <c r="T344" s="326"/>
      <c r="U344" s="326"/>
      <c r="V344" s="326"/>
      <c r="W344" s="326"/>
      <c r="X344" s="326"/>
      <c r="Y344" s="326"/>
    </row>
    <row r="345">
      <c r="A345" s="326"/>
      <c r="B345" s="326"/>
      <c r="C345" s="326"/>
      <c r="D345" s="326"/>
      <c r="E345" s="326"/>
      <c r="F345" s="326"/>
      <c r="G345" s="326"/>
      <c r="H345" s="326"/>
      <c r="I345" s="326"/>
      <c r="J345" s="326"/>
      <c r="K345" s="326"/>
      <c r="L345" s="326"/>
      <c r="M345" s="326"/>
      <c r="N345" s="326"/>
      <c r="O345" s="326"/>
      <c r="P345" s="326"/>
      <c r="Q345" s="326"/>
      <c r="R345" s="326"/>
      <c r="S345" s="326"/>
      <c r="T345" s="326"/>
      <c r="U345" s="326"/>
      <c r="V345" s="326"/>
      <c r="W345" s="326"/>
      <c r="X345" s="326"/>
      <c r="Y345" s="326"/>
    </row>
    <row r="346">
      <c r="A346" s="326"/>
      <c r="B346" s="326"/>
      <c r="C346" s="326"/>
      <c r="D346" s="326"/>
      <c r="E346" s="326"/>
      <c r="F346" s="326"/>
      <c r="G346" s="326"/>
      <c r="H346" s="326"/>
      <c r="I346" s="326"/>
      <c r="J346" s="326"/>
      <c r="K346" s="326"/>
      <c r="L346" s="326"/>
      <c r="M346" s="326"/>
      <c r="N346" s="326"/>
      <c r="O346" s="326"/>
      <c r="P346" s="326"/>
      <c r="Q346" s="326"/>
      <c r="R346" s="326"/>
      <c r="S346" s="326"/>
      <c r="T346" s="326"/>
      <c r="U346" s="326"/>
      <c r="V346" s="326"/>
      <c r="W346" s="326"/>
      <c r="X346" s="326"/>
      <c r="Y346" s="326"/>
    </row>
    <row r="347">
      <c r="A347" s="326"/>
      <c r="B347" s="326"/>
      <c r="C347" s="326"/>
      <c r="D347" s="326"/>
      <c r="E347" s="326"/>
      <c r="F347" s="326"/>
      <c r="G347" s="326"/>
      <c r="H347" s="326"/>
      <c r="I347" s="326"/>
      <c r="J347" s="326"/>
      <c r="K347" s="326"/>
      <c r="L347" s="326"/>
      <c r="M347" s="326"/>
      <c r="N347" s="326"/>
      <c r="O347" s="326"/>
      <c r="P347" s="326"/>
      <c r="Q347" s="326"/>
      <c r="R347" s="326"/>
      <c r="S347" s="326"/>
      <c r="T347" s="326"/>
      <c r="U347" s="326"/>
      <c r="V347" s="326"/>
      <c r="W347" s="326"/>
      <c r="X347" s="326"/>
      <c r="Y347" s="326"/>
    </row>
    <row r="348">
      <c r="A348" s="326"/>
      <c r="B348" s="326"/>
      <c r="C348" s="326"/>
      <c r="D348" s="326"/>
      <c r="E348" s="326"/>
      <c r="F348" s="326"/>
      <c r="G348" s="326"/>
      <c r="H348" s="326"/>
      <c r="I348" s="326"/>
      <c r="J348" s="326"/>
      <c r="K348" s="326"/>
      <c r="L348" s="326"/>
      <c r="M348" s="326"/>
      <c r="N348" s="326"/>
      <c r="O348" s="326"/>
      <c r="P348" s="326"/>
      <c r="Q348" s="326"/>
      <c r="R348" s="326"/>
      <c r="S348" s="326"/>
      <c r="T348" s="326"/>
      <c r="U348" s="326"/>
      <c r="V348" s="326"/>
      <c r="W348" s="326"/>
      <c r="X348" s="326"/>
      <c r="Y348" s="326"/>
    </row>
    <row r="349">
      <c r="A349" s="326"/>
      <c r="B349" s="326"/>
      <c r="C349" s="326"/>
      <c r="D349" s="326"/>
      <c r="E349" s="326"/>
      <c r="F349" s="326"/>
      <c r="G349" s="326"/>
      <c r="H349" s="326"/>
      <c r="I349" s="326"/>
      <c r="J349" s="326"/>
      <c r="K349" s="326"/>
      <c r="L349" s="326"/>
      <c r="M349" s="326"/>
      <c r="N349" s="326"/>
      <c r="O349" s="326"/>
      <c r="P349" s="326"/>
      <c r="Q349" s="326"/>
      <c r="R349" s="326"/>
      <c r="S349" s="326"/>
      <c r="T349" s="326"/>
      <c r="U349" s="326"/>
      <c r="V349" s="326"/>
      <c r="W349" s="326"/>
      <c r="X349" s="326"/>
      <c r="Y349" s="326"/>
    </row>
    <row r="350">
      <c r="A350" s="326"/>
      <c r="B350" s="326"/>
      <c r="C350" s="326"/>
      <c r="D350" s="326"/>
      <c r="E350" s="326"/>
      <c r="F350" s="326"/>
      <c r="G350" s="326"/>
      <c r="H350" s="326"/>
      <c r="I350" s="326"/>
      <c r="J350" s="326"/>
      <c r="K350" s="326"/>
      <c r="L350" s="326"/>
      <c r="M350" s="326"/>
      <c r="N350" s="326"/>
      <c r="O350" s="326"/>
      <c r="P350" s="326"/>
      <c r="Q350" s="326"/>
      <c r="R350" s="326"/>
      <c r="S350" s="326"/>
      <c r="T350" s="326"/>
      <c r="U350" s="326"/>
      <c r="V350" s="326"/>
      <c r="W350" s="326"/>
      <c r="X350" s="326"/>
      <c r="Y350" s="326"/>
    </row>
    <row r="351">
      <c r="A351" s="326"/>
      <c r="B351" s="326"/>
      <c r="C351" s="326"/>
      <c r="D351" s="326"/>
      <c r="E351" s="326"/>
      <c r="F351" s="326"/>
      <c r="G351" s="326"/>
      <c r="H351" s="326"/>
      <c r="I351" s="326"/>
      <c r="J351" s="326"/>
      <c r="K351" s="326"/>
      <c r="L351" s="326"/>
      <c r="M351" s="326"/>
      <c r="N351" s="326"/>
      <c r="O351" s="326"/>
      <c r="P351" s="326"/>
      <c r="Q351" s="326"/>
      <c r="R351" s="326"/>
      <c r="S351" s="326"/>
      <c r="T351" s="326"/>
      <c r="U351" s="326"/>
      <c r="V351" s="326"/>
      <c r="W351" s="326"/>
      <c r="X351" s="326"/>
      <c r="Y351" s="326"/>
    </row>
    <row r="352">
      <c r="A352" s="326"/>
      <c r="B352" s="326"/>
      <c r="C352" s="326"/>
      <c r="D352" s="326"/>
      <c r="E352" s="326"/>
      <c r="F352" s="326"/>
      <c r="G352" s="326"/>
      <c r="H352" s="326"/>
      <c r="I352" s="326"/>
      <c r="J352" s="326"/>
      <c r="K352" s="326"/>
      <c r="L352" s="326"/>
      <c r="M352" s="326"/>
      <c r="N352" s="326"/>
      <c r="O352" s="326"/>
      <c r="P352" s="326"/>
      <c r="Q352" s="326"/>
      <c r="R352" s="326"/>
      <c r="S352" s="326"/>
      <c r="T352" s="326"/>
      <c r="U352" s="326"/>
      <c r="V352" s="326"/>
      <c r="W352" s="326"/>
      <c r="X352" s="326"/>
      <c r="Y352" s="326"/>
    </row>
    <row r="353">
      <c r="A353" s="326"/>
      <c r="B353" s="326"/>
      <c r="C353" s="326"/>
      <c r="D353" s="326"/>
      <c r="E353" s="326"/>
      <c r="F353" s="326"/>
      <c r="G353" s="326"/>
      <c r="H353" s="326"/>
      <c r="I353" s="326"/>
      <c r="J353" s="326"/>
      <c r="K353" s="326"/>
      <c r="L353" s="326"/>
      <c r="M353" s="326"/>
      <c r="N353" s="326"/>
      <c r="O353" s="326"/>
      <c r="P353" s="326"/>
      <c r="Q353" s="326"/>
      <c r="R353" s="326"/>
      <c r="S353" s="326"/>
      <c r="T353" s="326"/>
      <c r="U353" s="326"/>
      <c r="V353" s="326"/>
      <c r="W353" s="326"/>
      <c r="X353" s="326"/>
      <c r="Y353" s="326"/>
    </row>
    <row r="354">
      <c r="A354" s="326"/>
      <c r="B354" s="326"/>
      <c r="C354" s="326"/>
      <c r="D354" s="326"/>
      <c r="E354" s="326"/>
      <c r="F354" s="326"/>
      <c r="G354" s="326"/>
      <c r="H354" s="326"/>
      <c r="I354" s="326"/>
      <c r="J354" s="326"/>
      <c r="K354" s="326"/>
      <c r="L354" s="326"/>
      <c r="M354" s="326"/>
      <c r="N354" s="326"/>
      <c r="O354" s="326"/>
      <c r="P354" s="326"/>
      <c r="Q354" s="326"/>
      <c r="R354" s="326"/>
      <c r="S354" s="326"/>
      <c r="T354" s="326"/>
      <c r="U354" s="326"/>
      <c r="V354" s="326"/>
      <c r="W354" s="326"/>
      <c r="X354" s="326"/>
      <c r="Y354" s="326"/>
    </row>
    <row r="355">
      <c r="A355" s="326"/>
      <c r="B355" s="326"/>
      <c r="C355" s="326"/>
      <c r="D355" s="326"/>
      <c r="E355" s="326"/>
      <c r="F355" s="326"/>
      <c r="G355" s="326"/>
      <c r="H355" s="326"/>
      <c r="I355" s="326"/>
      <c r="J355" s="326"/>
      <c r="K355" s="326"/>
      <c r="L355" s="326"/>
      <c r="M355" s="326"/>
      <c r="N355" s="326"/>
      <c r="O355" s="326"/>
      <c r="P355" s="326"/>
      <c r="Q355" s="326"/>
      <c r="R355" s="326"/>
      <c r="S355" s="326"/>
      <c r="T355" s="326"/>
      <c r="U355" s="326"/>
      <c r="V355" s="326"/>
      <c r="W355" s="326"/>
      <c r="X355" s="326"/>
      <c r="Y355" s="326"/>
    </row>
    <row r="356">
      <c r="A356" s="326"/>
      <c r="B356" s="326"/>
      <c r="C356" s="326"/>
      <c r="D356" s="326"/>
      <c r="E356" s="326"/>
      <c r="F356" s="326"/>
      <c r="G356" s="326"/>
      <c r="H356" s="326"/>
      <c r="I356" s="326"/>
      <c r="J356" s="326"/>
      <c r="K356" s="326"/>
      <c r="L356" s="326"/>
      <c r="M356" s="326"/>
      <c r="N356" s="326"/>
      <c r="O356" s="326"/>
      <c r="P356" s="326"/>
      <c r="Q356" s="326"/>
      <c r="R356" s="326"/>
      <c r="S356" s="326"/>
      <c r="T356" s="326"/>
      <c r="U356" s="326"/>
      <c r="V356" s="326"/>
      <c r="W356" s="326"/>
      <c r="X356" s="326"/>
      <c r="Y356" s="326"/>
    </row>
    <row r="357">
      <c r="A357" s="326"/>
      <c r="B357" s="326"/>
      <c r="C357" s="326"/>
      <c r="D357" s="326"/>
      <c r="E357" s="326"/>
      <c r="F357" s="326"/>
      <c r="G357" s="326"/>
      <c r="H357" s="326"/>
      <c r="I357" s="326"/>
      <c r="J357" s="326"/>
      <c r="K357" s="326"/>
      <c r="L357" s="326"/>
      <c r="M357" s="326"/>
      <c r="N357" s="326"/>
      <c r="O357" s="326"/>
      <c r="P357" s="326"/>
      <c r="Q357" s="326"/>
      <c r="R357" s="326"/>
      <c r="S357" s="326"/>
      <c r="T357" s="326"/>
      <c r="U357" s="326"/>
      <c r="V357" s="326"/>
      <c r="W357" s="326"/>
      <c r="X357" s="326"/>
      <c r="Y357" s="326"/>
    </row>
    <row r="358">
      <c r="A358" s="326"/>
      <c r="B358" s="326"/>
      <c r="C358" s="326"/>
      <c r="D358" s="326"/>
      <c r="E358" s="326"/>
      <c r="F358" s="326"/>
      <c r="G358" s="326"/>
      <c r="H358" s="326"/>
      <c r="I358" s="326"/>
      <c r="J358" s="326"/>
      <c r="K358" s="326"/>
      <c r="L358" s="326"/>
      <c r="M358" s="326"/>
      <c r="N358" s="326"/>
      <c r="O358" s="326"/>
      <c r="P358" s="326"/>
      <c r="Q358" s="326"/>
      <c r="R358" s="326"/>
      <c r="S358" s="326"/>
      <c r="T358" s="326"/>
      <c r="U358" s="326"/>
      <c r="V358" s="326"/>
      <c r="W358" s="326"/>
      <c r="X358" s="326"/>
      <c r="Y358" s="326"/>
    </row>
    <row r="359">
      <c r="A359" s="326"/>
      <c r="B359" s="326"/>
      <c r="C359" s="326"/>
      <c r="D359" s="326"/>
      <c r="E359" s="326"/>
      <c r="F359" s="326"/>
      <c r="G359" s="326"/>
      <c r="H359" s="326"/>
      <c r="I359" s="326"/>
      <c r="J359" s="326"/>
      <c r="K359" s="326"/>
      <c r="L359" s="326"/>
      <c r="M359" s="326"/>
      <c r="N359" s="326"/>
      <c r="O359" s="326"/>
      <c r="P359" s="326"/>
      <c r="Q359" s="326"/>
      <c r="R359" s="326"/>
      <c r="S359" s="326"/>
      <c r="T359" s="326"/>
      <c r="U359" s="326"/>
      <c r="V359" s="326"/>
      <c r="W359" s="326"/>
      <c r="X359" s="326"/>
      <c r="Y359" s="326"/>
    </row>
    <row r="360">
      <c r="A360" s="326"/>
      <c r="B360" s="326"/>
      <c r="C360" s="326"/>
      <c r="D360" s="326"/>
      <c r="E360" s="326"/>
      <c r="F360" s="326"/>
      <c r="G360" s="326"/>
      <c r="H360" s="326"/>
      <c r="I360" s="326"/>
      <c r="J360" s="326"/>
      <c r="K360" s="326"/>
      <c r="L360" s="326"/>
      <c r="M360" s="326"/>
      <c r="N360" s="326"/>
      <c r="O360" s="326"/>
      <c r="P360" s="326"/>
      <c r="Q360" s="326"/>
      <c r="R360" s="326"/>
      <c r="S360" s="326"/>
      <c r="T360" s="326"/>
      <c r="U360" s="326"/>
      <c r="V360" s="326"/>
      <c r="W360" s="326"/>
      <c r="X360" s="326"/>
      <c r="Y360" s="326"/>
    </row>
    <row r="361">
      <c r="A361" s="326"/>
      <c r="B361" s="326"/>
      <c r="C361" s="326"/>
      <c r="D361" s="326"/>
      <c r="E361" s="326"/>
      <c r="F361" s="326"/>
      <c r="G361" s="326"/>
      <c r="H361" s="326"/>
      <c r="I361" s="326"/>
      <c r="J361" s="326"/>
      <c r="K361" s="326"/>
      <c r="L361" s="326"/>
      <c r="M361" s="326"/>
      <c r="N361" s="326"/>
      <c r="O361" s="326"/>
      <c r="P361" s="326"/>
      <c r="Q361" s="326"/>
      <c r="R361" s="326"/>
      <c r="S361" s="326"/>
      <c r="T361" s="326"/>
      <c r="U361" s="326"/>
      <c r="V361" s="326"/>
      <c r="W361" s="326"/>
      <c r="X361" s="326"/>
      <c r="Y361" s="326"/>
    </row>
    <row r="362">
      <c r="A362" s="326"/>
      <c r="B362" s="326"/>
      <c r="C362" s="326"/>
      <c r="D362" s="326"/>
      <c r="E362" s="326"/>
      <c r="F362" s="326"/>
      <c r="G362" s="326"/>
      <c r="H362" s="326"/>
      <c r="I362" s="326"/>
      <c r="J362" s="326"/>
      <c r="K362" s="326"/>
      <c r="L362" s="326"/>
      <c r="M362" s="326"/>
      <c r="N362" s="326"/>
      <c r="O362" s="326"/>
      <c r="P362" s="326"/>
      <c r="Q362" s="326"/>
      <c r="R362" s="326"/>
      <c r="S362" s="326"/>
      <c r="T362" s="326"/>
      <c r="U362" s="326"/>
      <c r="V362" s="326"/>
      <c r="W362" s="326"/>
      <c r="X362" s="326"/>
      <c r="Y362" s="326"/>
    </row>
    <row r="363">
      <c r="A363" s="326"/>
      <c r="B363" s="326"/>
      <c r="C363" s="326"/>
      <c r="D363" s="326"/>
      <c r="E363" s="326"/>
      <c r="F363" s="326"/>
      <c r="G363" s="326"/>
      <c r="H363" s="326"/>
      <c r="I363" s="326"/>
      <c r="J363" s="326"/>
      <c r="K363" s="326"/>
      <c r="L363" s="326"/>
      <c r="M363" s="326"/>
      <c r="N363" s="326"/>
      <c r="O363" s="326"/>
      <c r="P363" s="326"/>
      <c r="Q363" s="326"/>
      <c r="R363" s="326"/>
      <c r="S363" s="326"/>
      <c r="T363" s="326"/>
      <c r="U363" s="326"/>
      <c r="V363" s="326"/>
      <c r="W363" s="326"/>
      <c r="X363" s="326"/>
      <c r="Y363" s="326"/>
    </row>
    <row r="364">
      <c r="A364" s="326"/>
      <c r="B364" s="326"/>
      <c r="C364" s="326"/>
      <c r="D364" s="326"/>
      <c r="E364" s="326"/>
      <c r="F364" s="326"/>
      <c r="G364" s="326"/>
      <c r="H364" s="326"/>
      <c r="I364" s="326"/>
      <c r="J364" s="326"/>
      <c r="K364" s="326"/>
      <c r="L364" s="326"/>
      <c r="M364" s="326"/>
      <c r="N364" s="326"/>
      <c r="O364" s="326"/>
      <c r="P364" s="326"/>
      <c r="Q364" s="326"/>
      <c r="R364" s="326"/>
      <c r="S364" s="326"/>
      <c r="T364" s="326"/>
      <c r="U364" s="326"/>
      <c r="V364" s="326"/>
      <c r="W364" s="326"/>
      <c r="X364" s="326"/>
      <c r="Y364" s="326"/>
    </row>
    <row r="365">
      <c r="A365" s="326"/>
      <c r="B365" s="326"/>
      <c r="C365" s="326"/>
      <c r="D365" s="326"/>
      <c r="E365" s="326"/>
      <c r="F365" s="326"/>
      <c r="G365" s="326"/>
      <c r="H365" s="326"/>
      <c r="I365" s="326"/>
      <c r="J365" s="326"/>
      <c r="K365" s="326"/>
      <c r="L365" s="326"/>
      <c r="M365" s="326"/>
      <c r="N365" s="326"/>
      <c r="O365" s="326"/>
      <c r="P365" s="326"/>
      <c r="Q365" s="326"/>
      <c r="R365" s="326"/>
      <c r="S365" s="326"/>
      <c r="T365" s="326"/>
      <c r="U365" s="326"/>
      <c r="V365" s="326"/>
      <c r="W365" s="326"/>
      <c r="X365" s="326"/>
      <c r="Y365" s="326"/>
    </row>
    <row r="366">
      <c r="A366" s="326"/>
      <c r="B366" s="326"/>
      <c r="C366" s="326"/>
      <c r="D366" s="326"/>
      <c r="E366" s="326"/>
      <c r="F366" s="326"/>
      <c r="G366" s="326"/>
      <c r="H366" s="326"/>
      <c r="I366" s="326"/>
      <c r="J366" s="326"/>
      <c r="K366" s="326"/>
      <c r="L366" s="326"/>
      <c r="M366" s="326"/>
      <c r="N366" s="326"/>
      <c r="O366" s="326"/>
      <c r="P366" s="326"/>
      <c r="Q366" s="326"/>
      <c r="R366" s="326"/>
      <c r="S366" s="326"/>
      <c r="T366" s="326"/>
      <c r="U366" s="326"/>
      <c r="V366" s="326"/>
      <c r="W366" s="326"/>
      <c r="X366" s="326"/>
      <c r="Y366" s="326"/>
    </row>
    <row r="367">
      <c r="A367" s="326"/>
      <c r="B367" s="326"/>
      <c r="C367" s="326"/>
      <c r="D367" s="326"/>
      <c r="E367" s="326"/>
      <c r="F367" s="326"/>
      <c r="G367" s="326"/>
      <c r="H367" s="326"/>
      <c r="I367" s="326"/>
      <c r="J367" s="326"/>
      <c r="K367" s="326"/>
      <c r="L367" s="326"/>
      <c r="M367" s="326"/>
      <c r="N367" s="326"/>
      <c r="O367" s="326"/>
      <c r="P367" s="326"/>
      <c r="Q367" s="326"/>
      <c r="R367" s="326"/>
      <c r="S367" s="326"/>
      <c r="T367" s="326"/>
      <c r="U367" s="326"/>
      <c r="V367" s="326"/>
      <c r="W367" s="326"/>
      <c r="X367" s="326"/>
      <c r="Y367" s="326"/>
    </row>
    <row r="368">
      <c r="A368" s="326"/>
      <c r="B368" s="326"/>
      <c r="C368" s="326"/>
      <c r="D368" s="326"/>
      <c r="E368" s="326"/>
      <c r="F368" s="326"/>
      <c r="G368" s="326"/>
      <c r="H368" s="326"/>
      <c r="I368" s="326"/>
      <c r="J368" s="326"/>
      <c r="K368" s="326"/>
      <c r="L368" s="326"/>
      <c r="M368" s="326"/>
      <c r="N368" s="326"/>
      <c r="O368" s="326"/>
      <c r="P368" s="326"/>
      <c r="Q368" s="326"/>
      <c r="R368" s="326"/>
      <c r="S368" s="326"/>
      <c r="T368" s="326"/>
      <c r="U368" s="326"/>
      <c r="V368" s="326"/>
      <c r="W368" s="326"/>
      <c r="X368" s="326"/>
      <c r="Y368" s="326"/>
    </row>
    <row r="369">
      <c r="A369" s="326"/>
      <c r="B369" s="326"/>
      <c r="C369" s="326"/>
      <c r="D369" s="326"/>
      <c r="E369" s="326"/>
      <c r="F369" s="326"/>
      <c r="G369" s="326"/>
      <c r="H369" s="326"/>
      <c r="I369" s="326"/>
      <c r="J369" s="326"/>
      <c r="K369" s="326"/>
      <c r="L369" s="326"/>
      <c r="M369" s="326"/>
      <c r="N369" s="326"/>
      <c r="O369" s="326"/>
      <c r="P369" s="326"/>
      <c r="Q369" s="326"/>
      <c r="R369" s="326"/>
      <c r="S369" s="326"/>
      <c r="T369" s="326"/>
      <c r="U369" s="326"/>
      <c r="V369" s="326"/>
      <c r="W369" s="326"/>
      <c r="X369" s="326"/>
      <c r="Y369" s="326"/>
    </row>
    <row r="370">
      <c r="A370" s="326"/>
      <c r="B370" s="326"/>
      <c r="C370" s="326"/>
      <c r="D370" s="326"/>
      <c r="E370" s="326"/>
      <c r="F370" s="326"/>
      <c r="G370" s="326"/>
      <c r="H370" s="326"/>
      <c r="I370" s="326"/>
      <c r="J370" s="326"/>
      <c r="K370" s="326"/>
      <c r="L370" s="326"/>
      <c r="M370" s="326"/>
      <c r="N370" s="326"/>
      <c r="O370" s="326"/>
      <c r="P370" s="326"/>
      <c r="Q370" s="326"/>
      <c r="R370" s="326"/>
      <c r="S370" s="326"/>
      <c r="T370" s="326"/>
      <c r="U370" s="326"/>
      <c r="V370" s="326"/>
      <c r="W370" s="326"/>
      <c r="X370" s="326"/>
      <c r="Y370" s="326"/>
    </row>
    <row r="371">
      <c r="A371" s="326"/>
      <c r="B371" s="326"/>
      <c r="C371" s="326"/>
      <c r="D371" s="326"/>
      <c r="E371" s="326"/>
      <c r="F371" s="326"/>
      <c r="G371" s="326"/>
      <c r="H371" s="326"/>
      <c r="I371" s="326"/>
      <c r="J371" s="326"/>
      <c r="K371" s="326"/>
      <c r="L371" s="326"/>
      <c r="M371" s="326"/>
      <c r="N371" s="326"/>
      <c r="O371" s="326"/>
      <c r="P371" s="326"/>
      <c r="Q371" s="326"/>
      <c r="R371" s="326"/>
      <c r="S371" s="326"/>
      <c r="T371" s="326"/>
      <c r="U371" s="326"/>
      <c r="V371" s="326"/>
      <c r="W371" s="326"/>
      <c r="X371" s="326"/>
      <c r="Y371" s="326"/>
    </row>
    <row r="372">
      <c r="A372" s="326"/>
      <c r="B372" s="326"/>
      <c r="C372" s="326"/>
      <c r="D372" s="326"/>
      <c r="E372" s="326"/>
      <c r="F372" s="326"/>
      <c r="G372" s="326"/>
      <c r="H372" s="326"/>
      <c r="I372" s="326"/>
      <c r="J372" s="326"/>
      <c r="K372" s="326"/>
      <c r="L372" s="326"/>
      <c r="M372" s="326"/>
      <c r="N372" s="326"/>
      <c r="O372" s="326"/>
      <c r="P372" s="326"/>
      <c r="Q372" s="326"/>
      <c r="R372" s="326"/>
      <c r="S372" s="326"/>
      <c r="T372" s="326"/>
      <c r="U372" s="326"/>
      <c r="V372" s="326"/>
      <c r="W372" s="326"/>
      <c r="X372" s="326"/>
      <c r="Y372" s="326"/>
    </row>
    <row r="373">
      <c r="A373" s="326"/>
      <c r="B373" s="326"/>
      <c r="C373" s="326"/>
      <c r="D373" s="326"/>
      <c r="E373" s="326"/>
      <c r="F373" s="326"/>
      <c r="G373" s="326"/>
      <c r="H373" s="326"/>
      <c r="I373" s="326"/>
      <c r="J373" s="326"/>
      <c r="K373" s="326"/>
      <c r="L373" s="326"/>
      <c r="M373" s="326"/>
      <c r="N373" s="326"/>
      <c r="O373" s="326"/>
      <c r="P373" s="326"/>
      <c r="Q373" s="326"/>
      <c r="R373" s="326"/>
      <c r="S373" s="326"/>
      <c r="T373" s="326"/>
      <c r="U373" s="326"/>
      <c r="V373" s="326"/>
      <c r="W373" s="326"/>
      <c r="X373" s="326"/>
      <c r="Y373" s="326"/>
    </row>
    <row r="374">
      <c r="A374" s="326"/>
      <c r="B374" s="326"/>
      <c r="C374" s="326"/>
      <c r="D374" s="326"/>
      <c r="E374" s="326"/>
      <c r="F374" s="326"/>
      <c r="G374" s="326"/>
      <c r="H374" s="326"/>
      <c r="I374" s="326"/>
      <c r="J374" s="326"/>
      <c r="K374" s="326"/>
      <c r="L374" s="326"/>
      <c r="M374" s="326"/>
      <c r="N374" s="326"/>
      <c r="O374" s="326"/>
      <c r="P374" s="326"/>
      <c r="Q374" s="326"/>
      <c r="R374" s="326"/>
      <c r="S374" s="326"/>
      <c r="T374" s="326"/>
      <c r="U374" s="326"/>
      <c r="V374" s="326"/>
      <c r="W374" s="326"/>
      <c r="X374" s="326"/>
      <c r="Y374" s="326"/>
    </row>
    <row r="375">
      <c r="A375" s="326"/>
      <c r="B375" s="326"/>
      <c r="C375" s="326"/>
      <c r="D375" s="326"/>
      <c r="E375" s="326"/>
      <c r="F375" s="326"/>
      <c r="G375" s="326"/>
      <c r="H375" s="326"/>
      <c r="I375" s="326"/>
      <c r="J375" s="326"/>
      <c r="K375" s="326"/>
      <c r="L375" s="326"/>
      <c r="M375" s="326"/>
      <c r="N375" s="326"/>
      <c r="O375" s="326"/>
      <c r="P375" s="326"/>
      <c r="Q375" s="326"/>
      <c r="R375" s="326"/>
      <c r="S375" s="326"/>
      <c r="T375" s="326"/>
      <c r="U375" s="326"/>
      <c r="V375" s="326"/>
      <c r="W375" s="326"/>
      <c r="X375" s="326"/>
      <c r="Y375" s="326"/>
    </row>
    <row r="376">
      <c r="A376" s="326"/>
      <c r="B376" s="326"/>
      <c r="C376" s="326"/>
      <c r="D376" s="326"/>
      <c r="E376" s="326"/>
      <c r="F376" s="326"/>
      <c r="G376" s="326"/>
      <c r="H376" s="326"/>
      <c r="I376" s="326"/>
      <c r="J376" s="326"/>
      <c r="K376" s="326"/>
      <c r="L376" s="326"/>
      <c r="M376" s="326"/>
      <c r="N376" s="326"/>
      <c r="O376" s="326"/>
      <c r="P376" s="326"/>
      <c r="Q376" s="326"/>
      <c r="R376" s="326"/>
      <c r="S376" s="326"/>
      <c r="T376" s="326"/>
      <c r="U376" s="326"/>
      <c r="V376" s="326"/>
      <c r="W376" s="326"/>
      <c r="X376" s="326"/>
      <c r="Y376" s="326"/>
    </row>
    <row r="377">
      <c r="A377" s="326"/>
      <c r="B377" s="326"/>
      <c r="C377" s="326"/>
      <c r="D377" s="326"/>
      <c r="E377" s="326"/>
      <c r="F377" s="326"/>
      <c r="G377" s="326"/>
      <c r="H377" s="326"/>
      <c r="I377" s="326"/>
      <c r="J377" s="326"/>
      <c r="K377" s="326"/>
      <c r="L377" s="326"/>
      <c r="M377" s="326"/>
      <c r="N377" s="326"/>
      <c r="O377" s="326"/>
      <c r="P377" s="326"/>
      <c r="Q377" s="326"/>
      <c r="R377" s="326"/>
      <c r="S377" s="326"/>
      <c r="T377" s="326"/>
      <c r="U377" s="326"/>
      <c r="V377" s="326"/>
      <c r="W377" s="326"/>
      <c r="X377" s="326"/>
      <c r="Y377" s="326"/>
    </row>
    <row r="378">
      <c r="A378" s="326"/>
      <c r="B378" s="326"/>
      <c r="C378" s="326"/>
      <c r="D378" s="326"/>
      <c r="E378" s="326"/>
      <c r="F378" s="326"/>
      <c r="G378" s="326"/>
      <c r="H378" s="326"/>
      <c r="I378" s="326"/>
      <c r="J378" s="326"/>
      <c r="K378" s="326"/>
      <c r="L378" s="326"/>
      <c r="M378" s="326"/>
      <c r="N378" s="326"/>
      <c r="O378" s="326"/>
      <c r="P378" s="326"/>
      <c r="Q378" s="326"/>
      <c r="R378" s="326"/>
      <c r="S378" s="326"/>
      <c r="T378" s="326"/>
      <c r="U378" s="326"/>
      <c r="V378" s="326"/>
      <c r="W378" s="326"/>
      <c r="X378" s="326"/>
      <c r="Y378" s="326"/>
    </row>
    <row r="379">
      <c r="A379" s="326"/>
      <c r="B379" s="326"/>
      <c r="C379" s="326"/>
      <c r="D379" s="326"/>
      <c r="E379" s="326"/>
      <c r="F379" s="326"/>
      <c r="G379" s="326"/>
      <c r="H379" s="326"/>
      <c r="I379" s="326"/>
      <c r="J379" s="326"/>
      <c r="K379" s="326"/>
      <c r="L379" s="326"/>
      <c r="M379" s="326"/>
      <c r="N379" s="326"/>
      <c r="O379" s="326"/>
      <c r="P379" s="326"/>
      <c r="Q379" s="326"/>
      <c r="R379" s="326"/>
      <c r="S379" s="326"/>
      <c r="T379" s="326"/>
      <c r="U379" s="326"/>
      <c r="V379" s="326"/>
      <c r="W379" s="326"/>
      <c r="X379" s="326"/>
      <c r="Y379" s="326"/>
    </row>
    <row r="380">
      <c r="A380" s="326"/>
      <c r="B380" s="326"/>
      <c r="C380" s="326"/>
      <c r="D380" s="326"/>
      <c r="E380" s="326"/>
      <c r="F380" s="326"/>
      <c r="G380" s="326"/>
      <c r="H380" s="326"/>
      <c r="I380" s="326"/>
      <c r="J380" s="326"/>
      <c r="K380" s="326"/>
      <c r="L380" s="326"/>
      <c r="M380" s="326"/>
      <c r="N380" s="326"/>
      <c r="O380" s="326"/>
      <c r="P380" s="326"/>
      <c r="Q380" s="326"/>
      <c r="R380" s="326"/>
      <c r="S380" s="326"/>
      <c r="T380" s="326"/>
      <c r="U380" s="326"/>
      <c r="V380" s="326"/>
      <c r="W380" s="326"/>
      <c r="X380" s="326"/>
      <c r="Y380" s="326"/>
    </row>
    <row r="381">
      <c r="A381" s="326"/>
      <c r="B381" s="326"/>
      <c r="C381" s="326"/>
      <c r="D381" s="326"/>
      <c r="E381" s="326"/>
      <c r="F381" s="326"/>
      <c r="G381" s="326"/>
      <c r="H381" s="326"/>
      <c r="I381" s="326"/>
      <c r="J381" s="326"/>
      <c r="K381" s="326"/>
      <c r="L381" s="326"/>
      <c r="M381" s="326"/>
      <c r="N381" s="326"/>
      <c r="O381" s="326"/>
      <c r="P381" s="326"/>
      <c r="Q381" s="326"/>
      <c r="R381" s="326"/>
      <c r="S381" s="326"/>
      <c r="T381" s="326"/>
      <c r="U381" s="326"/>
      <c r="V381" s="326"/>
      <c r="W381" s="326"/>
      <c r="X381" s="326"/>
      <c r="Y381" s="326"/>
    </row>
    <row r="382">
      <c r="A382" s="326"/>
      <c r="B382" s="326"/>
      <c r="C382" s="326"/>
      <c r="D382" s="326"/>
      <c r="E382" s="326"/>
      <c r="F382" s="326"/>
      <c r="G382" s="326"/>
      <c r="H382" s="326"/>
      <c r="I382" s="326"/>
      <c r="J382" s="326"/>
      <c r="K382" s="326"/>
      <c r="L382" s="326"/>
      <c r="M382" s="326"/>
      <c r="N382" s="326"/>
      <c r="O382" s="326"/>
      <c r="P382" s="326"/>
      <c r="Q382" s="326"/>
      <c r="R382" s="326"/>
      <c r="S382" s="326"/>
      <c r="T382" s="326"/>
      <c r="U382" s="326"/>
      <c r="V382" s="326"/>
      <c r="W382" s="326"/>
      <c r="X382" s="326"/>
      <c r="Y382" s="326"/>
    </row>
    <row r="383">
      <c r="A383" s="326"/>
      <c r="B383" s="326"/>
      <c r="C383" s="326"/>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26"/>
    </row>
    <row r="384">
      <c r="A384" s="326"/>
      <c r="B384" s="326"/>
      <c r="C384" s="326"/>
      <c r="D384" s="326"/>
      <c r="E384" s="326"/>
      <c r="F384" s="326"/>
      <c r="G384" s="326"/>
      <c r="H384" s="326"/>
      <c r="I384" s="326"/>
      <c r="J384" s="326"/>
      <c r="K384" s="326"/>
      <c r="L384" s="326"/>
      <c r="M384" s="326"/>
      <c r="N384" s="326"/>
      <c r="O384" s="326"/>
      <c r="P384" s="326"/>
      <c r="Q384" s="326"/>
      <c r="R384" s="326"/>
      <c r="S384" s="326"/>
      <c r="T384" s="326"/>
      <c r="U384" s="326"/>
      <c r="V384" s="326"/>
      <c r="W384" s="326"/>
      <c r="X384" s="326"/>
      <c r="Y384" s="326"/>
    </row>
    <row r="385">
      <c r="A385" s="326"/>
      <c r="B385" s="326"/>
      <c r="C385" s="326"/>
      <c r="D385" s="326"/>
      <c r="E385" s="326"/>
      <c r="F385" s="326"/>
      <c r="G385" s="326"/>
      <c r="H385" s="326"/>
      <c r="I385" s="326"/>
      <c r="J385" s="326"/>
      <c r="K385" s="326"/>
      <c r="L385" s="326"/>
      <c r="M385" s="326"/>
      <c r="N385" s="326"/>
      <c r="O385" s="326"/>
      <c r="P385" s="326"/>
      <c r="Q385" s="326"/>
      <c r="R385" s="326"/>
      <c r="S385" s="326"/>
      <c r="T385" s="326"/>
      <c r="U385" s="326"/>
      <c r="V385" s="326"/>
      <c r="W385" s="326"/>
      <c r="X385" s="326"/>
      <c r="Y385" s="326"/>
    </row>
    <row r="386">
      <c r="A386" s="326"/>
      <c r="B386" s="326"/>
      <c r="C386" s="326"/>
      <c r="D386" s="326"/>
      <c r="E386" s="326"/>
      <c r="F386" s="326"/>
      <c r="G386" s="326"/>
      <c r="H386" s="326"/>
      <c r="I386" s="326"/>
      <c r="J386" s="326"/>
      <c r="K386" s="326"/>
      <c r="L386" s="326"/>
      <c r="M386" s="326"/>
      <c r="N386" s="326"/>
      <c r="O386" s="326"/>
      <c r="P386" s="326"/>
      <c r="Q386" s="326"/>
      <c r="R386" s="326"/>
      <c r="S386" s="326"/>
      <c r="T386" s="326"/>
      <c r="U386" s="326"/>
      <c r="V386" s="326"/>
      <c r="W386" s="326"/>
      <c r="X386" s="326"/>
      <c r="Y386" s="326"/>
    </row>
    <row r="387">
      <c r="A387" s="326"/>
      <c r="B387" s="326"/>
      <c r="C387" s="326"/>
      <c r="D387" s="326"/>
      <c r="E387" s="326"/>
      <c r="F387" s="326"/>
      <c r="G387" s="326"/>
      <c r="H387" s="326"/>
      <c r="I387" s="326"/>
      <c r="J387" s="326"/>
      <c r="K387" s="326"/>
      <c r="L387" s="326"/>
      <c r="M387" s="326"/>
      <c r="N387" s="326"/>
      <c r="O387" s="326"/>
      <c r="P387" s="326"/>
      <c r="Q387" s="326"/>
      <c r="R387" s="326"/>
      <c r="S387" s="326"/>
      <c r="T387" s="326"/>
      <c r="U387" s="326"/>
      <c r="V387" s="326"/>
      <c r="W387" s="326"/>
      <c r="X387" s="326"/>
      <c r="Y387" s="326"/>
    </row>
    <row r="388">
      <c r="A388" s="326"/>
      <c r="B388" s="326"/>
      <c r="C388" s="326"/>
      <c r="D388" s="326"/>
      <c r="E388" s="326"/>
      <c r="F388" s="326"/>
      <c r="G388" s="326"/>
      <c r="H388" s="326"/>
      <c r="I388" s="326"/>
      <c r="J388" s="326"/>
      <c r="K388" s="326"/>
      <c r="L388" s="326"/>
      <c r="M388" s="326"/>
      <c r="N388" s="326"/>
      <c r="O388" s="326"/>
      <c r="P388" s="326"/>
      <c r="Q388" s="326"/>
      <c r="R388" s="326"/>
      <c r="S388" s="326"/>
      <c r="T388" s="326"/>
      <c r="U388" s="326"/>
      <c r="V388" s="326"/>
      <c r="W388" s="326"/>
      <c r="X388" s="326"/>
      <c r="Y388" s="326"/>
    </row>
    <row r="389">
      <c r="A389" s="326"/>
      <c r="B389" s="326"/>
      <c r="C389" s="326"/>
      <c r="D389" s="326"/>
      <c r="E389" s="326"/>
      <c r="F389" s="326"/>
      <c r="G389" s="326"/>
      <c r="H389" s="326"/>
      <c r="I389" s="326"/>
      <c r="J389" s="326"/>
      <c r="K389" s="326"/>
      <c r="L389" s="326"/>
      <c r="M389" s="326"/>
      <c r="N389" s="326"/>
      <c r="O389" s="326"/>
      <c r="P389" s="326"/>
      <c r="Q389" s="326"/>
      <c r="R389" s="326"/>
      <c r="S389" s="326"/>
      <c r="T389" s="326"/>
      <c r="U389" s="326"/>
      <c r="V389" s="326"/>
      <c r="W389" s="326"/>
      <c r="X389" s="326"/>
      <c r="Y389" s="326"/>
    </row>
    <row r="390">
      <c r="A390" s="326"/>
      <c r="B390" s="326"/>
      <c r="C390" s="326"/>
      <c r="D390" s="326"/>
      <c r="E390" s="326"/>
      <c r="F390" s="326"/>
      <c r="G390" s="326"/>
      <c r="H390" s="326"/>
      <c r="I390" s="326"/>
      <c r="J390" s="326"/>
      <c r="K390" s="326"/>
      <c r="L390" s="326"/>
      <c r="M390" s="326"/>
      <c r="N390" s="326"/>
      <c r="O390" s="326"/>
      <c r="P390" s="326"/>
      <c r="Q390" s="326"/>
      <c r="R390" s="326"/>
      <c r="S390" s="326"/>
      <c r="T390" s="326"/>
      <c r="U390" s="326"/>
      <c r="V390" s="326"/>
      <c r="W390" s="326"/>
      <c r="X390" s="326"/>
      <c r="Y390" s="326"/>
    </row>
    <row r="391">
      <c r="A391" s="326"/>
      <c r="B391" s="326"/>
      <c r="C391" s="326"/>
      <c r="D391" s="326"/>
      <c r="E391" s="326"/>
      <c r="F391" s="326"/>
      <c r="G391" s="326"/>
      <c r="H391" s="326"/>
      <c r="I391" s="326"/>
      <c r="J391" s="326"/>
      <c r="K391" s="326"/>
      <c r="L391" s="326"/>
      <c r="M391" s="326"/>
      <c r="N391" s="326"/>
      <c r="O391" s="326"/>
      <c r="P391" s="326"/>
      <c r="Q391" s="326"/>
      <c r="R391" s="326"/>
      <c r="S391" s="326"/>
      <c r="T391" s="326"/>
      <c r="U391" s="326"/>
      <c r="V391" s="326"/>
      <c r="W391" s="326"/>
      <c r="X391" s="326"/>
      <c r="Y391" s="326"/>
    </row>
    <row r="392">
      <c r="A392" s="326"/>
      <c r="B392" s="326"/>
      <c r="C392" s="326"/>
      <c r="D392" s="326"/>
      <c r="E392" s="326"/>
      <c r="F392" s="326"/>
      <c r="G392" s="326"/>
      <c r="H392" s="326"/>
      <c r="I392" s="326"/>
      <c r="J392" s="326"/>
      <c r="K392" s="326"/>
      <c r="L392" s="326"/>
      <c r="M392" s="326"/>
      <c r="N392" s="326"/>
      <c r="O392" s="326"/>
      <c r="P392" s="326"/>
      <c r="Q392" s="326"/>
      <c r="R392" s="326"/>
      <c r="S392" s="326"/>
      <c r="T392" s="326"/>
      <c r="U392" s="326"/>
      <c r="V392" s="326"/>
      <c r="W392" s="326"/>
      <c r="X392" s="326"/>
      <c r="Y392" s="326"/>
    </row>
    <row r="393">
      <c r="A393" s="326"/>
      <c r="B393" s="326"/>
      <c r="C393" s="326"/>
      <c r="D393" s="326"/>
      <c r="E393" s="326"/>
      <c r="F393" s="326"/>
      <c r="G393" s="326"/>
      <c r="H393" s="326"/>
      <c r="I393" s="326"/>
      <c r="J393" s="326"/>
      <c r="K393" s="326"/>
      <c r="L393" s="326"/>
      <c r="M393" s="326"/>
      <c r="N393" s="326"/>
      <c r="O393" s="326"/>
      <c r="P393" s="326"/>
      <c r="Q393" s="326"/>
      <c r="R393" s="326"/>
      <c r="S393" s="326"/>
      <c r="T393" s="326"/>
      <c r="U393" s="326"/>
      <c r="V393" s="326"/>
      <c r="W393" s="326"/>
      <c r="X393" s="326"/>
      <c r="Y393" s="326"/>
    </row>
    <row r="394">
      <c r="A394" s="326"/>
      <c r="B394" s="326"/>
      <c r="C394" s="326"/>
      <c r="D394" s="326"/>
      <c r="E394" s="326"/>
      <c r="F394" s="326"/>
      <c r="G394" s="326"/>
      <c r="H394" s="326"/>
      <c r="I394" s="326"/>
      <c r="J394" s="326"/>
      <c r="K394" s="326"/>
      <c r="L394" s="326"/>
      <c r="M394" s="326"/>
      <c r="N394" s="326"/>
      <c r="O394" s="326"/>
      <c r="P394" s="326"/>
      <c r="Q394" s="326"/>
      <c r="R394" s="326"/>
      <c r="S394" s="326"/>
      <c r="T394" s="326"/>
      <c r="U394" s="326"/>
      <c r="V394" s="326"/>
      <c r="W394" s="326"/>
      <c r="X394" s="326"/>
      <c r="Y394" s="326"/>
    </row>
    <row r="395">
      <c r="A395" s="326"/>
      <c r="B395" s="326"/>
      <c r="C395" s="326"/>
      <c r="D395" s="326"/>
      <c r="E395" s="326"/>
      <c r="F395" s="326"/>
      <c r="G395" s="326"/>
      <c r="H395" s="326"/>
      <c r="I395" s="326"/>
      <c r="J395" s="326"/>
      <c r="K395" s="326"/>
      <c r="L395" s="326"/>
      <c r="M395" s="326"/>
      <c r="N395" s="326"/>
      <c r="O395" s="326"/>
      <c r="P395" s="326"/>
      <c r="Q395" s="326"/>
      <c r="R395" s="326"/>
      <c r="S395" s="326"/>
      <c r="T395" s="326"/>
      <c r="U395" s="326"/>
      <c r="V395" s="326"/>
      <c r="W395" s="326"/>
      <c r="X395" s="326"/>
      <c r="Y395" s="326"/>
    </row>
    <row r="396">
      <c r="A396" s="326"/>
      <c r="B396" s="326"/>
      <c r="C396" s="326"/>
      <c r="D396" s="326"/>
      <c r="E396" s="326"/>
      <c r="F396" s="326"/>
      <c r="G396" s="326"/>
      <c r="H396" s="326"/>
      <c r="I396" s="326"/>
      <c r="J396" s="326"/>
      <c r="K396" s="326"/>
      <c r="L396" s="326"/>
      <c r="M396" s="326"/>
      <c r="N396" s="326"/>
      <c r="O396" s="326"/>
      <c r="P396" s="326"/>
      <c r="Q396" s="326"/>
      <c r="R396" s="326"/>
      <c r="S396" s="326"/>
      <c r="T396" s="326"/>
      <c r="U396" s="326"/>
      <c r="V396" s="326"/>
      <c r="W396" s="326"/>
      <c r="X396" s="326"/>
      <c r="Y396" s="326"/>
    </row>
    <row r="397">
      <c r="A397" s="326"/>
      <c r="B397" s="326"/>
      <c r="C397" s="326"/>
      <c r="D397" s="326"/>
      <c r="E397" s="326"/>
      <c r="F397" s="326"/>
      <c r="G397" s="326"/>
      <c r="H397" s="326"/>
      <c r="I397" s="326"/>
      <c r="J397" s="326"/>
      <c r="K397" s="326"/>
      <c r="L397" s="326"/>
      <c r="M397" s="326"/>
      <c r="N397" s="326"/>
      <c r="O397" s="326"/>
      <c r="P397" s="326"/>
      <c r="Q397" s="326"/>
      <c r="R397" s="326"/>
      <c r="S397" s="326"/>
      <c r="T397" s="326"/>
      <c r="U397" s="326"/>
      <c r="V397" s="326"/>
      <c r="W397" s="326"/>
      <c r="X397" s="326"/>
      <c r="Y397" s="326"/>
    </row>
    <row r="398">
      <c r="A398" s="326"/>
      <c r="B398" s="326"/>
      <c r="C398" s="326"/>
      <c r="D398" s="326"/>
      <c r="E398" s="326"/>
      <c r="F398" s="326"/>
      <c r="G398" s="326"/>
      <c r="H398" s="326"/>
      <c r="I398" s="326"/>
      <c r="J398" s="326"/>
      <c r="K398" s="326"/>
      <c r="L398" s="326"/>
      <c r="M398" s="326"/>
      <c r="N398" s="326"/>
      <c r="O398" s="326"/>
      <c r="P398" s="326"/>
      <c r="Q398" s="326"/>
      <c r="R398" s="326"/>
      <c r="S398" s="326"/>
      <c r="T398" s="326"/>
      <c r="U398" s="326"/>
      <c r="V398" s="326"/>
      <c r="W398" s="326"/>
      <c r="X398" s="326"/>
      <c r="Y398" s="326"/>
    </row>
    <row r="399">
      <c r="A399" s="326"/>
      <c r="B399" s="326"/>
      <c r="C399" s="326"/>
      <c r="D399" s="326"/>
      <c r="E399" s="326"/>
      <c r="F399" s="326"/>
      <c r="G399" s="326"/>
      <c r="H399" s="326"/>
      <c r="I399" s="326"/>
      <c r="J399" s="326"/>
      <c r="K399" s="326"/>
      <c r="L399" s="326"/>
      <c r="M399" s="326"/>
      <c r="N399" s="326"/>
      <c r="O399" s="326"/>
      <c r="P399" s="326"/>
      <c r="Q399" s="326"/>
      <c r="R399" s="326"/>
      <c r="S399" s="326"/>
      <c r="T399" s="326"/>
      <c r="U399" s="326"/>
      <c r="V399" s="326"/>
      <c r="W399" s="326"/>
      <c r="X399" s="326"/>
      <c r="Y399" s="326"/>
    </row>
    <row r="400">
      <c r="A400" s="326"/>
      <c r="B400" s="326"/>
      <c r="C400" s="326"/>
      <c r="D400" s="326"/>
      <c r="E400" s="326"/>
      <c r="F400" s="326"/>
      <c r="G400" s="326"/>
      <c r="H400" s="326"/>
      <c r="I400" s="326"/>
      <c r="J400" s="326"/>
      <c r="K400" s="326"/>
      <c r="L400" s="326"/>
      <c r="M400" s="326"/>
      <c r="N400" s="326"/>
      <c r="O400" s="326"/>
      <c r="P400" s="326"/>
      <c r="Q400" s="326"/>
      <c r="R400" s="326"/>
      <c r="S400" s="326"/>
      <c r="T400" s="326"/>
      <c r="U400" s="326"/>
      <c r="V400" s="326"/>
      <c r="W400" s="326"/>
      <c r="X400" s="326"/>
      <c r="Y400" s="326"/>
    </row>
    <row r="401">
      <c r="A401" s="326"/>
      <c r="B401" s="326"/>
      <c r="C401" s="326"/>
      <c r="D401" s="326"/>
      <c r="E401" s="326"/>
      <c r="F401" s="326"/>
      <c r="G401" s="326"/>
      <c r="H401" s="326"/>
      <c r="I401" s="326"/>
      <c r="J401" s="326"/>
      <c r="K401" s="326"/>
      <c r="L401" s="326"/>
      <c r="M401" s="326"/>
      <c r="N401" s="326"/>
      <c r="O401" s="326"/>
      <c r="P401" s="326"/>
      <c r="Q401" s="326"/>
      <c r="R401" s="326"/>
      <c r="S401" s="326"/>
      <c r="T401" s="326"/>
      <c r="U401" s="326"/>
      <c r="V401" s="326"/>
      <c r="W401" s="326"/>
      <c r="X401" s="326"/>
      <c r="Y401" s="326"/>
    </row>
    <row r="402">
      <c r="A402" s="326"/>
      <c r="B402" s="326"/>
      <c r="C402" s="326"/>
      <c r="D402" s="326"/>
      <c r="E402" s="326"/>
      <c r="F402" s="326"/>
      <c r="G402" s="326"/>
      <c r="H402" s="326"/>
      <c r="I402" s="326"/>
      <c r="J402" s="326"/>
      <c r="K402" s="326"/>
      <c r="L402" s="326"/>
      <c r="M402" s="326"/>
      <c r="N402" s="326"/>
      <c r="O402" s="326"/>
      <c r="P402" s="326"/>
      <c r="Q402" s="326"/>
      <c r="R402" s="326"/>
      <c r="S402" s="326"/>
      <c r="T402" s="326"/>
      <c r="U402" s="326"/>
      <c r="V402" s="326"/>
      <c r="W402" s="326"/>
      <c r="X402" s="326"/>
      <c r="Y402" s="326"/>
    </row>
    <row r="403">
      <c r="A403" s="326"/>
      <c r="B403" s="326"/>
      <c r="C403" s="326"/>
      <c r="D403" s="326"/>
      <c r="E403" s="326"/>
      <c r="F403" s="326"/>
      <c r="G403" s="326"/>
      <c r="H403" s="326"/>
      <c r="I403" s="326"/>
      <c r="J403" s="326"/>
      <c r="K403" s="326"/>
      <c r="L403" s="326"/>
      <c r="M403" s="326"/>
      <c r="N403" s="326"/>
      <c r="O403" s="326"/>
      <c r="P403" s="326"/>
      <c r="Q403" s="326"/>
      <c r="R403" s="326"/>
      <c r="S403" s="326"/>
      <c r="T403" s="326"/>
      <c r="U403" s="326"/>
      <c r="V403" s="326"/>
      <c r="W403" s="326"/>
      <c r="X403" s="326"/>
      <c r="Y403" s="326"/>
    </row>
    <row r="404">
      <c r="A404" s="326"/>
      <c r="B404" s="326"/>
      <c r="C404" s="326"/>
      <c r="D404" s="326"/>
      <c r="E404" s="326"/>
      <c r="F404" s="326"/>
      <c r="G404" s="326"/>
      <c r="H404" s="326"/>
      <c r="I404" s="326"/>
      <c r="J404" s="326"/>
      <c r="K404" s="326"/>
      <c r="L404" s="326"/>
      <c r="M404" s="326"/>
      <c r="N404" s="326"/>
      <c r="O404" s="326"/>
      <c r="P404" s="326"/>
      <c r="Q404" s="326"/>
      <c r="R404" s="326"/>
      <c r="S404" s="326"/>
      <c r="T404" s="326"/>
      <c r="U404" s="326"/>
      <c r="V404" s="326"/>
      <c r="W404" s="326"/>
      <c r="X404" s="326"/>
      <c r="Y404" s="326"/>
    </row>
    <row r="405">
      <c r="A405" s="326"/>
      <c r="B405" s="326"/>
      <c r="C405" s="326"/>
      <c r="D405" s="326"/>
      <c r="E405" s="326"/>
      <c r="F405" s="326"/>
      <c r="G405" s="326"/>
      <c r="H405" s="326"/>
      <c r="I405" s="326"/>
      <c r="J405" s="326"/>
      <c r="K405" s="326"/>
      <c r="L405" s="326"/>
      <c r="M405" s="326"/>
      <c r="N405" s="326"/>
      <c r="O405" s="326"/>
      <c r="P405" s="326"/>
      <c r="Q405" s="326"/>
      <c r="R405" s="326"/>
      <c r="S405" s="326"/>
      <c r="T405" s="326"/>
      <c r="U405" s="326"/>
      <c r="V405" s="326"/>
      <c r="W405" s="326"/>
      <c r="X405" s="326"/>
      <c r="Y405" s="326"/>
    </row>
    <row r="406">
      <c r="A406" s="326"/>
      <c r="B406" s="326"/>
      <c r="C406" s="326"/>
      <c r="D406" s="326"/>
      <c r="E406" s="326"/>
      <c r="F406" s="326"/>
      <c r="G406" s="326"/>
      <c r="H406" s="326"/>
      <c r="I406" s="326"/>
      <c r="J406" s="326"/>
      <c r="K406" s="326"/>
      <c r="L406" s="326"/>
      <c r="M406" s="326"/>
      <c r="N406" s="326"/>
      <c r="O406" s="326"/>
      <c r="P406" s="326"/>
      <c r="Q406" s="326"/>
      <c r="R406" s="326"/>
      <c r="S406" s="326"/>
      <c r="T406" s="326"/>
      <c r="U406" s="326"/>
      <c r="V406" s="326"/>
      <c r="W406" s="326"/>
      <c r="X406" s="326"/>
      <c r="Y406" s="326"/>
    </row>
    <row r="407">
      <c r="A407" s="326"/>
      <c r="B407" s="326"/>
      <c r="C407" s="326"/>
      <c r="D407" s="326"/>
      <c r="E407" s="326"/>
      <c r="F407" s="326"/>
      <c r="G407" s="326"/>
      <c r="H407" s="326"/>
      <c r="I407" s="326"/>
      <c r="J407" s="326"/>
      <c r="K407" s="326"/>
      <c r="L407" s="326"/>
      <c r="M407" s="326"/>
      <c r="N407" s="326"/>
      <c r="O407" s="326"/>
      <c r="P407" s="326"/>
      <c r="Q407" s="326"/>
      <c r="R407" s="326"/>
      <c r="S407" s="326"/>
      <c r="T407" s="326"/>
      <c r="U407" s="326"/>
      <c r="V407" s="326"/>
      <c r="W407" s="326"/>
      <c r="X407" s="326"/>
      <c r="Y407" s="326"/>
    </row>
    <row r="408">
      <c r="A408" s="326"/>
      <c r="B408" s="326"/>
      <c r="C408" s="326"/>
      <c r="D408" s="326"/>
      <c r="E408" s="326"/>
      <c r="F408" s="326"/>
      <c r="G408" s="326"/>
      <c r="H408" s="326"/>
      <c r="I408" s="326"/>
      <c r="J408" s="326"/>
      <c r="K408" s="326"/>
      <c r="L408" s="326"/>
      <c r="M408" s="326"/>
      <c r="N408" s="326"/>
      <c r="O408" s="326"/>
      <c r="P408" s="326"/>
      <c r="Q408" s="326"/>
      <c r="R408" s="326"/>
      <c r="S408" s="326"/>
      <c r="T408" s="326"/>
      <c r="U408" s="326"/>
      <c r="V408" s="326"/>
      <c r="W408" s="326"/>
      <c r="X408" s="326"/>
      <c r="Y408" s="326"/>
    </row>
    <row r="409">
      <c r="A409" s="326"/>
      <c r="B409" s="326"/>
      <c r="C409" s="326"/>
      <c r="D409" s="326"/>
      <c r="E409" s="326"/>
      <c r="F409" s="326"/>
      <c r="G409" s="326"/>
      <c r="H409" s="326"/>
      <c r="I409" s="326"/>
      <c r="J409" s="326"/>
      <c r="K409" s="326"/>
      <c r="L409" s="326"/>
      <c r="M409" s="326"/>
      <c r="N409" s="326"/>
      <c r="O409" s="326"/>
      <c r="P409" s="326"/>
      <c r="Q409" s="326"/>
      <c r="R409" s="326"/>
      <c r="S409" s="326"/>
      <c r="T409" s="326"/>
      <c r="U409" s="326"/>
      <c r="V409" s="326"/>
      <c r="W409" s="326"/>
      <c r="X409" s="326"/>
      <c r="Y409" s="326"/>
    </row>
    <row r="410">
      <c r="A410" s="326"/>
      <c r="B410" s="326"/>
      <c r="C410" s="326"/>
      <c r="D410" s="326"/>
      <c r="E410" s="326"/>
      <c r="F410" s="326"/>
      <c r="G410" s="326"/>
      <c r="H410" s="326"/>
      <c r="I410" s="326"/>
      <c r="J410" s="326"/>
      <c r="K410" s="326"/>
      <c r="L410" s="326"/>
      <c r="M410" s="326"/>
      <c r="N410" s="326"/>
      <c r="O410" s="326"/>
      <c r="P410" s="326"/>
      <c r="Q410" s="326"/>
      <c r="R410" s="326"/>
      <c r="S410" s="326"/>
      <c r="T410" s="326"/>
      <c r="U410" s="326"/>
      <c r="V410" s="326"/>
      <c r="W410" s="326"/>
      <c r="X410" s="326"/>
      <c r="Y410" s="326"/>
    </row>
    <row r="411">
      <c r="A411" s="326"/>
      <c r="B411" s="326"/>
      <c r="C411" s="326"/>
      <c r="D411" s="326"/>
      <c r="E411" s="326"/>
      <c r="F411" s="326"/>
      <c r="G411" s="326"/>
      <c r="H411" s="326"/>
      <c r="I411" s="326"/>
      <c r="J411" s="326"/>
      <c r="K411" s="326"/>
      <c r="L411" s="326"/>
      <c r="M411" s="326"/>
      <c r="N411" s="326"/>
      <c r="O411" s="326"/>
      <c r="P411" s="326"/>
      <c r="Q411" s="326"/>
      <c r="R411" s="326"/>
      <c r="S411" s="326"/>
      <c r="T411" s="326"/>
      <c r="U411" s="326"/>
      <c r="V411" s="326"/>
      <c r="W411" s="326"/>
      <c r="X411" s="326"/>
      <c r="Y411" s="326"/>
    </row>
    <row r="412">
      <c r="A412" s="326"/>
      <c r="B412" s="326"/>
      <c r="C412" s="326"/>
      <c r="D412" s="326"/>
      <c r="E412" s="326"/>
      <c r="F412" s="326"/>
      <c r="G412" s="326"/>
      <c r="H412" s="326"/>
      <c r="I412" s="326"/>
      <c r="J412" s="326"/>
      <c r="K412" s="326"/>
      <c r="L412" s="326"/>
      <c r="M412" s="326"/>
      <c r="N412" s="326"/>
      <c r="O412" s="326"/>
      <c r="P412" s="326"/>
      <c r="Q412" s="326"/>
      <c r="R412" s="326"/>
      <c r="S412" s="326"/>
      <c r="T412" s="326"/>
      <c r="U412" s="326"/>
      <c r="V412" s="326"/>
      <c r="W412" s="326"/>
      <c r="X412" s="326"/>
      <c r="Y412" s="326"/>
    </row>
    <row r="413">
      <c r="A413" s="326"/>
      <c r="B413" s="326"/>
      <c r="C413" s="326"/>
      <c r="D413" s="326"/>
      <c r="E413" s="326"/>
      <c r="F413" s="326"/>
      <c r="G413" s="326"/>
      <c r="H413" s="326"/>
      <c r="I413" s="326"/>
      <c r="J413" s="326"/>
      <c r="K413" s="326"/>
      <c r="L413" s="326"/>
      <c r="M413" s="326"/>
      <c r="N413" s="326"/>
      <c r="O413" s="326"/>
      <c r="P413" s="326"/>
      <c r="Q413" s="326"/>
      <c r="R413" s="326"/>
      <c r="S413" s="326"/>
      <c r="T413" s="326"/>
      <c r="U413" s="326"/>
      <c r="V413" s="326"/>
      <c r="W413" s="326"/>
      <c r="X413" s="326"/>
      <c r="Y413" s="326"/>
    </row>
    <row r="414">
      <c r="A414" s="326"/>
      <c r="B414" s="326"/>
      <c r="C414" s="326"/>
      <c r="D414" s="326"/>
      <c r="E414" s="326"/>
      <c r="F414" s="326"/>
      <c r="G414" s="326"/>
      <c r="H414" s="326"/>
      <c r="I414" s="326"/>
      <c r="J414" s="326"/>
      <c r="K414" s="326"/>
      <c r="L414" s="326"/>
      <c r="M414" s="326"/>
      <c r="N414" s="326"/>
      <c r="O414" s="326"/>
      <c r="P414" s="326"/>
      <c r="Q414" s="326"/>
      <c r="R414" s="326"/>
      <c r="S414" s="326"/>
      <c r="T414" s="326"/>
      <c r="U414" s="326"/>
      <c r="V414" s="326"/>
      <c r="W414" s="326"/>
      <c r="X414" s="326"/>
      <c r="Y414" s="326"/>
    </row>
    <row r="415">
      <c r="A415" s="326"/>
      <c r="B415" s="326"/>
      <c r="C415" s="326"/>
      <c r="D415" s="326"/>
      <c r="E415" s="326"/>
      <c r="F415" s="326"/>
      <c r="G415" s="326"/>
      <c r="H415" s="326"/>
      <c r="I415" s="326"/>
      <c r="J415" s="326"/>
      <c r="K415" s="326"/>
      <c r="L415" s="326"/>
      <c r="M415" s="326"/>
      <c r="N415" s="326"/>
      <c r="O415" s="326"/>
      <c r="P415" s="326"/>
      <c r="Q415" s="326"/>
      <c r="R415" s="326"/>
      <c r="S415" s="326"/>
      <c r="T415" s="326"/>
      <c r="U415" s="326"/>
      <c r="V415" s="326"/>
      <c r="W415" s="326"/>
      <c r="X415" s="326"/>
      <c r="Y415" s="326"/>
    </row>
    <row r="416">
      <c r="A416" s="326"/>
      <c r="B416" s="326"/>
      <c r="C416" s="326"/>
      <c r="D416" s="326"/>
      <c r="E416" s="326"/>
      <c r="F416" s="326"/>
      <c r="G416" s="326"/>
      <c r="H416" s="326"/>
      <c r="I416" s="326"/>
      <c r="J416" s="326"/>
      <c r="K416" s="326"/>
      <c r="L416" s="326"/>
      <c r="M416" s="326"/>
      <c r="N416" s="326"/>
      <c r="O416" s="326"/>
      <c r="P416" s="326"/>
      <c r="Q416" s="326"/>
      <c r="R416" s="326"/>
      <c r="S416" s="326"/>
      <c r="T416" s="326"/>
      <c r="U416" s="326"/>
      <c r="V416" s="326"/>
      <c r="W416" s="326"/>
      <c r="X416" s="326"/>
      <c r="Y416" s="326"/>
    </row>
    <row r="417">
      <c r="A417" s="326"/>
      <c r="B417" s="326"/>
      <c r="C417" s="326"/>
      <c r="D417" s="326"/>
      <c r="E417" s="326"/>
      <c r="F417" s="326"/>
      <c r="G417" s="326"/>
      <c r="H417" s="326"/>
      <c r="I417" s="326"/>
      <c r="J417" s="326"/>
      <c r="K417" s="326"/>
      <c r="L417" s="326"/>
      <c r="M417" s="326"/>
      <c r="N417" s="326"/>
      <c r="O417" s="326"/>
      <c r="P417" s="326"/>
      <c r="Q417" s="326"/>
      <c r="R417" s="326"/>
      <c r="S417" s="326"/>
      <c r="T417" s="326"/>
      <c r="U417" s="326"/>
      <c r="V417" s="326"/>
      <c r="W417" s="326"/>
      <c r="X417" s="326"/>
      <c r="Y417" s="326"/>
    </row>
    <row r="418">
      <c r="A418" s="326"/>
      <c r="B418" s="326"/>
      <c r="C418" s="326"/>
      <c r="D418" s="326"/>
      <c r="E418" s="326"/>
      <c r="F418" s="326"/>
      <c r="G418" s="326"/>
      <c r="H418" s="326"/>
      <c r="I418" s="326"/>
      <c r="J418" s="326"/>
      <c r="K418" s="326"/>
      <c r="L418" s="326"/>
      <c r="M418" s="326"/>
      <c r="N418" s="326"/>
      <c r="O418" s="326"/>
      <c r="P418" s="326"/>
      <c r="Q418" s="326"/>
      <c r="R418" s="326"/>
      <c r="S418" s="326"/>
      <c r="T418" s="326"/>
      <c r="U418" s="326"/>
      <c r="V418" s="326"/>
      <c r="W418" s="326"/>
      <c r="X418" s="326"/>
      <c r="Y418" s="326"/>
    </row>
    <row r="419">
      <c r="A419" s="326"/>
      <c r="B419" s="326"/>
      <c r="C419" s="326"/>
      <c r="D419" s="326"/>
      <c r="E419" s="326"/>
      <c r="F419" s="326"/>
      <c r="G419" s="326"/>
      <c r="H419" s="326"/>
      <c r="I419" s="326"/>
      <c r="J419" s="326"/>
      <c r="K419" s="326"/>
      <c r="L419" s="326"/>
      <c r="M419" s="326"/>
      <c r="N419" s="326"/>
      <c r="O419" s="326"/>
      <c r="P419" s="326"/>
      <c r="Q419" s="326"/>
      <c r="R419" s="326"/>
      <c r="S419" s="326"/>
      <c r="T419" s="326"/>
      <c r="U419" s="326"/>
      <c r="V419" s="326"/>
      <c r="W419" s="326"/>
      <c r="X419" s="326"/>
      <c r="Y419" s="326"/>
    </row>
    <row r="420">
      <c r="A420" s="326"/>
      <c r="B420" s="326"/>
      <c r="C420" s="326"/>
      <c r="D420" s="326"/>
      <c r="E420" s="326"/>
      <c r="F420" s="326"/>
      <c r="G420" s="326"/>
      <c r="H420" s="326"/>
      <c r="I420" s="326"/>
      <c r="J420" s="326"/>
      <c r="K420" s="326"/>
      <c r="L420" s="326"/>
      <c r="M420" s="326"/>
      <c r="N420" s="326"/>
      <c r="O420" s="326"/>
      <c r="P420" s="326"/>
      <c r="Q420" s="326"/>
      <c r="R420" s="326"/>
      <c r="S420" s="326"/>
      <c r="T420" s="326"/>
      <c r="U420" s="326"/>
      <c r="V420" s="326"/>
      <c r="W420" s="326"/>
      <c r="X420" s="326"/>
      <c r="Y420" s="326"/>
    </row>
    <row r="421">
      <c r="A421" s="326"/>
      <c r="B421" s="326"/>
      <c r="C421" s="326"/>
      <c r="D421" s="326"/>
      <c r="E421" s="326"/>
      <c r="F421" s="326"/>
      <c r="G421" s="326"/>
      <c r="H421" s="326"/>
      <c r="I421" s="326"/>
      <c r="J421" s="326"/>
      <c r="K421" s="326"/>
      <c r="L421" s="326"/>
      <c r="M421" s="326"/>
      <c r="N421" s="326"/>
      <c r="O421" s="326"/>
      <c r="P421" s="326"/>
      <c r="Q421" s="326"/>
      <c r="R421" s="326"/>
      <c r="S421" s="326"/>
      <c r="T421" s="326"/>
      <c r="U421" s="326"/>
      <c r="V421" s="326"/>
      <c r="W421" s="326"/>
      <c r="X421" s="326"/>
      <c r="Y421" s="326"/>
    </row>
    <row r="422">
      <c r="A422" s="326"/>
      <c r="B422" s="326"/>
      <c r="C422" s="326"/>
      <c r="D422" s="326"/>
      <c r="E422" s="326"/>
      <c r="F422" s="326"/>
      <c r="G422" s="326"/>
      <c r="H422" s="326"/>
      <c r="I422" s="326"/>
      <c r="J422" s="326"/>
      <c r="K422" s="326"/>
      <c r="L422" s="326"/>
      <c r="M422" s="326"/>
      <c r="N422" s="326"/>
      <c r="O422" s="326"/>
      <c r="P422" s="326"/>
      <c r="Q422" s="326"/>
      <c r="R422" s="326"/>
      <c r="S422" s="326"/>
      <c r="T422" s="326"/>
      <c r="U422" s="326"/>
      <c r="V422" s="326"/>
      <c r="W422" s="326"/>
      <c r="X422" s="326"/>
      <c r="Y422" s="326"/>
    </row>
    <row r="423">
      <c r="A423" s="326"/>
      <c r="B423" s="326"/>
      <c r="C423" s="326"/>
      <c r="D423" s="326"/>
      <c r="E423" s="326"/>
      <c r="F423" s="326"/>
      <c r="G423" s="326"/>
      <c r="H423" s="326"/>
      <c r="I423" s="326"/>
      <c r="J423" s="326"/>
      <c r="K423" s="326"/>
      <c r="L423" s="326"/>
      <c r="M423" s="326"/>
      <c r="N423" s="326"/>
      <c r="O423" s="326"/>
      <c r="P423" s="326"/>
      <c r="Q423" s="326"/>
      <c r="R423" s="326"/>
      <c r="S423" s="326"/>
      <c r="T423" s="326"/>
      <c r="U423" s="326"/>
      <c r="V423" s="326"/>
      <c r="W423" s="326"/>
      <c r="X423" s="326"/>
      <c r="Y423" s="326"/>
    </row>
    <row r="424">
      <c r="A424" s="326"/>
      <c r="B424" s="326"/>
      <c r="C424" s="326"/>
      <c r="D424" s="326"/>
      <c r="E424" s="326"/>
      <c r="F424" s="326"/>
      <c r="G424" s="326"/>
      <c r="H424" s="326"/>
      <c r="I424" s="326"/>
      <c r="J424" s="326"/>
      <c r="K424" s="326"/>
      <c r="L424" s="326"/>
      <c r="M424" s="326"/>
      <c r="N424" s="326"/>
      <c r="O424" s="326"/>
      <c r="P424" s="326"/>
      <c r="Q424" s="326"/>
      <c r="R424" s="326"/>
      <c r="S424" s="326"/>
      <c r="T424" s="326"/>
      <c r="U424" s="326"/>
      <c r="V424" s="326"/>
      <c r="W424" s="326"/>
      <c r="X424" s="326"/>
      <c r="Y424" s="326"/>
    </row>
    <row r="425">
      <c r="A425" s="326"/>
      <c r="B425" s="326"/>
      <c r="C425" s="326"/>
      <c r="D425" s="326"/>
      <c r="E425" s="326"/>
      <c r="F425" s="326"/>
      <c r="G425" s="326"/>
      <c r="H425" s="326"/>
      <c r="I425" s="326"/>
      <c r="J425" s="326"/>
      <c r="K425" s="326"/>
      <c r="L425" s="326"/>
      <c r="M425" s="326"/>
      <c r="N425" s="326"/>
      <c r="O425" s="326"/>
      <c r="P425" s="326"/>
      <c r="Q425" s="326"/>
      <c r="R425" s="326"/>
      <c r="S425" s="326"/>
      <c r="T425" s="326"/>
      <c r="U425" s="326"/>
      <c r="V425" s="326"/>
      <c r="W425" s="326"/>
      <c r="X425" s="326"/>
      <c r="Y425" s="326"/>
    </row>
    <row r="426">
      <c r="A426" s="326"/>
      <c r="B426" s="326"/>
      <c r="C426" s="326"/>
      <c r="D426" s="326"/>
      <c r="E426" s="326"/>
      <c r="F426" s="326"/>
      <c r="G426" s="326"/>
      <c r="H426" s="326"/>
      <c r="I426" s="326"/>
      <c r="J426" s="326"/>
      <c r="K426" s="326"/>
      <c r="L426" s="326"/>
      <c r="M426" s="326"/>
      <c r="N426" s="326"/>
      <c r="O426" s="326"/>
      <c r="P426" s="326"/>
      <c r="Q426" s="326"/>
      <c r="R426" s="326"/>
      <c r="S426" s="326"/>
      <c r="T426" s="326"/>
      <c r="U426" s="326"/>
      <c r="V426" s="326"/>
      <c r="W426" s="326"/>
      <c r="X426" s="326"/>
      <c r="Y426" s="326"/>
    </row>
    <row r="427">
      <c r="A427" s="326"/>
      <c r="B427" s="326"/>
      <c r="C427" s="326"/>
      <c r="D427" s="326"/>
      <c r="E427" s="326"/>
      <c r="F427" s="326"/>
      <c r="G427" s="326"/>
      <c r="H427" s="326"/>
      <c r="I427" s="326"/>
      <c r="J427" s="326"/>
      <c r="K427" s="326"/>
      <c r="L427" s="326"/>
      <c r="M427" s="326"/>
      <c r="N427" s="326"/>
      <c r="O427" s="326"/>
      <c r="P427" s="326"/>
      <c r="Q427" s="326"/>
      <c r="R427" s="326"/>
      <c r="S427" s="326"/>
      <c r="T427" s="326"/>
      <c r="U427" s="326"/>
      <c r="V427" s="326"/>
      <c r="W427" s="326"/>
      <c r="X427" s="326"/>
      <c r="Y427" s="326"/>
    </row>
    <row r="428">
      <c r="A428" s="326"/>
      <c r="B428" s="326"/>
      <c r="C428" s="326"/>
      <c r="D428" s="326"/>
      <c r="E428" s="326"/>
      <c r="F428" s="326"/>
      <c r="G428" s="326"/>
      <c r="H428" s="326"/>
      <c r="I428" s="326"/>
      <c r="J428" s="326"/>
      <c r="K428" s="326"/>
      <c r="L428" s="326"/>
      <c r="M428" s="326"/>
      <c r="N428" s="326"/>
      <c r="O428" s="326"/>
      <c r="P428" s="326"/>
      <c r="Q428" s="326"/>
      <c r="R428" s="326"/>
      <c r="S428" s="326"/>
      <c r="T428" s="326"/>
      <c r="U428" s="326"/>
      <c r="V428" s="326"/>
      <c r="W428" s="326"/>
      <c r="X428" s="326"/>
      <c r="Y428" s="326"/>
    </row>
    <row r="429">
      <c r="A429" s="326"/>
      <c r="B429" s="326"/>
      <c r="C429" s="326"/>
      <c r="D429" s="326"/>
      <c r="E429" s="326"/>
      <c r="F429" s="326"/>
      <c r="G429" s="326"/>
      <c r="H429" s="326"/>
      <c r="I429" s="326"/>
      <c r="J429" s="326"/>
      <c r="K429" s="326"/>
      <c r="L429" s="326"/>
      <c r="M429" s="326"/>
      <c r="N429" s="326"/>
      <c r="O429" s="326"/>
      <c r="P429" s="326"/>
      <c r="Q429" s="326"/>
      <c r="R429" s="326"/>
      <c r="S429" s="326"/>
      <c r="T429" s="326"/>
      <c r="U429" s="326"/>
      <c r="V429" s="326"/>
      <c r="W429" s="326"/>
      <c r="X429" s="326"/>
      <c r="Y429" s="326"/>
    </row>
    <row r="430">
      <c r="A430" s="326"/>
      <c r="B430" s="326"/>
      <c r="C430" s="326"/>
      <c r="D430" s="326"/>
      <c r="E430" s="326"/>
      <c r="F430" s="326"/>
      <c r="G430" s="326"/>
      <c r="H430" s="326"/>
      <c r="I430" s="326"/>
      <c r="J430" s="326"/>
      <c r="K430" s="326"/>
      <c r="L430" s="326"/>
      <c r="M430" s="326"/>
      <c r="N430" s="326"/>
      <c r="O430" s="326"/>
      <c r="P430" s="326"/>
      <c r="Q430" s="326"/>
      <c r="R430" s="326"/>
      <c r="S430" s="326"/>
      <c r="T430" s="326"/>
      <c r="U430" s="326"/>
      <c r="V430" s="326"/>
      <c r="W430" s="326"/>
      <c r="X430" s="326"/>
      <c r="Y430" s="326"/>
    </row>
    <row r="431">
      <c r="A431" s="326"/>
      <c r="B431" s="326"/>
      <c r="C431" s="32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6"/>
    </row>
    <row r="432">
      <c r="A432" s="326"/>
      <c r="B432" s="326"/>
      <c r="C432" s="326"/>
      <c r="D432" s="326"/>
      <c r="E432" s="326"/>
      <c r="F432" s="326"/>
      <c r="G432" s="326"/>
      <c r="H432" s="326"/>
      <c r="I432" s="326"/>
      <c r="J432" s="326"/>
      <c r="K432" s="326"/>
      <c r="L432" s="326"/>
      <c r="M432" s="326"/>
      <c r="N432" s="326"/>
      <c r="O432" s="326"/>
      <c r="P432" s="326"/>
      <c r="Q432" s="326"/>
      <c r="R432" s="326"/>
      <c r="S432" s="326"/>
      <c r="T432" s="326"/>
      <c r="U432" s="326"/>
      <c r="V432" s="326"/>
      <c r="W432" s="326"/>
      <c r="X432" s="326"/>
      <c r="Y432" s="326"/>
    </row>
    <row r="433">
      <c r="A433" s="326"/>
      <c r="B433" s="326"/>
      <c r="C433" s="326"/>
      <c r="D433" s="326"/>
      <c r="E433" s="326"/>
      <c r="F433" s="326"/>
      <c r="G433" s="326"/>
      <c r="H433" s="326"/>
      <c r="I433" s="326"/>
      <c r="J433" s="326"/>
      <c r="K433" s="326"/>
      <c r="L433" s="326"/>
      <c r="M433" s="326"/>
      <c r="N433" s="326"/>
      <c r="O433" s="326"/>
      <c r="P433" s="326"/>
      <c r="Q433" s="326"/>
      <c r="R433" s="326"/>
      <c r="S433" s="326"/>
      <c r="T433" s="326"/>
      <c r="U433" s="326"/>
      <c r="V433" s="326"/>
      <c r="W433" s="326"/>
      <c r="X433" s="326"/>
      <c r="Y433" s="326"/>
    </row>
    <row r="434">
      <c r="A434" s="326"/>
      <c r="B434" s="326"/>
      <c r="C434" s="326"/>
      <c r="D434" s="326"/>
      <c r="E434" s="326"/>
      <c r="F434" s="326"/>
      <c r="G434" s="326"/>
      <c r="H434" s="326"/>
      <c r="I434" s="326"/>
      <c r="J434" s="326"/>
      <c r="K434" s="326"/>
      <c r="L434" s="326"/>
      <c r="M434" s="326"/>
      <c r="N434" s="326"/>
      <c r="O434" s="326"/>
      <c r="P434" s="326"/>
      <c r="Q434" s="326"/>
      <c r="R434" s="326"/>
      <c r="S434" s="326"/>
      <c r="T434" s="326"/>
      <c r="U434" s="326"/>
      <c r="V434" s="326"/>
      <c r="W434" s="326"/>
      <c r="X434" s="326"/>
      <c r="Y434" s="326"/>
    </row>
    <row r="435">
      <c r="A435" s="326"/>
      <c r="B435" s="326"/>
      <c r="C435" s="326"/>
      <c r="D435" s="326"/>
      <c r="E435" s="326"/>
      <c r="F435" s="326"/>
      <c r="G435" s="326"/>
      <c r="H435" s="326"/>
      <c r="I435" s="326"/>
      <c r="J435" s="326"/>
      <c r="K435" s="326"/>
      <c r="L435" s="326"/>
      <c r="M435" s="326"/>
      <c r="N435" s="326"/>
      <c r="O435" s="326"/>
      <c r="P435" s="326"/>
      <c r="Q435" s="326"/>
      <c r="R435" s="326"/>
      <c r="S435" s="326"/>
      <c r="T435" s="326"/>
      <c r="U435" s="326"/>
      <c r="V435" s="326"/>
      <c r="W435" s="326"/>
      <c r="X435" s="326"/>
      <c r="Y435" s="326"/>
    </row>
    <row r="436">
      <c r="A436" s="326"/>
      <c r="B436" s="326"/>
      <c r="C436" s="326"/>
      <c r="D436" s="326"/>
      <c r="E436" s="326"/>
      <c r="F436" s="326"/>
      <c r="G436" s="326"/>
      <c r="H436" s="326"/>
      <c r="I436" s="326"/>
      <c r="J436" s="326"/>
      <c r="K436" s="326"/>
      <c r="L436" s="326"/>
      <c r="M436" s="326"/>
      <c r="N436" s="326"/>
      <c r="O436" s="326"/>
      <c r="P436" s="326"/>
      <c r="Q436" s="326"/>
      <c r="R436" s="326"/>
      <c r="S436" s="326"/>
      <c r="T436" s="326"/>
      <c r="U436" s="326"/>
      <c r="V436" s="326"/>
      <c r="W436" s="326"/>
      <c r="X436" s="326"/>
      <c r="Y436" s="326"/>
    </row>
    <row r="437">
      <c r="A437" s="326"/>
      <c r="B437" s="326"/>
      <c r="C437" s="326"/>
      <c r="D437" s="326"/>
      <c r="E437" s="326"/>
      <c r="F437" s="326"/>
      <c r="G437" s="326"/>
      <c r="H437" s="326"/>
      <c r="I437" s="326"/>
      <c r="J437" s="326"/>
      <c r="K437" s="326"/>
      <c r="L437" s="326"/>
      <c r="M437" s="326"/>
      <c r="N437" s="326"/>
      <c r="O437" s="326"/>
      <c r="P437" s="326"/>
      <c r="Q437" s="326"/>
      <c r="R437" s="326"/>
      <c r="S437" s="326"/>
      <c r="T437" s="326"/>
      <c r="U437" s="326"/>
      <c r="V437" s="326"/>
      <c r="W437" s="326"/>
      <c r="X437" s="326"/>
      <c r="Y437" s="326"/>
    </row>
    <row r="438">
      <c r="A438" s="326"/>
      <c r="B438" s="326"/>
      <c r="C438" s="326"/>
      <c r="D438" s="326"/>
      <c r="E438" s="326"/>
      <c r="F438" s="326"/>
      <c r="G438" s="326"/>
      <c r="H438" s="326"/>
      <c r="I438" s="326"/>
      <c r="J438" s="326"/>
      <c r="K438" s="326"/>
      <c r="L438" s="326"/>
      <c r="M438" s="326"/>
      <c r="N438" s="326"/>
      <c r="O438" s="326"/>
      <c r="P438" s="326"/>
      <c r="Q438" s="326"/>
      <c r="R438" s="326"/>
      <c r="S438" s="326"/>
      <c r="T438" s="326"/>
      <c r="U438" s="326"/>
      <c r="V438" s="326"/>
      <c r="W438" s="326"/>
      <c r="X438" s="326"/>
      <c r="Y438" s="326"/>
    </row>
    <row r="439">
      <c r="A439" s="326"/>
      <c r="B439" s="326"/>
      <c r="C439" s="326"/>
      <c r="D439" s="326"/>
      <c r="E439" s="326"/>
      <c r="F439" s="326"/>
      <c r="G439" s="326"/>
      <c r="H439" s="326"/>
      <c r="I439" s="326"/>
      <c r="J439" s="326"/>
      <c r="K439" s="326"/>
      <c r="L439" s="326"/>
      <c r="M439" s="326"/>
      <c r="N439" s="326"/>
      <c r="O439" s="326"/>
      <c r="P439" s="326"/>
      <c r="Q439" s="326"/>
      <c r="R439" s="326"/>
      <c r="S439" s="326"/>
      <c r="T439" s="326"/>
      <c r="U439" s="326"/>
      <c r="V439" s="326"/>
      <c r="W439" s="326"/>
      <c r="X439" s="326"/>
      <c r="Y439" s="326"/>
    </row>
    <row r="440">
      <c r="A440" s="326"/>
      <c r="B440" s="326"/>
      <c r="C440" s="326"/>
      <c r="D440" s="326"/>
      <c r="E440" s="326"/>
      <c r="F440" s="326"/>
      <c r="G440" s="326"/>
      <c r="H440" s="326"/>
      <c r="I440" s="326"/>
      <c r="J440" s="326"/>
      <c r="K440" s="326"/>
      <c r="L440" s="326"/>
      <c r="M440" s="326"/>
      <c r="N440" s="326"/>
      <c r="O440" s="326"/>
      <c r="P440" s="326"/>
      <c r="Q440" s="326"/>
      <c r="R440" s="326"/>
      <c r="S440" s="326"/>
      <c r="T440" s="326"/>
      <c r="U440" s="326"/>
      <c r="V440" s="326"/>
      <c r="W440" s="326"/>
      <c r="X440" s="326"/>
      <c r="Y440" s="326"/>
    </row>
    <row r="441">
      <c r="A441" s="326"/>
      <c r="B441" s="326"/>
      <c r="C441" s="326"/>
      <c r="D441" s="326"/>
      <c r="E441" s="326"/>
      <c r="F441" s="326"/>
      <c r="G441" s="326"/>
      <c r="H441" s="326"/>
      <c r="I441" s="326"/>
      <c r="J441" s="326"/>
      <c r="K441" s="326"/>
      <c r="L441" s="326"/>
      <c r="M441" s="326"/>
      <c r="N441" s="326"/>
      <c r="O441" s="326"/>
      <c r="P441" s="326"/>
      <c r="Q441" s="326"/>
      <c r="R441" s="326"/>
      <c r="S441" s="326"/>
      <c r="T441" s="326"/>
      <c r="U441" s="326"/>
      <c r="V441" s="326"/>
      <c r="W441" s="326"/>
      <c r="X441" s="326"/>
      <c r="Y441" s="326"/>
    </row>
    <row r="442">
      <c r="A442" s="326"/>
      <c r="B442" s="326"/>
      <c r="C442" s="326"/>
      <c r="D442" s="326"/>
      <c r="E442" s="326"/>
      <c r="F442" s="326"/>
      <c r="G442" s="326"/>
      <c r="H442" s="326"/>
      <c r="I442" s="326"/>
      <c r="J442" s="326"/>
      <c r="K442" s="326"/>
      <c r="L442" s="326"/>
      <c r="M442" s="326"/>
      <c r="N442" s="326"/>
      <c r="O442" s="326"/>
      <c r="P442" s="326"/>
      <c r="Q442" s="326"/>
      <c r="R442" s="326"/>
      <c r="S442" s="326"/>
      <c r="T442" s="326"/>
      <c r="U442" s="326"/>
      <c r="V442" s="326"/>
      <c r="W442" s="326"/>
      <c r="X442" s="326"/>
      <c r="Y442" s="326"/>
    </row>
    <row r="443">
      <c r="A443" s="326"/>
      <c r="B443" s="326"/>
      <c r="C443" s="326"/>
      <c r="D443" s="326"/>
      <c r="E443" s="326"/>
      <c r="F443" s="326"/>
      <c r="G443" s="326"/>
      <c r="H443" s="326"/>
      <c r="I443" s="326"/>
      <c r="J443" s="326"/>
      <c r="K443" s="326"/>
      <c r="L443" s="326"/>
      <c r="M443" s="326"/>
      <c r="N443" s="326"/>
      <c r="O443" s="326"/>
      <c r="P443" s="326"/>
      <c r="Q443" s="326"/>
      <c r="R443" s="326"/>
      <c r="S443" s="326"/>
      <c r="T443" s="326"/>
      <c r="U443" s="326"/>
      <c r="V443" s="326"/>
      <c r="W443" s="326"/>
      <c r="X443" s="326"/>
      <c r="Y443" s="326"/>
    </row>
    <row r="444">
      <c r="A444" s="326"/>
      <c r="B444" s="326"/>
      <c r="C444" s="326"/>
      <c r="D444" s="326"/>
      <c r="E444" s="326"/>
      <c r="F444" s="326"/>
      <c r="G444" s="326"/>
      <c r="H444" s="326"/>
      <c r="I444" s="326"/>
      <c r="J444" s="326"/>
      <c r="K444" s="326"/>
      <c r="L444" s="326"/>
      <c r="M444" s="326"/>
      <c r="N444" s="326"/>
      <c r="O444" s="326"/>
      <c r="P444" s="326"/>
      <c r="Q444" s="326"/>
      <c r="R444" s="326"/>
      <c r="S444" s="326"/>
      <c r="T444" s="326"/>
      <c r="U444" s="326"/>
      <c r="V444" s="326"/>
      <c r="W444" s="326"/>
      <c r="X444" s="326"/>
      <c r="Y444" s="326"/>
    </row>
    <row r="445">
      <c r="A445" s="326"/>
      <c r="B445" s="326"/>
      <c r="C445" s="326"/>
      <c r="D445" s="326"/>
      <c r="E445" s="326"/>
      <c r="F445" s="326"/>
      <c r="G445" s="326"/>
      <c r="H445" s="326"/>
      <c r="I445" s="326"/>
      <c r="J445" s="326"/>
      <c r="K445" s="326"/>
      <c r="L445" s="326"/>
      <c r="M445" s="326"/>
      <c r="N445" s="326"/>
      <c r="O445" s="326"/>
      <c r="P445" s="326"/>
      <c r="Q445" s="326"/>
      <c r="R445" s="326"/>
      <c r="S445" s="326"/>
      <c r="T445" s="326"/>
      <c r="U445" s="326"/>
      <c r="V445" s="326"/>
      <c r="W445" s="326"/>
      <c r="X445" s="326"/>
      <c r="Y445" s="326"/>
    </row>
    <row r="446">
      <c r="A446" s="326"/>
      <c r="B446" s="326"/>
      <c r="C446" s="326"/>
      <c r="D446" s="326"/>
      <c r="E446" s="326"/>
      <c r="F446" s="326"/>
      <c r="G446" s="326"/>
      <c r="H446" s="326"/>
      <c r="I446" s="326"/>
      <c r="J446" s="326"/>
      <c r="K446" s="326"/>
      <c r="L446" s="326"/>
      <c r="M446" s="326"/>
      <c r="N446" s="326"/>
      <c r="O446" s="326"/>
      <c r="P446" s="326"/>
      <c r="Q446" s="326"/>
      <c r="R446" s="326"/>
      <c r="S446" s="326"/>
      <c r="T446" s="326"/>
      <c r="U446" s="326"/>
      <c r="V446" s="326"/>
      <c r="W446" s="326"/>
      <c r="X446" s="326"/>
      <c r="Y446" s="326"/>
    </row>
    <row r="447">
      <c r="A447" s="326"/>
      <c r="B447" s="326"/>
      <c r="C447" s="326"/>
      <c r="D447" s="326"/>
      <c r="E447" s="326"/>
      <c r="F447" s="326"/>
      <c r="G447" s="326"/>
      <c r="H447" s="326"/>
      <c r="I447" s="326"/>
      <c r="J447" s="326"/>
      <c r="K447" s="326"/>
      <c r="L447" s="326"/>
      <c r="M447" s="326"/>
      <c r="N447" s="326"/>
      <c r="O447" s="326"/>
      <c r="P447" s="326"/>
      <c r="Q447" s="326"/>
      <c r="R447" s="326"/>
      <c r="S447" s="326"/>
      <c r="T447" s="326"/>
      <c r="U447" s="326"/>
      <c r="V447" s="326"/>
      <c r="W447" s="326"/>
      <c r="X447" s="326"/>
      <c r="Y447" s="326"/>
    </row>
    <row r="448">
      <c r="A448" s="326"/>
      <c r="B448" s="326"/>
      <c r="C448" s="326"/>
      <c r="D448" s="326"/>
      <c r="E448" s="326"/>
      <c r="F448" s="326"/>
      <c r="G448" s="326"/>
      <c r="H448" s="326"/>
      <c r="I448" s="326"/>
      <c r="J448" s="326"/>
      <c r="K448" s="326"/>
      <c r="L448" s="326"/>
      <c r="M448" s="326"/>
      <c r="N448" s="326"/>
      <c r="O448" s="326"/>
      <c r="P448" s="326"/>
      <c r="Q448" s="326"/>
      <c r="R448" s="326"/>
      <c r="S448" s="326"/>
      <c r="T448" s="326"/>
      <c r="U448" s="326"/>
      <c r="V448" s="326"/>
      <c r="W448" s="326"/>
      <c r="X448" s="326"/>
      <c r="Y448" s="326"/>
    </row>
    <row r="449">
      <c r="A449" s="326"/>
      <c r="B449" s="326"/>
      <c r="C449" s="326"/>
      <c r="D449" s="326"/>
      <c r="E449" s="326"/>
      <c r="F449" s="326"/>
      <c r="G449" s="326"/>
      <c r="H449" s="326"/>
      <c r="I449" s="326"/>
      <c r="J449" s="326"/>
      <c r="K449" s="326"/>
      <c r="L449" s="326"/>
      <c r="M449" s="326"/>
      <c r="N449" s="326"/>
      <c r="O449" s="326"/>
      <c r="P449" s="326"/>
      <c r="Q449" s="326"/>
      <c r="R449" s="326"/>
      <c r="S449" s="326"/>
      <c r="T449" s="326"/>
      <c r="U449" s="326"/>
      <c r="V449" s="326"/>
      <c r="W449" s="326"/>
      <c r="X449" s="326"/>
      <c r="Y449" s="326"/>
    </row>
    <row r="450">
      <c r="A450" s="326"/>
      <c r="B450" s="326"/>
      <c r="C450" s="326"/>
      <c r="D450" s="326"/>
      <c r="E450" s="326"/>
      <c r="F450" s="326"/>
      <c r="G450" s="326"/>
      <c r="H450" s="326"/>
      <c r="I450" s="326"/>
      <c r="J450" s="326"/>
      <c r="K450" s="326"/>
      <c r="L450" s="326"/>
      <c r="M450" s="326"/>
      <c r="N450" s="326"/>
      <c r="O450" s="326"/>
      <c r="P450" s="326"/>
      <c r="Q450" s="326"/>
      <c r="R450" s="326"/>
      <c r="S450" s="326"/>
      <c r="T450" s="326"/>
      <c r="U450" s="326"/>
      <c r="V450" s="326"/>
      <c r="W450" s="326"/>
      <c r="X450" s="326"/>
      <c r="Y450" s="326"/>
    </row>
    <row r="451">
      <c r="A451" s="326"/>
      <c r="B451" s="326"/>
      <c r="C451" s="326"/>
      <c r="D451" s="326"/>
      <c r="E451" s="326"/>
      <c r="F451" s="326"/>
      <c r="G451" s="326"/>
      <c r="H451" s="326"/>
      <c r="I451" s="326"/>
      <c r="J451" s="326"/>
      <c r="K451" s="326"/>
      <c r="L451" s="326"/>
      <c r="M451" s="326"/>
      <c r="N451" s="326"/>
      <c r="O451" s="326"/>
      <c r="P451" s="326"/>
      <c r="Q451" s="326"/>
      <c r="R451" s="326"/>
      <c r="S451" s="326"/>
      <c r="T451" s="326"/>
      <c r="U451" s="326"/>
      <c r="V451" s="326"/>
      <c r="W451" s="326"/>
      <c r="X451" s="326"/>
      <c r="Y451" s="326"/>
    </row>
    <row r="452">
      <c r="A452" s="326"/>
      <c r="B452" s="326"/>
      <c r="C452" s="326"/>
      <c r="D452" s="326"/>
      <c r="E452" s="326"/>
      <c r="F452" s="326"/>
      <c r="G452" s="326"/>
      <c r="H452" s="326"/>
      <c r="I452" s="326"/>
      <c r="J452" s="326"/>
      <c r="K452" s="326"/>
      <c r="L452" s="326"/>
      <c r="M452" s="326"/>
      <c r="N452" s="326"/>
      <c r="O452" s="326"/>
      <c r="P452" s="326"/>
      <c r="Q452" s="326"/>
      <c r="R452" s="326"/>
      <c r="S452" s="326"/>
      <c r="T452" s="326"/>
      <c r="U452" s="326"/>
      <c r="V452" s="326"/>
      <c r="W452" s="326"/>
      <c r="X452" s="326"/>
      <c r="Y452" s="326"/>
    </row>
    <row r="453">
      <c r="A453" s="326"/>
      <c r="B453" s="326"/>
      <c r="C453" s="326"/>
      <c r="D453" s="326"/>
      <c r="E453" s="326"/>
      <c r="F453" s="326"/>
      <c r="G453" s="326"/>
      <c r="H453" s="326"/>
      <c r="I453" s="326"/>
      <c r="J453" s="326"/>
      <c r="K453" s="326"/>
      <c r="L453" s="326"/>
      <c r="M453" s="326"/>
      <c r="N453" s="326"/>
      <c r="O453" s="326"/>
      <c r="P453" s="326"/>
      <c r="Q453" s="326"/>
      <c r="R453" s="326"/>
      <c r="S453" s="326"/>
      <c r="T453" s="326"/>
      <c r="U453" s="326"/>
      <c r="V453" s="326"/>
      <c r="W453" s="326"/>
      <c r="X453" s="326"/>
      <c r="Y453" s="326"/>
    </row>
    <row r="454">
      <c r="A454" s="326"/>
      <c r="B454" s="326"/>
      <c r="C454" s="326"/>
      <c r="D454" s="326"/>
      <c r="E454" s="326"/>
      <c r="F454" s="326"/>
      <c r="G454" s="326"/>
      <c r="H454" s="326"/>
      <c r="I454" s="326"/>
      <c r="J454" s="326"/>
      <c r="K454" s="326"/>
      <c r="L454" s="326"/>
      <c r="M454" s="326"/>
      <c r="N454" s="326"/>
      <c r="O454" s="326"/>
      <c r="P454" s="326"/>
      <c r="Q454" s="326"/>
      <c r="R454" s="326"/>
      <c r="S454" s="326"/>
      <c r="T454" s="326"/>
      <c r="U454" s="326"/>
      <c r="V454" s="326"/>
      <c r="W454" s="326"/>
      <c r="X454" s="326"/>
      <c r="Y454" s="326"/>
    </row>
    <row r="455">
      <c r="A455" s="326"/>
      <c r="B455" s="326"/>
      <c r="C455" s="326"/>
      <c r="D455" s="326"/>
      <c r="E455" s="326"/>
      <c r="F455" s="326"/>
      <c r="G455" s="326"/>
      <c r="H455" s="326"/>
      <c r="I455" s="326"/>
      <c r="J455" s="326"/>
      <c r="K455" s="326"/>
      <c r="L455" s="326"/>
      <c r="M455" s="326"/>
      <c r="N455" s="326"/>
      <c r="O455" s="326"/>
      <c r="P455" s="326"/>
      <c r="Q455" s="326"/>
      <c r="R455" s="326"/>
      <c r="S455" s="326"/>
      <c r="T455" s="326"/>
      <c r="U455" s="326"/>
      <c r="V455" s="326"/>
      <c r="W455" s="326"/>
      <c r="X455" s="326"/>
      <c r="Y455" s="326"/>
    </row>
    <row r="456">
      <c r="A456" s="326"/>
      <c r="B456" s="326"/>
      <c r="C456" s="326"/>
      <c r="D456" s="326"/>
      <c r="E456" s="326"/>
      <c r="F456" s="326"/>
      <c r="G456" s="326"/>
      <c r="H456" s="326"/>
      <c r="I456" s="326"/>
      <c r="J456" s="326"/>
      <c r="K456" s="326"/>
      <c r="L456" s="326"/>
      <c r="M456" s="326"/>
      <c r="N456" s="326"/>
      <c r="O456" s="326"/>
      <c r="P456" s="326"/>
      <c r="Q456" s="326"/>
      <c r="R456" s="326"/>
      <c r="S456" s="326"/>
      <c r="T456" s="326"/>
      <c r="U456" s="326"/>
      <c r="V456" s="326"/>
      <c r="W456" s="326"/>
      <c r="X456" s="326"/>
      <c r="Y456" s="326"/>
    </row>
    <row r="457">
      <c r="A457" s="326"/>
      <c r="B457" s="326"/>
      <c r="C457" s="326"/>
      <c r="D457" s="326"/>
      <c r="E457" s="326"/>
      <c r="F457" s="326"/>
      <c r="G457" s="326"/>
      <c r="H457" s="326"/>
      <c r="I457" s="326"/>
      <c r="J457" s="326"/>
      <c r="K457" s="326"/>
      <c r="L457" s="326"/>
      <c r="M457" s="326"/>
      <c r="N457" s="326"/>
      <c r="O457" s="326"/>
      <c r="P457" s="326"/>
      <c r="Q457" s="326"/>
      <c r="R457" s="326"/>
      <c r="S457" s="326"/>
      <c r="T457" s="326"/>
      <c r="U457" s="326"/>
      <c r="V457" s="326"/>
      <c r="W457" s="326"/>
      <c r="X457" s="326"/>
      <c r="Y457" s="326"/>
    </row>
    <row r="458">
      <c r="A458" s="326"/>
      <c r="B458" s="326"/>
      <c r="C458" s="326"/>
      <c r="D458" s="326"/>
      <c r="E458" s="326"/>
      <c r="F458" s="326"/>
      <c r="G458" s="326"/>
      <c r="H458" s="326"/>
      <c r="I458" s="326"/>
      <c r="J458" s="326"/>
      <c r="K458" s="326"/>
      <c r="L458" s="326"/>
      <c r="M458" s="326"/>
      <c r="N458" s="326"/>
      <c r="O458" s="326"/>
      <c r="P458" s="326"/>
      <c r="Q458" s="326"/>
      <c r="R458" s="326"/>
      <c r="S458" s="326"/>
      <c r="T458" s="326"/>
      <c r="U458" s="326"/>
      <c r="V458" s="326"/>
      <c r="W458" s="326"/>
      <c r="X458" s="326"/>
      <c r="Y458" s="326"/>
    </row>
    <row r="459">
      <c r="A459" s="326"/>
      <c r="B459" s="326"/>
      <c r="C459" s="326"/>
      <c r="D459" s="326"/>
      <c r="E459" s="326"/>
      <c r="F459" s="326"/>
      <c r="G459" s="326"/>
      <c r="H459" s="326"/>
      <c r="I459" s="326"/>
      <c r="J459" s="326"/>
      <c r="K459" s="326"/>
      <c r="L459" s="326"/>
      <c r="M459" s="326"/>
      <c r="N459" s="326"/>
      <c r="O459" s="326"/>
      <c r="P459" s="326"/>
      <c r="Q459" s="326"/>
      <c r="R459" s="326"/>
      <c r="S459" s="326"/>
      <c r="T459" s="326"/>
      <c r="U459" s="326"/>
      <c r="V459" s="326"/>
      <c r="W459" s="326"/>
      <c r="X459" s="326"/>
      <c r="Y459" s="326"/>
    </row>
    <row r="460">
      <c r="A460" s="326"/>
      <c r="B460" s="326"/>
      <c r="C460" s="326"/>
      <c r="D460" s="326"/>
      <c r="E460" s="326"/>
      <c r="F460" s="326"/>
      <c r="G460" s="326"/>
      <c r="H460" s="326"/>
      <c r="I460" s="326"/>
      <c r="J460" s="326"/>
      <c r="K460" s="326"/>
      <c r="L460" s="326"/>
      <c r="M460" s="326"/>
      <c r="N460" s="326"/>
      <c r="O460" s="326"/>
      <c r="P460" s="326"/>
      <c r="Q460" s="326"/>
      <c r="R460" s="326"/>
      <c r="S460" s="326"/>
      <c r="T460" s="326"/>
      <c r="U460" s="326"/>
      <c r="V460" s="326"/>
      <c r="W460" s="326"/>
      <c r="X460" s="326"/>
      <c r="Y460" s="326"/>
    </row>
    <row r="461">
      <c r="A461" s="326"/>
      <c r="B461" s="326"/>
      <c r="C461" s="326"/>
      <c r="D461" s="326"/>
      <c r="E461" s="326"/>
      <c r="F461" s="326"/>
      <c r="G461" s="326"/>
      <c r="H461" s="326"/>
      <c r="I461" s="326"/>
      <c r="J461" s="326"/>
      <c r="K461" s="326"/>
      <c r="L461" s="326"/>
      <c r="M461" s="326"/>
      <c r="N461" s="326"/>
      <c r="O461" s="326"/>
      <c r="P461" s="326"/>
      <c r="Q461" s="326"/>
      <c r="R461" s="326"/>
      <c r="S461" s="326"/>
      <c r="T461" s="326"/>
      <c r="U461" s="326"/>
      <c r="V461" s="326"/>
      <c r="W461" s="326"/>
      <c r="X461" s="326"/>
      <c r="Y461" s="326"/>
    </row>
    <row r="462">
      <c r="A462" s="326"/>
      <c r="B462" s="326"/>
      <c r="C462" s="326"/>
      <c r="D462" s="326"/>
      <c r="E462" s="326"/>
      <c r="F462" s="326"/>
      <c r="G462" s="326"/>
      <c r="H462" s="326"/>
      <c r="I462" s="326"/>
      <c r="J462" s="326"/>
      <c r="K462" s="326"/>
      <c r="L462" s="326"/>
      <c r="M462" s="326"/>
      <c r="N462" s="326"/>
      <c r="O462" s="326"/>
      <c r="P462" s="326"/>
      <c r="Q462" s="326"/>
      <c r="R462" s="326"/>
      <c r="S462" s="326"/>
      <c r="T462" s="326"/>
      <c r="U462" s="326"/>
      <c r="V462" s="326"/>
      <c r="W462" s="326"/>
      <c r="X462" s="326"/>
      <c r="Y462" s="326"/>
    </row>
    <row r="463">
      <c r="A463" s="326"/>
      <c r="B463" s="326"/>
      <c r="C463" s="326"/>
      <c r="D463" s="326"/>
      <c r="E463" s="326"/>
      <c r="F463" s="326"/>
      <c r="G463" s="326"/>
      <c r="H463" s="326"/>
      <c r="I463" s="326"/>
      <c r="J463" s="326"/>
      <c r="K463" s="326"/>
      <c r="L463" s="326"/>
      <c r="M463" s="326"/>
      <c r="N463" s="326"/>
      <c r="O463" s="326"/>
      <c r="P463" s="326"/>
      <c r="Q463" s="326"/>
      <c r="R463" s="326"/>
      <c r="S463" s="326"/>
      <c r="T463" s="326"/>
      <c r="U463" s="326"/>
      <c r="V463" s="326"/>
      <c r="W463" s="326"/>
      <c r="X463" s="326"/>
      <c r="Y463" s="326"/>
    </row>
    <row r="464">
      <c r="A464" s="326"/>
      <c r="B464" s="326"/>
      <c r="C464" s="326"/>
      <c r="D464" s="326"/>
      <c r="E464" s="326"/>
      <c r="F464" s="326"/>
      <c r="G464" s="326"/>
      <c r="H464" s="326"/>
      <c r="I464" s="326"/>
      <c r="J464" s="326"/>
      <c r="K464" s="326"/>
      <c r="L464" s="326"/>
      <c r="M464" s="326"/>
      <c r="N464" s="326"/>
      <c r="O464" s="326"/>
      <c r="P464" s="326"/>
      <c r="Q464" s="326"/>
      <c r="R464" s="326"/>
      <c r="S464" s="326"/>
      <c r="T464" s="326"/>
      <c r="U464" s="326"/>
      <c r="V464" s="326"/>
      <c r="W464" s="326"/>
      <c r="X464" s="326"/>
      <c r="Y464" s="326"/>
    </row>
    <row r="465">
      <c r="A465" s="326"/>
      <c r="B465" s="326"/>
      <c r="C465" s="326"/>
      <c r="D465" s="326"/>
      <c r="E465" s="326"/>
      <c r="F465" s="326"/>
      <c r="G465" s="326"/>
      <c r="H465" s="326"/>
      <c r="I465" s="326"/>
      <c r="J465" s="326"/>
      <c r="K465" s="326"/>
      <c r="L465" s="326"/>
      <c r="M465" s="326"/>
      <c r="N465" s="326"/>
      <c r="O465" s="326"/>
      <c r="P465" s="326"/>
      <c r="Q465" s="326"/>
      <c r="R465" s="326"/>
      <c r="S465" s="326"/>
      <c r="T465" s="326"/>
      <c r="U465" s="326"/>
      <c r="V465" s="326"/>
      <c r="W465" s="326"/>
      <c r="X465" s="326"/>
      <c r="Y465" s="326"/>
    </row>
    <row r="466">
      <c r="A466" s="326"/>
      <c r="B466" s="326"/>
      <c r="C466" s="326"/>
      <c r="D466" s="326"/>
      <c r="E466" s="326"/>
      <c r="F466" s="326"/>
      <c r="G466" s="326"/>
      <c r="H466" s="326"/>
      <c r="I466" s="326"/>
      <c r="J466" s="326"/>
      <c r="K466" s="326"/>
      <c r="L466" s="326"/>
      <c r="M466" s="326"/>
      <c r="N466" s="326"/>
      <c r="O466" s="326"/>
      <c r="P466" s="326"/>
      <c r="Q466" s="326"/>
      <c r="R466" s="326"/>
      <c r="S466" s="326"/>
      <c r="T466" s="326"/>
      <c r="U466" s="326"/>
      <c r="V466" s="326"/>
      <c r="W466" s="326"/>
      <c r="X466" s="326"/>
      <c r="Y466" s="326"/>
    </row>
    <row r="467">
      <c r="A467" s="326"/>
      <c r="B467" s="326"/>
      <c r="C467" s="326"/>
      <c r="D467" s="326"/>
      <c r="E467" s="326"/>
      <c r="F467" s="326"/>
      <c r="G467" s="326"/>
      <c r="H467" s="326"/>
      <c r="I467" s="326"/>
      <c r="J467" s="326"/>
      <c r="K467" s="326"/>
      <c r="L467" s="326"/>
      <c r="M467" s="326"/>
      <c r="N467" s="326"/>
      <c r="O467" s="326"/>
      <c r="P467" s="326"/>
      <c r="Q467" s="326"/>
      <c r="R467" s="326"/>
      <c r="S467" s="326"/>
      <c r="T467" s="326"/>
      <c r="U467" s="326"/>
      <c r="V467" s="326"/>
      <c r="W467" s="326"/>
      <c r="X467" s="326"/>
      <c r="Y467" s="326"/>
    </row>
    <row r="468">
      <c r="A468" s="326"/>
      <c r="B468" s="326"/>
      <c r="C468" s="326"/>
      <c r="D468" s="326"/>
      <c r="E468" s="326"/>
      <c r="F468" s="326"/>
      <c r="G468" s="326"/>
      <c r="H468" s="326"/>
      <c r="I468" s="326"/>
      <c r="J468" s="326"/>
      <c r="K468" s="326"/>
      <c r="L468" s="326"/>
      <c r="M468" s="326"/>
      <c r="N468" s="326"/>
      <c r="O468" s="326"/>
      <c r="P468" s="326"/>
      <c r="Q468" s="326"/>
      <c r="R468" s="326"/>
      <c r="S468" s="326"/>
      <c r="T468" s="326"/>
      <c r="U468" s="326"/>
      <c r="V468" s="326"/>
      <c r="W468" s="326"/>
      <c r="X468" s="326"/>
      <c r="Y468" s="326"/>
    </row>
    <row r="469">
      <c r="A469" s="326"/>
      <c r="B469" s="326"/>
      <c r="C469" s="326"/>
      <c r="D469" s="326"/>
      <c r="E469" s="326"/>
      <c r="F469" s="326"/>
      <c r="G469" s="326"/>
      <c r="H469" s="326"/>
      <c r="I469" s="326"/>
      <c r="J469" s="326"/>
      <c r="K469" s="326"/>
      <c r="L469" s="326"/>
      <c r="M469" s="326"/>
      <c r="N469" s="326"/>
      <c r="O469" s="326"/>
      <c r="P469" s="326"/>
      <c r="Q469" s="326"/>
      <c r="R469" s="326"/>
      <c r="S469" s="326"/>
      <c r="T469" s="326"/>
      <c r="U469" s="326"/>
      <c r="V469" s="326"/>
      <c r="W469" s="326"/>
      <c r="X469" s="326"/>
      <c r="Y469" s="326"/>
    </row>
    <row r="470">
      <c r="A470" s="326"/>
      <c r="B470" s="326"/>
      <c r="C470" s="326"/>
      <c r="D470" s="326"/>
      <c r="E470" s="326"/>
      <c r="F470" s="326"/>
      <c r="G470" s="326"/>
      <c r="H470" s="326"/>
      <c r="I470" s="326"/>
      <c r="J470" s="326"/>
      <c r="K470" s="326"/>
      <c r="L470" s="326"/>
      <c r="M470" s="326"/>
      <c r="N470" s="326"/>
      <c r="O470" s="326"/>
      <c r="P470" s="326"/>
      <c r="Q470" s="326"/>
      <c r="R470" s="326"/>
      <c r="S470" s="326"/>
      <c r="T470" s="326"/>
      <c r="U470" s="326"/>
      <c r="V470" s="326"/>
      <c r="W470" s="326"/>
      <c r="X470" s="326"/>
      <c r="Y470" s="326"/>
    </row>
    <row r="471">
      <c r="A471" s="326"/>
      <c r="B471" s="326"/>
      <c r="C471" s="326"/>
      <c r="D471" s="326"/>
      <c r="E471" s="326"/>
      <c r="F471" s="326"/>
      <c r="G471" s="326"/>
      <c r="H471" s="326"/>
      <c r="I471" s="326"/>
      <c r="J471" s="326"/>
      <c r="K471" s="326"/>
      <c r="L471" s="326"/>
      <c r="M471" s="326"/>
      <c r="N471" s="326"/>
      <c r="O471" s="326"/>
      <c r="P471" s="326"/>
      <c r="Q471" s="326"/>
      <c r="R471" s="326"/>
      <c r="S471" s="326"/>
      <c r="T471" s="326"/>
      <c r="U471" s="326"/>
      <c r="V471" s="326"/>
      <c r="W471" s="326"/>
      <c r="X471" s="326"/>
      <c r="Y471" s="326"/>
    </row>
    <row r="472">
      <c r="A472" s="326"/>
      <c r="B472" s="326"/>
      <c r="C472" s="326"/>
      <c r="D472" s="326"/>
      <c r="E472" s="326"/>
      <c r="F472" s="326"/>
      <c r="G472" s="326"/>
      <c r="H472" s="326"/>
      <c r="I472" s="326"/>
      <c r="J472" s="326"/>
      <c r="K472" s="326"/>
      <c r="L472" s="326"/>
      <c r="M472" s="326"/>
      <c r="N472" s="326"/>
      <c r="O472" s="326"/>
      <c r="P472" s="326"/>
      <c r="Q472" s="326"/>
      <c r="R472" s="326"/>
      <c r="S472" s="326"/>
      <c r="T472" s="326"/>
      <c r="U472" s="326"/>
      <c r="V472" s="326"/>
      <c r="W472" s="326"/>
      <c r="X472" s="326"/>
      <c r="Y472" s="326"/>
    </row>
    <row r="473">
      <c r="A473" s="326"/>
      <c r="B473" s="326"/>
      <c r="C473" s="326"/>
      <c r="D473" s="326"/>
      <c r="E473" s="326"/>
      <c r="F473" s="326"/>
      <c r="G473" s="326"/>
      <c r="H473" s="326"/>
      <c r="I473" s="326"/>
      <c r="J473" s="326"/>
      <c r="K473" s="326"/>
      <c r="L473" s="326"/>
      <c r="M473" s="326"/>
      <c r="N473" s="326"/>
      <c r="O473" s="326"/>
      <c r="P473" s="326"/>
      <c r="Q473" s="326"/>
      <c r="R473" s="326"/>
      <c r="S473" s="326"/>
      <c r="T473" s="326"/>
      <c r="U473" s="326"/>
      <c r="V473" s="326"/>
      <c r="W473" s="326"/>
      <c r="X473" s="326"/>
      <c r="Y473" s="326"/>
    </row>
    <row r="474">
      <c r="A474" s="326"/>
      <c r="B474" s="326"/>
      <c r="C474" s="326"/>
      <c r="D474" s="326"/>
      <c r="E474" s="326"/>
      <c r="F474" s="326"/>
      <c r="G474" s="326"/>
      <c r="H474" s="326"/>
      <c r="I474" s="326"/>
      <c r="J474" s="326"/>
      <c r="K474" s="326"/>
      <c r="L474" s="326"/>
      <c r="M474" s="326"/>
      <c r="N474" s="326"/>
      <c r="O474" s="326"/>
      <c r="P474" s="326"/>
      <c r="Q474" s="326"/>
      <c r="R474" s="326"/>
      <c r="S474" s="326"/>
      <c r="T474" s="326"/>
      <c r="U474" s="326"/>
      <c r="V474" s="326"/>
      <c r="W474" s="326"/>
      <c r="X474" s="326"/>
      <c r="Y474" s="326"/>
    </row>
    <row r="475">
      <c r="A475" s="326"/>
      <c r="B475" s="326"/>
      <c r="C475" s="326"/>
      <c r="D475" s="326"/>
      <c r="E475" s="326"/>
      <c r="F475" s="326"/>
      <c r="G475" s="326"/>
      <c r="H475" s="326"/>
      <c r="I475" s="326"/>
      <c r="J475" s="326"/>
      <c r="K475" s="326"/>
      <c r="L475" s="326"/>
      <c r="M475" s="326"/>
      <c r="N475" s="326"/>
      <c r="O475" s="326"/>
      <c r="P475" s="326"/>
      <c r="Q475" s="326"/>
      <c r="R475" s="326"/>
      <c r="S475" s="326"/>
      <c r="T475" s="326"/>
      <c r="U475" s="326"/>
      <c r="V475" s="326"/>
      <c r="W475" s="326"/>
      <c r="X475" s="326"/>
      <c r="Y475" s="326"/>
    </row>
    <row r="476">
      <c r="A476" s="326"/>
      <c r="B476" s="326"/>
      <c r="C476" s="326"/>
      <c r="D476" s="326"/>
      <c r="E476" s="326"/>
      <c r="F476" s="326"/>
      <c r="G476" s="326"/>
      <c r="H476" s="326"/>
      <c r="I476" s="326"/>
      <c r="J476" s="326"/>
      <c r="K476" s="326"/>
      <c r="L476" s="326"/>
      <c r="M476" s="326"/>
      <c r="N476" s="326"/>
      <c r="O476" s="326"/>
      <c r="P476" s="326"/>
      <c r="Q476" s="326"/>
      <c r="R476" s="326"/>
      <c r="S476" s="326"/>
      <c r="T476" s="326"/>
      <c r="U476" s="326"/>
      <c r="V476" s="326"/>
      <c r="W476" s="326"/>
      <c r="X476" s="326"/>
      <c r="Y476" s="326"/>
    </row>
    <row r="477">
      <c r="A477" s="326"/>
      <c r="B477" s="326"/>
      <c r="C477" s="326"/>
      <c r="D477" s="326"/>
      <c r="E477" s="326"/>
      <c r="F477" s="326"/>
      <c r="G477" s="326"/>
      <c r="H477" s="326"/>
      <c r="I477" s="326"/>
      <c r="J477" s="326"/>
      <c r="K477" s="326"/>
      <c r="L477" s="326"/>
      <c r="M477" s="326"/>
      <c r="N477" s="326"/>
      <c r="O477" s="326"/>
      <c r="P477" s="326"/>
      <c r="Q477" s="326"/>
      <c r="R477" s="326"/>
      <c r="S477" s="326"/>
      <c r="T477" s="326"/>
      <c r="U477" s="326"/>
      <c r="V477" s="326"/>
      <c r="W477" s="326"/>
      <c r="X477" s="326"/>
      <c r="Y477" s="326"/>
    </row>
    <row r="478">
      <c r="A478" s="326"/>
      <c r="B478" s="326"/>
      <c r="C478" s="326"/>
      <c r="D478" s="326"/>
      <c r="E478" s="326"/>
      <c r="F478" s="326"/>
      <c r="G478" s="326"/>
      <c r="H478" s="326"/>
      <c r="I478" s="326"/>
      <c r="J478" s="326"/>
      <c r="K478" s="326"/>
      <c r="L478" s="326"/>
      <c r="M478" s="326"/>
      <c r="N478" s="326"/>
      <c r="O478" s="326"/>
      <c r="P478" s="326"/>
      <c r="Q478" s="326"/>
      <c r="R478" s="326"/>
      <c r="S478" s="326"/>
      <c r="T478" s="326"/>
      <c r="U478" s="326"/>
      <c r="V478" s="326"/>
      <c r="W478" s="326"/>
      <c r="X478" s="326"/>
      <c r="Y478" s="326"/>
    </row>
    <row r="479">
      <c r="A479" s="326"/>
      <c r="B479" s="326"/>
      <c r="C479" s="326"/>
      <c r="D479" s="326"/>
      <c r="E479" s="326"/>
      <c r="F479" s="326"/>
      <c r="G479" s="326"/>
      <c r="H479" s="326"/>
      <c r="I479" s="326"/>
      <c r="J479" s="326"/>
      <c r="K479" s="326"/>
      <c r="L479" s="326"/>
      <c r="M479" s="326"/>
      <c r="N479" s="326"/>
      <c r="O479" s="326"/>
      <c r="P479" s="326"/>
      <c r="Q479" s="326"/>
      <c r="R479" s="326"/>
      <c r="S479" s="326"/>
      <c r="T479" s="326"/>
      <c r="U479" s="326"/>
      <c r="V479" s="326"/>
      <c r="W479" s="326"/>
      <c r="X479" s="326"/>
      <c r="Y479" s="326"/>
    </row>
    <row r="480">
      <c r="A480" s="326"/>
      <c r="B480" s="326"/>
      <c r="C480" s="326"/>
      <c r="D480" s="326"/>
      <c r="E480" s="326"/>
      <c r="F480" s="326"/>
      <c r="G480" s="326"/>
      <c r="H480" s="326"/>
      <c r="I480" s="326"/>
      <c r="J480" s="326"/>
      <c r="K480" s="326"/>
      <c r="L480" s="326"/>
      <c r="M480" s="326"/>
      <c r="N480" s="326"/>
      <c r="O480" s="326"/>
      <c r="P480" s="326"/>
      <c r="Q480" s="326"/>
      <c r="R480" s="326"/>
      <c r="S480" s="326"/>
      <c r="T480" s="326"/>
      <c r="U480" s="326"/>
      <c r="V480" s="326"/>
      <c r="W480" s="326"/>
      <c r="X480" s="326"/>
      <c r="Y480" s="326"/>
    </row>
    <row r="481">
      <c r="A481" s="326"/>
      <c r="B481" s="326"/>
      <c r="C481" s="326"/>
      <c r="D481" s="326"/>
      <c r="E481" s="326"/>
      <c r="F481" s="326"/>
      <c r="G481" s="326"/>
      <c r="H481" s="326"/>
      <c r="I481" s="326"/>
      <c r="J481" s="326"/>
      <c r="K481" s="326"/>
      <c r="L481" s="326"/>
      <c r="M481" s="326"/>
      <c r="N481" s="326"/>
      <c r="O481" s="326"/>
      <c r="P481" s="326"/>
      <c r="Q481" s="326"/>
      <c r="R481" s="326"/>
      <c r="S481" s="326"/>
      <c r="T481" s="326"/>
      <c r="U481" s="326"/>
      <c r="V481" s="326"/>
      <c r="W481" s="326"/>
      <c r="X481" s="326"/>
      <c r="Y481" s="326"/>
    </row>
    <row r="482">
      <c r="A482" s="326"/>
      <c r="B482" s="326"/>
      <c r="C482" s="326"/>
      <c r="D482" s="326"/>
      <c r="E482" s="326"/>
      <c r="F482" s="326"/>
      <c r="G482" s="326"/>
      <c r="H482" s="326"/>
      <c r="I482" s="326"/>
      <c r="J482" s="326"/>
      <c r="K482" s="326"/>
      <c r="L482" s="326"/>
      <c r="M482" s="326"/>
      <c r="N482" s="326"/>
      <c r="O482" s="326"/>
      <c r="P482" s="326"/>
      <c r="Q482" s="326"/>
      <c r="R482" s="326"/>
      <c r="S482" s="326"/>
      <c r="T482" s="326"/>
      <c r="U482" s="326"/>
      <c r="V482" s="326"/>
      <c r="W482" s="326"/>
      <c r="X482" s="326"/>
      <c r="Y482" s="326"/>
    </row>
    <row r="483">
      <c r="A483" s="326"/>
      <c r="B483" s="326"/>
      <c r="C483" s="326"/>
      <c r="D483" s="326"/>
      <c r="E483" s="326"/>
      <c r="F483" s="326"/>
      <c r="G483" s="326"/>
      <c r="H483" s="326"/>
      <c r="I483" s="326"/>
      <c r="J483" s="326"/>
      <c r="K483" s="326"/>
      <c r="L483" s="326"/>
      <c r="M483" s="326"/>
      <c r="N483" s="326"/>
      <c r="O483" s="326"/>
      <c r="P483" s="326"/>
      <c r="Q483" s="326"/>
      <c r="R483" s="326"/>
      <c r="S483" s="326"/>
      <c r="T483" s="326"/>
      <c r="U483" s="326"/>
      <c r="V483" s="326"/>
      <c r="W483" s="326"/>
      <c r="X483" s="326"/>
      <c r="Y483" s="326"/>
    </row>
    <row r="484">
      <c r="A484" s="326"/>
      <c r="B484" s="326"/>
      <c r="C484" s="326"/>
      <c r="D484" s="326"/>
      <c r="E484" s="326"/>
      <c r="F484" s="326"/>
      <c r="G484" s="326"/>
      <c r="H484" s="326"/>
      <c r="I484" s="326"/>
      <c r="J484" s="326"/>
      <c r="K484" s="326"/>
      <c r="L484" s="326"/>
      <c r="M484" s="326"/>
      <c r="N484" s="326"/>
      <c r="O484" s="326"/>
      <c r="P484" s="326"/>
      <c r="Q484" s="326"/>
      <c r="R484" s="326"/>
      <c r="S484" s="326"/>
      <c r="T484" s="326"/>
      <c r="U484" s="326"/>
      <c r="V484" s="326"/>
      <c r="W484" s="326"/>
      <c r="X484" s="326"/>
      <c r="Y484" s="326"/>
    </row>
    <row r="485">
      <c r="A485" s="326"/>
      <c r="B485" s="326"/>
      <c r="C485" s="326"/>
      <c r="D485" s="326"/>
      <c r="E485" s="326"/>
      <c r="F485" s="326"/>
      <c r="G485" s="326"/>
      <c r="H485" s="326"/>
      <c r="I485" s="326"/>
      <c r="J485" s="326"/>
      <c r="K485" s="326"/>
      <c r="L485" s="326"/>
      <c r="M485" s="326"/>
      <c r="N485" s="326"/>
      <c r="O485" s="326"/>
      <c r="P485" s="326"/>
      <c r="Q485" s="326"/>
      <c r="R485" s="326"/>
      <c r="S485" s="326"/>
      <c r="T485" s="326"/>
      <c r="U485" s="326"/>
      <c r="V485" s="326"/>
      <c r="W485" s="326"/>
      <c r="X485" s="326"/>
      <c r="Y485" s="326"/>
    </row>
    <row r="486">
      <c r="A486" s="326"/>
      <c r="B486" s="326"/>
      <c r="C486" s="326"/>
      <c r="D486" s="326"/>
      <c r="E486" s="326"/>
      <c r="F486" s="326"/>
      <c r="G486" s="326"/>
      <c r="H486" s="326"/>
      <c r="I486" s="326"/>
      <c r="J486" s="326"/>
      <c r="K486" s="326"/>
      <c r="L486" s="326"/>
      <c r="M486" s="326"/>
      <c r="N486" s="326"/>
      <c r="O486" s="326"/>
      <c r="P486" s="326"/>
      <c r="Q486" s="326"/>
      <c r="R486" s="326"/>
      <c r="S486" s="326"/>
      <c r="T486" s="326"/>
      <c r="U486" s="326"/>
      <c r="V486" s="326"/>
      <c r="W486" s="326"/>
      <c r="X486" s="326"/>
      <c r="Y486" s="326"/>
    </row>
    <row r="487">
      <c r="A487" s="326"/>
      <c r="B487" s="326"/>
      <c r="C487" s="326"/>
      <c r="D487" s="326"/>
      <c r="E487" s="326"/>
      <c r="F487" s="326"/>
      <c r="G487" s="326"/>
      <c r="H487" s="326"/>
      <c r="I487" s="326"/>
      <c r="J487" s="326"/>
      <c r="K487" s="326"/>
      <c r="L487" s="326"/>
      <c r="M487" s="326"/>
      <c r="N487" s="326"/>
      <c r="O487" s="326"/>
      <c r="P487" s="326"/>
      <c r="Q487" s="326"/>
      <c r="R487" s="326"/>
      <c r="S487" s="326"/>
      <c r="T487" s="326"/>
      <c r="U487" s="326"/>
      <c r="V487" s="326"/>
      <c r="W487" s="326"/>
      <c r="X487" s="326"/>
      <c r="Y487" s="326"/>
    </row>
    <row r="488">
      <c r="A488" s="326"/>
      <c r="B488" s="326"/>
      <c r="C488" s="326"/>
      <c r="D488" s="326"/>
      <c r="E488" s="326"/>
      <c r="F488" s="326"/>
      <c r="G488" s="326"/>
      <c r="H488" s="326"/>
      <c r="I488" s="326"/>
      <c r="J488" s="326"/>
      <c r="K488" s="326"/>
      <c r="L488" s="326"/>
      <c r="M488" s="326"/>
      <c r="N488" s="326"/>
      <c r="O488" s="326"/>
      <c r="P488" s="326"/>
      <c r="Q488" s="326"/>
      <c r="R488" s="326"/>
      <c r="S488" s="326"/>
      <c r="T488" s="326"/>
      <c r="U488" s="326"/>
      <c r="V488" s="326"/>
      <c r="W488" s="326"/>
      <c r="X488" s="326"/>
      <c r="Y488" s="326"/>
    </row>
    <row r="489">
      <c r="A489" s="326"/>
      <c r="B489" s="326"/>
      <c r="C489" s="326"/>
      <c r="D489" s="326"/>
      <c r="E489" s="326"/>
      <c r="F489" s="326"/>
      <c r="G489" s="326"/>
      <c r="H489" s="326"/>
      <c r="I489" s="326"/>
      <c r="J489" s="326"/>
      <c r="K489" s="326"/>
      <c r="L489" s="326"/>
      <c r="M489" s="326"/>
      <c r="N489" s="326"/>
      <c r="O489" s="326"/>
      <c r="P489" s="326"/>
      <c r="Q489" s="326"/>
      <c r="R489" s="326"/>
      <c r="S489" s="326"/>
      <c r="T489" s="326"/>
      <c r="U489" s="326"/>
      <c r="V489" s="326"/>
      <c r="W489" s="326"/>
      <c r="X489" s="326"/>
      <c r="Y489" s="326"/>
    </row>
    <row r="490">
      <c r="A490" s="326"/>
      <c r="B490" s="326"/>
      <c r="C490" s="326"/>
      <c r="D490" s="326"/>
      <c r="E490" s="326"/>
      <c r="F490" s="326"/>
      <c r="G490" s="326"/>
      <c r="H490" s="326"/>
      <c r="I490" s="326"/>
      <c r="J490" s="326"/>
      <c r="K490" s="326"/>
      <c r="L490" s="326"/>
      <c r="M490" s="326"/>
      <c r="N490" s="326"/>
      <c r="O490" s="326"/>
      <c r="P490" s="326"/>
      <c r="Q490" s="326"/>
      <c r="R490" s="326"/>
      <c r="S490" s="326"/>
      <c r="T490" s="326"/>
      <c r="U490" s="326"/>
      <c r="V490" s="326"/>
      <c r="W490" s="326"/>
      <c r="X490" s="326"/>
      <c r="Y490" s="326"/>
    </row>
    <row r="491">
      <c r="A491" s="326"/>
      <c r="B491" s="326"/>
      <c r="C491" s="326"/>
      <c r="D491" s="326"/>
      <c r="E491" s="326"/>
      <c r="F491" s="326"/>
      <c r="G491" s="326"/>
      <c r="H491" s="326"/>
      <c r="I491" s="326"/>
      <c r="J491" s="326"/>
      <c r="K491" s="326"/>
      <c r="L491" s="326"/>
      <c r="M491" s="326"/>
      <c r="N491" s="326"/>
      <c r="O491" s="326"/>
      <c r="P491" s="326"/>
      <c r="Q491" s="326"/>
      <c r="R491" s="326"/>
      <c r="S491" s="326"/>
      <c r="T491" s="326"/>
      <c r="U491" s="326"/>
      <c r="V491" s="326"/>
      <c r="W491" s="326"/>
      <c r="X491" s="326"/>
      <c r="Y491" s="326"/>
    </row>
    <row r="492">
      <c r="A492" s="326"/>
      <c r="B492" s="326"/>
      <c r="C492" s="326"/>
      <c r="D492" s="326"/>
      <c r="E492" s="326"/>
      <c r="F492" s="326"/>
      <c r="G492" s="326"/>
      <c r="H492" s="326"/>
      <c r="I492" s="326"/>
      <c r="J492" s="326"/>
      <c r="K492" s="326"/>
      <c r="L492" s="326"/>
      <c r="M492" s="326"/>
      <c r="N492" s="326"/>
      <c r="O492" s="326"/>
      <c r="P492" s="326"/>
      <c r="Q492" s="326"/>
      <c r="R492" s="326"/>
      <c r="S492" s="326"/>
      <c r="T492" s="326"/>
      <c r="U492" s="326"/>
      <c r="V492" s="326"/>
      <c r="W492" s="326"/>
      <c r="X492" s="326"/>
      <c r="Y492" s="326"/>
    </row>
    <row r="493">
      <c r="A493" s="326"/>
      <c r="B493" s="326"/>
      <c r="C493" s="326"/>
      <c r="D493" s="326"/>
      <c r="E493" s="326"/>
      <c r="F493" s="326"/>
      <c r="G493" s="326"/>
      <c r="H493" s="326"/>
      <c r="I493" s="326"/>
      <c r="J493" s="326"/>
      <c r="K493" s="326"/>
      <c r="L493" s="326"/>
      <c r="M493" s="326"/>
      <c r="N493" s="326"/>
      <c r="O493" s="326"/>
      <c r="P493" s="326"/>
      <c r="Q493" s="326"/>
      <c r="R493" s="326"/>
      <c r="S493" s="326"/>
      <c r="T493" s="326"/>
      <c r="U493" s="326"/>
      <c r="V493" s="326"/>
      <c r="W493" s="326"/>
      <c r="X493" s="326"/>
      <c r="Y493" s="326"/>
    </row>
    <row r="494">
      <c r="A494" s="326"/>
      <c r="B494" s="326"/>
      <c r="C494" s="326"/>
      <c r="D494" s="326"/>
      <c r="E494" s="326"/>
      <c r="F494" s="326"/>
      <c r="G494" s="326"/>
      <c r="H494" s="326"/>
      <c r="I494" s="326"/>
      <c r="J494" s="326"/>
      <c r="K494" s="326"/>
      <c r="L494" s="326"/>
      <c r="M494" s="326"/>
      <c r="N494" s="326"/>
      <c r="O494" s="326"/>
      <c r="P494" s="326"/>
      <c r="Q494" s="326"/>
      <c r="R494" s="326"/>
      <c r="S494" s="326"/>
      <c r="T494" s="326"/>
      <c r="U494" s="326"/>
      <c r="V494" s="326"/>
      <c r="W494" s="326"/>
      <c r="X494" s="326"/>
      <c r="Y494" s="326"/>
    </row>
    <row r="495">
      <c r="A495" s="326"/>
      <c r="B495" s="326"/>
      <c r="C495" s="326"/>
      <c r="D495" s="326"/>
      <c r="E495" s="326"/>
      <c r="F495" s="326"/>
      <c r="G495" s="326"/>
      <c r="H495" s="326"/>
      <c r="I495" s="326"/>
      <c r="J495" s="326"/>
      <c r="K495" s="326"/>
      <c r="L495" s="326"/>
      <c r="M495" s="326"/>
      <c r="N495" s="326"/>
      <c r="O495" s="326"/>
      <c r="P495" s="326"/>
      <c r="Q495" s="326"/>
      <c r="R495" s="326"/>
      <c r="S495" s="326"/>
      <c r="T495" s="326"/>
      <c r="U495" s="326"/>
      <c r="V495" s="326"/>
      <c r="W495" s="326"/>
      <c r="X495" s="326"/>
      <c r="Y495" s="326"/>
    </row>
    <row r="496">
      <c r="A496" s="326"/>
      <c r="B496" s="326"/>
      <c r="C496" s="326"/>
      <c r="D496" s="326"/>
      <c r="E496" s="326"/>
      <c r="F496" s="326"/>
      <c r="G496" s="326"/>
      <c r="H496" s="326"/>
      <c r="I496" s="326"/>
      <c r="J496" s="326"/>
      <c r="K496" s="326"/>
      <c r="L496" s="326"/>
      <c r="M496" s="326"/>
      <c r="N496" s="326"/>
      <c r="O496" s="326"/>
      <c r="P496" s="326"/>
      <c r="Q496" s="326"/>
      <c r="R496" s="326"/>
      <c r="S496" s="326"/>
      <c r="T496" s="326"/>
      <c r="U496" s="326"/>
      <c r="V496" s="326"/>
      <c r="W496" s="326"/>
      <c r="X496" s="326"/>
      <c r="Y496" s="326"/>
    </row>
    <row r="497">
      <c r="A497" s="326"/>
      <c r="B497" s="326"/>
      <c r="C497" s="326"/>
      <c r="D497" s="326"/>
      <c r="E497" s="326"/>
      <c r="F497" s="326"/>
      <c r="G497" s="326"/>
      <c r="H497" s="326"/>
      <c r="I497" s="326"/>
      <c r="J497" s="326"/>
      <c r="K497" s="326"/>
      <c r="L497" s="326"/>
      <c r="M497" s="326"/>
      <c r="N497" s="326"/>
      <c r="O497" s="326"/>
      <c r="P497" s="326"/>
      <c r="Q497" s="326"/>
      <c r="R497" s="326"/>
      <c r="S497" s="326"/>
      <c r="T497" s="326"/>
      <c r="U497" s="326"/>
      <c r="V497" s="326"/>
      <c r="W497" s="326"/>
      <c r="X497" s="326"/>
      <c r="Y497" s="326"/>
    </row>
    <row r="498">
      <c r="A498" s="326"/>
      <c r="B498" s="326"/>
      <c r="C498" s="326"/>
      <c r="D498" s="326"/>
      <c r="E498" s="326"/>
      <c r="F498" s="326"/>
      <c r="G498" s="326"/>
      <c r="H498" s="326"/>
      <c r="I498" s="326"/>
      <c r="J498" s="326"/>
      <c r="K498" s="326"/>
      <c r="L498" s="326"/>
      <c r="M498" s="326"/>
      <c r="N498" s="326"/>
      <c r="O498" s="326"/>
      <c r="P498" s="326"/>
      <c r="Q498" s="326"/>
      <c r="R498" s="326"/>
      <c r="S498" s="326"/>
      <c r="T498" s="326"/>
      <c r="U498" s="326"/>
      <c r="V498" s="326"/>
      <c r="W498" s="326"/>
      <c r="X498" s="326"/>
      <c r="Y498" s="326"/>
    </row>
    <row r="499">
      <c r="A499" s="326"/>
      <c r="B499" s="326"/>
      <c r="C499" s="326"/>
      <c r="D499" s="326"/>
      <c r="E499" s="326"/>
      <c r="F499" s="326"/>
      <c r="G499" s="326"/>
      <c r="H499" s="326"/>
      <c r="I499" s="326"/>
      <c r="J499" s="326"/>
      <c r="K499" s="326"/>
      <c r="L499" s="326"/>
      <c r="M499" s="326"/>
      <c r="N499" s="326"/>
      <c r="O499" s="326"/>
      <c r="P499" s="326"/>
      <c r="Q499" s="326"/>
      <c r="R499" s="326"/>
      <c r="S499" s="326"/>
      <c r="T499" s="326"/>
      <c r="U499" s="326"/>
      <c r="V499" s="326"/>
      <c r="W499" s="326"/>
      <c r="X499" s="326"/>
      <c r="Y499" s="326"/>
    </row>
    <row r="500">
      <c r="A500" s="326"/>
      <c r="B500" s="326"/>
      <c r="C500" s="326"/>
      <c r="D500" s="326"/>
      <c r="E500" s="326"/>
      <c r="F500" s="326"/>
      <c r="G500" s="326"/>
      <c r="H500" s="326"/>
      <c r="I500" s="326"/>
      <c r="J500" s="326"/>
      <c r="K500" s="326"/>
      <c r="L500" s="326"/>
      <c r="M500" s="326"/>
      <c r="N500" s="326"/>
      <c r="O500" s="326"/>
      <c r="P500" s="326"/>
      <c r="Q500" s="326"/>
      <c r="R500" s="326"/>
      <c r="S500" s="326"/>
      <c r="T500" s="326"/>
      <c r="U500" s="326"/>
      <c r="V500" s="326"/>
      <c r="W500" s="326"/>
      <c r="X500" s="326"/>
      <c r="Y500" s="326"/>
    </row>
    <row r="501">
      <c r="A501" s="326"/>
      <c r="B501" s="326"/>
      <c r="C501" s="326"/>
      <c r="D501" s="326"/>
      <c r="E501" s="326"/>
      <c r="F501" s="326"/>
      <c r="G501" s="326"/>
      <c r="H501" s="326"/>
      <c r="I501" s="326"/>
      <c r="J501" s="326"/>
      <c r="K501" s="326"/>
      <c r="L501" s="326"/>
      <c r="M501" s="326"/>
      <c r="N501" s="326"/>
      <c r="O501" s="326"/>
      <c r="P501" s="326"/>
      <c r="Q501" s="326"/>
      <c r="R501" s="326"/>
      <c r="S501" s="326"/>
      <c r="T501" s="326"/>
      <c r="U501" s="326"/>
      <c r="V501" s="326"/>
      <c r="W501" s="326"/>
      <c r="X501" s="326"/>
      <c r="Y501" s="326"/>
    </row>
    <row r="502">
      <c r="A502" s="326"/>
      <c r="B502" s="326"/>
      <c r="C502" s="326"/>
      <c r="D502" s="326"/>
      <c r="E502" s="326"/>
      <c r="F502" s="326"/>
      <c r="G502" s="326"/>
      <c r="H502" s="326"/>
      <c r="I502" s="326"/>
      <c r="J502" s="326"/>
      <c r="K502" s="326"/>
      <c r="L502" s="326"/>
      <c r="M502" s="326"/>
      <c r="N502" s="326"/>
      <c r="O502" s="326"/>
      <c r="P502" s="326"/>
      <c r="Q502" s="326"/>
      <c r="R502" s="326"/>
      <c r="S502" s="326"/>
      <c r="T502" s="326"/>
      <c r="U502" s="326"/>
      <c r="V502" s="326"/>
      <c r="W502" s="326"/>
      <c r="X502" s="326"/>
      <c r="Y502" s="326"/>
    </row>
    <row r="503">
      <c r="A503" s="326"/>
      <c r="B503" s="326"/>
      <c r="C503" s="326"/>
      <c r="D503" s="326"/>
      <c r="E503" s="326"/>
      <c r="F503" s="326"/>
      <c r="G503" s="326"/>
      <c r="H503" s="326"/>
      <c r="I503" s="326"/>
      <c r="J503" s="326"/>
      <c r="K503" s="326"/>
      <c r="L503" s="326"/>
      <c r="M503" s="326"/>
      <c r="N503" s="326"/>
      <c r="O503" s="326"/>
      <c r="P503" s="326"/>
      <c r="Q503" s="326"/>
      <c r="R503" s="326"/>
      <c r="S503" s="326"/>
      <c r="T503" s="326"/>
      <c r="U503" s="326"/>
      <c r="V503" s="326"/>
      <c r="W503" s="326"/>
      <c r="X503" s="326"/>
      <c r="Y503" s="326"/>
    </row>
    <row r="504">
      <c r="A504" s="326"/>
      <c r="B504" s="326"/>
      <c r="C504" s="326"/>
      <c r="D504" s="326"/>
      <c r="E504" s="326"/>
      <c r="F504" s="326"/>
      <c r="G504" s="326"/>
      <c r="H504" s="326"/>
      <c r="I504" s="326"/>
      <c r="J504" s="326"/>
      <c r="K504" s="326"/>
      <c r="L504" s="326"/>
      <c r="M504" s="326"/>
      <c r="N504" s="326"/>
      <c r="O504" s="326"/>
      <c r="P504" s="326"/>
      <c r="Q504" s="326"/>
      <c r="R504" s="326"/>
      <c r="S504" s="326"/>
      <c r="T504" s="326"/>
      <c r="U504" s="326"/>
      <c r="V504" s="326"/>
      <c r="W504" s="326"/>
      <c r="X504" s="326"/>
      <c r="Y504" s="326"/>
    </row>
    <row r="505">
      <c r="A505" s="326"/>
      <c r="B505" s="326"/>
      <c r="C505" s="326"/>
      <c r="D505" s="326"/>
      <c r="E505" s="326"/>
      <c r="F505" s="326"/>
      <c r="G505" s="326"/>
      <c r="H505" s="326"/>
      <c r="I505" s="326"/>
      <c r="J505" s="326"/>
      <c r="K505" s="326"/>
      <c r="L505" s="326"/>
      <c r="M505" s="326"/>
      <c r="N505" s="326"/>
      <c r="O505" s="326"/>
      <c r="P505" s="326"/>
      <c r="Q505" s="326"/>
      <c r="R505" s="326"/>
      <c r="S505" s="326"/>
      <c r="T505" s="326"/>
      <c r="U505" s="326"/>
      <c r="V505" s="326"/>
      <c r="W505" s="326"/>
      <c r="X505" s="326"/>
      <c r="Y505" s="326"/>
    </row>
    <row r="506">
      <c r="A506" s="326"/>
      <c r="B506" s="326"/>
      <c r="C506" s="326"/>
      <c r="D506" s="326"/>
      <c r="E506" s="326"/>
      <c r="F506" s="326"/>
      <c r="G506" s="326"/>
      <c r="H506" s="326"/>
      <c r="I506" s="326"/>
      <c r="J506" s="326"/>
      <c r="K506" s="326"/>
      <c r="L506" s="326"/>
      <c r="M506" s="326"/>
      <c r="N506" s="326"/>
      <c r="O506" s="326"/>
      <c r="P506" s="326"/>
      <c r="Q506" s="326"/>
      <c r="R506" s="326"/>
      <c r="S506" s="326"/>
      <c r="T506" s="326"/>
      <c r="U506" s="326"/>
      <c r="V506" s="326"/>
      <c r="W506" s="326"/>
      <c r="X506" s="326"/>
      <c r="Y506" s="326"/>
    </row>
    <row r="507">
      <c r="A507" s="326"/>
      <c r="B507" s="326"/>
      <c r="C507" s="326"/>
      <c r="D507" s="326"/>
      <c r="E507" s="326"/>
      <c r="F507" s="326"/>
      <c r="G507" s="326"/>
      <c r="H507" s="326"/>
      <c r="I507" s="326"/>
      <c r="J507" s="326"/>
      <c r="K507" s="326"/>
      <c r="L507" s="326"/>
      <c r="M507" s="326"/>
      <c r="N507" s="326"/>
      <c r="O507" s="326"/>
      <c r="P507" s="326"/>
      <c r="Q507" s="326"/>
      <c r="R507" s="326"/>
      <c r="S507" s="326"/>
      <c r="T507" s="326"/>
      <c r="U507" s="326"/>
      <c r="V507" s="326"/>
      <c r="W507" s="326"/>
      <c r="X507" s="326"/>
      <c r="Y507" s="326"/>
    </row>
    <row r="508">
      <c r="A508" s="326"/>
      <c r="B508" s="326"/>
      <c r="C508" s="326"/>
      <c r="D508" s="326"/>
      <c r="E508" s="326"/>
      <c r="F508" s="326"/>
      <c r="G508" s="326"/>
      <c r="H508" s="326"/>
      <c r="I508" s="326"/>
      <c r="J508" s="326"/>
      <c r="K508" s="326"/>
      <c r="L508" s="326"/>
      <c r="M508" s="326"/>
      <c r="N508" s="326"/>
      <c r="O508" s="326"/>
      <c r="P508" s="326"/>
      <c r="Q508" s="326"/>
      <c r="R508" s="326"/>
      <c r="S508" s="326"/>
      <c r="T508" s="326"/>
      <c r="U508" s="326"/>
      <c r="V508" s="326"/>
      <c r="W508" s="326"/>
      <c r="X508" s="326"/>
      <c r="Y508" s="326"/>
    </row>
    <row r="509">
      <c r="A509" s="326"/>
      <c r="B509" s="326"/>
      <c r="C509" s="326"/>
      <c r="D509" s="326"/>
      <c r="E509" s="326"/>
      <c r="F509" s="326"/>
      <c r="G509" s="326"/>
      <c r="H509" s="326"/>
      <c r="I509" s="326"/>
      <c r="J509" s="326"/>
      <c r="K509" s="326"/>
      <c r="L509" s="326"/>
      <c r="M509" s="326"/>
      <c r="N509" s="326"/>
      <c r="O509" s="326"/>
      <c r="P509" s="326"/>
      <c r="Q509" s="326"/>
      <c r="R509" s="326"/>
      <c r="S509" s="326"/>
      <c r="T509" s="326"/>
      <c r="U509" s="326"/>
      <c r="V509" s="326"/>
      <c r="W509" s="326"/>
      <c r="X509" s="326"/>
      <c r="Y509" s="326"/>
    </row>
    <row r="510">
      <c r="A510" s="326"/>
      <c r="B510" s="326"/>
      <c r="C510" s="326"/>
      <c r="D510" s="326"/>
      <c r="E510" s="326"/>
      <c r="F510" s="326"/>
      <c r="G510" s="326"/>
      <c r="H510" s="326"/>
      <c r="I510" s="326"/>
      <c r="J510" s="326"/>
      <c r="K510" s="326"/>
      <c r="L510" s="326"/>
      <c r="M510" s="326"/>
      <c r="N510" s="326"/>
      <c r="O510" s="326"/>
      <c r="P510" s="326"/>
      <c r="Q510" s="326"/>
      <c r="R510" s="326"/>
      <c r="S510" s="326"/>
      <c r="T510" s="326"/>
      <c r="U510" s="326"/>
      <c r="V510" s="326"/>
      <c r="W510" s="326"/>
      <c r="X510" s="326"/>
      <c r="Y510" s="326"/>
    </row>
    <row r="511">
      <c r="A511" s="326"/>
      <c r="B511" s="326"/>
      <c r="C511" s="326"/>
      <c r="D511" s="326"/>
      <c r="E511" s="326"/>
      <c r="F511" s="326"/>
      <c r="G511" s="326"/>
      <c r="H511" s="326"/>
      <c r="I511" s="326"/>
      <c r="J511" s="326"/>
      <c r="K511" s="326"/>
      <c r="L511" s="326"/>
      <c r="M511" s="326"/>
      <c r="N511" s="326"/>
      <c r="O511" s="326"/>
      <c r="P511" s="326"/>
      <c r="Q511" s="326"/>
      <c r="R511" s="326"/>
      <c r="S511" s="326"/>
      <c r="T511" s="326"/>
      <c r="U511" s="326"/>
      <c r="V511" s="326"/>
      <c r="W511" s="326"/>
      <c r="X511" s="326"/>
      <c r="Y511" s="326"/>
    </row>
    <row r="512">
      <c r="A512" s="326"/>
      <c r="B512" s="326"/>
      <c r="C512" s="326"/>
      <c r="D512" s="326"/>
      <c r="E512" s="326"/>
      <c r="F512" s="326"/>
      <c r="G512" s="326"/>
      <c r="H512" s="326"/>
      <c r="I512" s="326"/>
      <c r="J512" s="326"/>
      <c r="K512" s="326"/>
      <c r="L512" s="326"/>
      <c r="M512" s="326"/>
      <c r="N512" s="326"/>
      <c r="O512" s="326"/>
      <c r="P512" s="326"/>
      <c r="Q512" s="326"/>
      <c r="R512" s="326"/>
      <c r="S512" s="326"/>
      <c r="T512" s="326"/>
      <c r="U512" s="326"/>
      <c r="V512" s="326"/>
      <c r="W512" s="326"/>
      <c r="X512" s="326"/>
      <c r="Y512" s="326"/>
    </row>
    <row r="513">
      <c r="A513" s="326"/>
      <c r="B513" s="326"/>
      <c r="C513" s="326"/>
      <c r="D513" s="326"/>
      <c r="E513" s="326"/>
      <c r="F513" s="326"/>
      <c r="G513" s="326"/>
      <c r="H513" s="326"/>
      <c r="I513" s="326"/>
      <c r="J513" s="326"/>
      <c r="K513" s="326"/>
      <c r="L513" s="326"/>
      <c r="M513" s="326"/>
      <c r="N513" s="326"/>
      <c r="O513" s="326"/>
      <c r="P513" s="326"/>
      <c r="Q513" s="326"/>
      <c r="R513" s="326"/>
      <c r="S513" s="326"/>
      <c r="T513" s="326"/>
      <c r="U513" s="326"/>
      <c r="V513" s="326"/>
      <c r="W513" s="326"/>
      <c r="X513" s="326"/>
      <c r="Y513" s="326"/>
    </row>
    <row r="514">
      <c r="A514" s="326"/>
      <c r="B514" s="326"/>
      <c r="C514" s="326"/>
      <c r="D514" s="326"/>
      <c r="E514" s="326"/>
      <c r="F514" s="326"/>
      <c r="G514" s="326"/>
      <c r="H514" s="326"/>
      <c r="I514" s="326"/>
      <c r="J514" s="326"/>
      <c r="K514" s="326"/>
      <c r="L514" s="326"/>
      <c r="M514" s="326"/>
      <c r="N514" s="326"/>
      <c r="O514" s="326"/>
      <c r="P514" s="326"/>
      <c r="Q514" s="326"/>
      <c r="R514" s="326"/>
      <c r="S514" s="326"/>
      <c r="T514" s="326"/>
      <c r="U514" s="326"/>
      <c r="V514" s="326"/>
      <c r="W514" s="326"/>
      <c r="X514" s="326"/>
      <c r="Y514" s="326"/>
    </row>
    <row r="515">
      <c r="A515" s="326"/>
      <c r="B515" s="326"/>
      <c r="C515" s="326"/>
      <c r="D515" s="326"/>
      <c r="E515" s="326"/>
      <c r="F515" s="326"/>
      <c r="G515" s="326"/>
      <c r="H515" s="326"/>
      <c r="I515" s="326"/>
      <c r="J515" s="326"/>
      <c r="K515" s="326"/>
      <c r="L515" s="326"/>
      <c r="M515" s="326"/>
      <c r="N515" s="326"/>
      <c r="O515" s="326"/>
      <c r="P515" s="326"/>
      <c r="Q515" s="326"/>
      <c r="R515" s="326"/>
      <c r="S515" s="326"/>
      <c r="T515" s="326"/>
      <c r="U515" s="326"/>
      <c r="V515" s="326"/>
      <c r="W515" s="326"/>
      <c r="X515" s="326"/>
      <c r="Y515" s="326"/>
    </row>
    <row r="516">
      <c r="A516" s="326"/>
      <c r="B516" s="326"/>
      <c r="C516" s="326"/>
      <c r="D516" s="326"/>
      <c r="E516" s="326"/>
      <c r="F516" s="326"/>
      <c r="G516" s="326"/>
      <c r="H516" s="326"/>
      <c r="I516" s="326"/>
      <c r="J516" s="326"/>
      <c r="K516" s="326"/>
      <c r="L516" s="326"/>
      <c r="M516" s="326"/>
      <c r="N516" s="326"/>
      <c r="O516" s="326"/>
      <c r="P516" s="326"/>
      <c r="Q516" s="326"/>
      <c r="R516" s="326"/>
      <c r="S516" s="326"/>
      <c r="T516" s="326"/>
      <c r="U516" s="326"/>
      <c r="V516" s="326"/>
      <c r="W516" s="326"/>
      <c r="X516" s="326"/>
      <c r="Y516" s="326"/>
    </row>
    <row r="517">
      <c r="A517" s="326"/>
      <c r="B517" s="326"/>
      <c r="C517" s="326"/>
      <c r="D517" s="326"/>
      <c r="E517" s="326"/>
      <c r="F517" s="326"/>
      <c r="G517" s="326"/>
      <c r="H517" s="326"/>
      <c r="I517" s="326"/>
      <c r="J517" s="326"/>
      <c r="K517" s="326"/>
      <c r="L517" s="326"/>
      <c r="M517" s="326"/>
      <c r="N517" s="326"/>
      <c r="O517" s="326"/>
      <c r="P517" s="326"/>
      <c r="Q517" s="326"/>
      <c r="R517" s="326"/>
      <c r="S517" s="326"/>
      <c r="T517" s="326"/>
      <c r="U517" s="326"/>
      <c r="V517" s="326"/>
      <c r="W517" s="326"/>
      <c r="X517" s="326"/>
      <c r="Y517" s="326"/>
    </row>
    <row r="518">
      <c r="A518" s="326"/>
      <c r="B518" s="326"/>
      <c r="C518" s="326"/>
      <c r="D518" s="326"/>
      <c r="E518" s="326"/>
      <c r="F518" s="326"/>
      <c r="G518" s="326"/>
      <c r="H518" s="326"/>
      <c r="I518" s="326"/>
      <c r="J518" s="326"/>
      <c r="K518" s="326"/>
      <c r="L518" s="326"/>
      <c r="M518" s="326"/>
      <c r="N518" s="326"/>
      <c r="O518" s="326"/>
      <c r="P518" s="326"/>
      <c r="Q518" s="326"/>
      <c r="R518" s="326"/>
      <c r="S518" s="326"/>
      <c r="T518" s="326"/>
      <c r="U518" s="326"/>
      <c r="V518" s="326"/>
      <c r="W518" s="326"/>
      <c r="X518" s="326"/>
      <c r="Y518" s="326"/>
    </row>
    <row r="519">
      <c r="A519" s="326"/>
      <c r="B519" s="326"/>
      <c r="C519" s="326"/>
      <c r="D519" s="326"/>
      <c r="E519" s="326"/>
      <c r="F519" s="326"/>
      <c r="G519" s="326"/>
      <c r="H519" s="326"/>
      <c r="I519" s="326"/>
      <c r="J519" s="326"/>
      <c r="K519" s="326"/>
      <c r="L519" s="326"/>
      <c r="M519" s="326"/>
      <c r="N519" s="326"/>
      <c r="O519" s="326"/>
      <c r="P519" s="326"/>
      <c r="Q519" s="326"/>
      <c r="R519" s="326"/>
      <c r="S519" s="326"/>
      <c r="T519" s="326"/>
      <c r="U519" s="326"/>
      <c r="V519" s="326"/>
      <c r="W519" s="326"/>
      <c r="X519" s="326"/>
      <c r="Y519" s="326"/>
    </row>
    <row r="520">
      <c r="A520" s="326"/>
      <c r="B520" s="326"/>
      <c r="C520" s="326"/>
      <c r="D520" s="326"/>
      <c r="E520" s="326"/>
      <c r="F520" s="326"/>
      <c r="G520" s="326"/>
      <c r="H520" s="326"/>
      <c r="I520" s="326"/>
      <c r="J520" s="326"/>
      <c r="K520" s="326"/>
      <c r="L520" s="326"/>
      <c r="M520" s="326"/>
      <c r="N520" s="326"/>
      <c r="O520" s="326"/>
      <c r="P520" s="326"/>
      <c r="Q520" s="326"/>
      <c r="R520" s="326"/>
      <c r="S520" s="326"/>
      <c r="T520" s="326"/>
      <c r="U520" s="326"/>
      <c r="V520" s="326"/>
      <c r="W520" s="326"/>
      <c r="X520" s="326"/>
      <c r="Y520" s="326"/>
    </row>
    <row r="521">
      <c r="A521" s="326"/>
      <c r="B521" s="326"/>
      <c r="C521" s="326"/>
      <c r="D521" s="326"/>
      <c r="E521" s="326"/>
      <c r="F521" s="326"/>
      <c r="G521" s="326"/>
      <c r="H521" s="326"/>
      <c r="I521" s="326"/>
      <c r="J521" s="326"/>
      <c r="K521" s="326"/>
      <c r="L521" s="326"/>
      <c r="M521" s="326"/>
      <c r="N521" s="326"/>
      <c r="O521" s="326"/>
      <c r="P521" s="326"/>
      <c r="Q521" s="326"/>
      <c r="R521" s="326"/>
      <c r="S521" s="326"/>
      <c r="T521" s="326"/>
      <c r="U521" s="326"/>
      <c r="V521" s="326"/>
      <c r="W521" s="326"/>
      <c r="X521" s="326"/>
      <c r="Y521" s="326"/>
    </row>
    <row r="522">
      <c r="A522" s="326"/>
      <c r="B522" s="326"/>
      <c r="C522" s="326"/>
      <c r="D522" s="326"/>
      <c r="E522" s="326"/>
      <c r="F522" s="326"/>
      <c r="G522" s="326"/>
      <c r="H522" s="326"/>
      <c r="I522" s="326"/>
      <c r="J522" s="326"/>
      <c r="K522" s="326"/>
      <c r="L522" s="326"/>
      <c r="M522" s="326"/>
      <c r="N522" s="326"/>
      <c r="O522" s="326"/>
      <c r="P522" s="326"/>
      <c r="Q522" s="326"/>
      <c r="R522" s="326"/>
      <c r="S522" s="326"/>
      <c r="T522" s="326"/>
      <c r="U522" s="326"/>
      <c r="V522" s="326"/>
      <c r="W522" s="326"/>
      <c r="X522" s="326"/>
      <c r="Y522" s="326"/>
    </row>
    <row r="523">
      <c r="A523" s="326"/>
      <c r="B523" s="326"/>
      <c r="C523" s="326"/>
      <c r="D523" s="326"/>
      <c r="E523" s="326"/>
      <c r="F523" s="326"/>
      <c r="G523" s="326"/>
      <c r="H523" s="326"/>
      <c r="I523" s="326"/>
      <c r="J523" s="326"/>
      <c r="K523" s="326"/>
      <c r="L523" s="326"/>
      <c r="M523" s="326"/>
      <c r="N523" s="326"/>
      <c r="O523" s="326"/>
      <c r="P523" s="326"/>
      <c r="Q523" s="326"/>
      <c r="R523" s="326"/>
      <c r="S523" s="326"/>
      <c r="T523" s="326"/>
      <c r="U523" s="326"/>
      <c r="V523" s="326"/>
      <c r="W523" s="326"/>
      <c r="X523" s="326"/>
      <c r="Y523" s="326"/>
    </row>
    <row r="524">
      <c r="A524" s="326"/>
      <c r="B524" s="326"/>
      <c r="C524" s="326"/>
      <c r="D524" s="326"/>
      <c r="E524" s="326"/>
      <c r="F524" s="326"/>
      <c r="G524" s="326"/>
      <c r="H524" s="326"/>
      <c r="I524" s="326"/>
      <c r="J524" s="326"/>
      <c r="K524" s="326"/>
      <c r="L524" s="326"/>
      <c r="M524" s="326"/>
      <c r="N524" s="326"/>
      <c r="O524" s="326"/>
      <c r="P524" s="326"/>
      <c r="Q524" s="326"/>
      <c r="R524" s="326"/>
      <c r="S524" s="326"/>
      <c r="T524" s="326"/>
      <c r="U524" s="326"/>
      <c r="V524" s="326"/>
      <c r="W524" s="326"/>
      <c r="X524" s="326"/>
      <c r="Y524" s="326"/>
    </row>
    <row r="525">
      <c r="A525" s="326"/>
      <c r="B525" s="326"/>
      <c r="C525" s="326"/>
      <c r="D525" s="326"/>
      <c r="E525" s="326"/>
      <c r="F525" s="326"/>
      <c r="G525" s="326"/>
      <c r="H525" s="326"/>
      <c r="I525" s="326"/>
      <c r="J525" s="326"/>
      <c r="K525" s="326"/>
      <c r="L525" s="326"/>
      <c r="M525" s="326"/>
      <c r="N525" s="326"/>
      <c r="O525" s="326"/>
      <c r="P525" s="326"/>
      <c r="Q525" s="326"/>
      <c r="R525" s="326"/>
      <c r="S525" s="326"/>
      <c r="T525" s="326"/>
      <c r="U525" s="326"/>
      <c r="V525" s="326"/>
      <c r="W525" s="326"/>
      <c r="X525" s="326"/>
      <c r="Y525" s="326"/>
    </row>
    <row r="526">
      <c r="A526" s="326"/>
      <c r="B526" s="326"/>
      <c r="C526" s="326"/>
      <c r="D526" s="326"/>
      <c r="E526" s="326"/>
      <c r="F526" s="326"/>
      <c r="G526" s="326"/>
      <c r="H526" s="326"/>
      <c r="I526" s="326"/>
      <c r="J526" s="326"/>
      <c r="K526" s="326"/>
      <c r="L526" s="326"/>
      <c r="M526" s="326"/>
      <c r="N526" s="326"/>
      <c r="O526" s="326"/>
      <c r="P526" s="326"/>
      <c r="Q526" s="326"/>
      <c r="R526" s="326"/>
      <c r="S526" s="326"/>
      <c r="T526" s="326"/>
      <c r="U526" s="326"/>
      <c r="V526" s="326"/>
      <c r="W526" s="326"/>
      <c r="X526" s="326"/>
      <c r="Y526" s="326"/>
    </row>
    <row r="527">
      <c r="A527" s="326"/>
      <c r="B527" s="326"/>
      <c r="C527" s="326"/>
      <c r="D527" s="326"/>
      <c r="E527" s="326"/>
      <c r="F527" s="326"/>
      <c r="G527" s="326"/>
      <c r="H527" s="326"/>
      <c r="I527" s="326"/>
      <c r="J527" s="326"/>
      <c r="K527" s="326"/>
      <c r="L527" s="326"/>
      <c r="M527" s="326"/>
      <c r="N527" s="326"/>
      <c r="O527" s="326"/>
      <c r="P527" s="326"/>
      <c r="Q527" s="326"/>
      <c r="R527" s="326"/>
      <c r="S527" s="326"/>
      <c r="T527" s="326"/>
      <c r="U527" s="326"/>
      <c r="V527" s="326"/>
      <c r="W527" s="326"/>
      <c r="X527" s="326"/>
      <c r="Y527" s="326"/>
    </row>
    <row r="528">
      <c r="A528" s="326"/>
      <c r="B528" s="326"/>
      <c r="C528" s="326"/>
      <c r="D528" s="326"/>
      <c r="E528" s="326"/>
      <c r="F528" s="326"/>
      <c r="G528" s="326"/>
      <c r="H528" s="326"/>
      <c r="I528" s="326"/>
      <c r="J528" s="326"/>
      <c r="K528" s="326"/>
      <c r="L528" s="326"/>
      <c r="M528" s="326"/>
      <c r="N528" s="326"/>
      <c r="O528" s="326"/>
      <c r="P528" s="326"/>
      <c r="Q528" s="326"/>
      <c r="R528" s="326"/>
      <c r="S528" s="326"/>
      <c r="T528" s="326"/>
      <c r="U528" s="326"/>
      <c r="V528" s="326"/>
      <c r="W528" s="326"/>
      <c r="X528" s="326"/>
      <c r="Y528" s="326"/>
    </row>
    <row r="529">
      <c r="A529" s="326"/>
      <c r="B529" s="326"/>
      <c r="C529" s="326"/>
      <c r="D529" s="326"/>
      <c r="E529" s="326"/>
      <c r="F529" s="326"/>
      <c r="G529" s="326"/>
      <c r="H529" s="326"/>
      <c r="I529" s="326"/>
      <c r="J529" s="326"/>
      <c r="K529" s="326"/>
      <c r="L529" s="326"/>
      <c r="M529" s="326"/>
      <c r="N529" s="326"/>
      <c r="O529" s="326"/>
      <c r="P529" s="326"/>
      <c r="Q529" s="326"/>
      <c r="R529" s="326"/>
      <c r="S529" s="326"/>
      <c r="T529" s="326"/>
      <c r="U529" s="326"/>
      <c r="V529" s="326"/>
      <c r="W529" s="326"/>
      <c r="X529" s="326"/>
      <c r="Y529" s="326"/>
    </row>
    <row r="530">
      <c r="A530" s="326"/>
      <c r="B530" s="326"/>
      <c r="C530" s="326"/>
      <c r="D530" s="326"/>
      <c r="E530" s="326"/>
      <c r="F530" s="326"/>
      <c r="G530" s="326"/>
      <c r="H530" s="326"/>
      <c r="I530" s="326"/>
      <c r="J530" s="326"/>
      <c r="K530" s="326"/>
      <c r="L530" s="326"/>
      <c r="M530" s="326"/>
      <c r="N530" s="326"/>
      <c r="O530" s="326"/>
      <c r="P530" s="326"/>
      <c r="Q530" s="326"/>
      <c r="R530" s="326"/>
      <c r="S530" s="326"/>
      <c r="T530" s="326"/>
      <c r="U530" s="326"/>
      <c r="V530" s="326"/>
      <c r="W530" s="326"/>
      <c r="X530" s="326"/>
      <c r="Y530" s="326"/>
    </row>
    <row r="531">
      <c r="A531" s="326"/>
      <c r="B531" s="326"/>
      <c r="C531" s="326"/>
      <c r="D531" s="326"/>
      <c r="E531" s="326"/>
      <c r="F531" s="326"/>
      <c r="G531" s="326"/>
      <c r="H531" s="326"/>
      <c r="I531" s="326"/>
      <c r="J531" s="326"/>
      <c r="K531" s="326"/>
      <c r="L531" s="326"/>
      <c r="M531" s="326"/>
      <c r="N531" s="326"/>
      <c r="O531" s="326"/>
      <c r="P531" s="326"/>
      <c r="Q531" s="326"/>
      <c r="R531" s="326"/>
      <c r="S531" s="326"/>
      <c r="T531" s="326"/>
      <c r="U531" s="326"/>
      <c r="V531" s="326"/>
      <c r="W531" s="326"/>
      <c r="X531" s="326"/>
      <c r="Y531" s="326"/>
    </row>
    <row r="532">
      <c r="A532" s="326"/>
      <c r="B532" s="326"/>
      <c r="C532" s="326"/>
      <c r="D532" s="326"/>
      <c r="E532" s="326"/>
      <c r="F532" s="326"/>
      <c r="G532" s="326"/>
      <c r="H532" s="326"/>
      <c r="I532" s="326"/>
      <c r="J532" s="326"/>
      <c r="K532" s="326"/>
      <c r="L532" s="326"/>
      <c r="M532" s="326"/>
      <c r="N532" s="326"/>
      <c r="O532" s="326"/>
      <c r="P532" s="326"/>
      <c r="Q532" s="326"/>
      <c r="R532" s="326"/>
      <c r="S532" s="326"/>
      <c r="T532" s="326"/>
      <c r="U532" s="326"/>
      <c r="V532" s="326"/>
      <c r="W532" s="326"/>
      <c r="X532" s="326"/>
      <c r="Y532" s="326"/>
    </row>
    <row r="533">
      <c r="A533" s="326"/>
      <c r="B533" s="326"/>
      <c r="C533" s="326"/>
      <c r="D533" s="326"/>
      <c r="E533" s="326"/>
      <c r="F533" s="326"/>
      <c r="G533" s="326"/>
      <c r="H533" s="326"/>
      <c r="I533" s="326"/>
      <c r="J533" s="326"/>
      <c r="K533" s="326"/>
      <c r="L533" s="326"/>
      <c r="M533" s="326"/>
      <c r="N533" s="326"/>
      <c r="O533" s="326"/>
      <c r="P533" s="326"/>
      <c r="Q533" s="326"/>
      <c r="R533" s="326"/>
      <c r="S533" s="326"/>
      <c r="T533" s="326"/>
      <c r="U533" s="326"/>
      <c r="V533" s="326"/>
      <c r="W533" s="326"/>
      <c r="X533" s="326"/>
      <c r="Y533" s="326"/>
    </row>
    <row r="534">
      <c r="A534" s="326"/>
      <c r="B534" s="326"/>
      <c r="C534" s="326"/>
      <c r="D534" s="326"/>
      <c r="E534" s="326"/>
      <c r="F534" s="326"/>
      <c r="G534" s="326"/>
      <c r="H534" s="326"/>
      <c r="I534" s="326"/>
      <c r="J534" s="326"/>
      <c r="K534" s="326"/>
      <c r="L534" s="326"/>
      <c r="M534" s="326"/>
      <c r="N534" s="326"/>
      <c r="O534" s="326"/>
      <c r="P534" s="326"/>
      <c r="Q534" s="326"/>
      <c r="R534" s="326"/>
      <c r="S534" s="326"/>
      <c r="T534" s="326"/>
      <c r="U534" s="326"/>
      <c r="V534" s="326"/>
      <c r="W534" s="326"/>
      <c r="X534" s="326"/>
      <c r="Y534" s="326"/>
    </row>
    <row r="535">
      <c r="A535" s="326"/>
      <c r="B535" s="326"/>
      <c r="C535" s="326"/>
      <c r="D535" s="326"/>
      <c r="E535" s="326"/>
      <c r="F535" s="326"/>
      <c r="G535" s="326"/>
      <c r="H535" s="326"/>
      <c r="I535" s="326"/>
      <c r="J535" s="326"/>
      <c r="K535" s="326"/>
      <c r="L535" s="326"/>
      <c r="M535" s="326"/>
      <c r="N535" s="326"/>
      <c r="O535" s="326"/>
      <c r="P535" s="326"/>
      <c r="Q535" s="326"/>
      <c r="R535" s="326"/>
      <c r="S535" s="326"/>
      <c r="T535" s="326"/>
      <c r="U535" s="326"/>
      <c r="V535" s="326"/>
      <c r="W535" s="326"/>
      <c r="X535" s="326"/>
      <c r="Y535" s="326"/>
    </row>
    <row r="536">
      <c r="A536" s="326"/>
      <c r="B536" s="326"/>
      <c r="C536" s="326"/>
      <c r="D536" s="326"/>
      <c r="E536" s="326"/>
      <c r="F536" s="326"/>
      <c r="G536" s="326"/>
      <c r="H536" s="326"/>
      <c r="I536" s="326"/>
      <c r="J536" s="326"/>
      <c r="K536" s="326"/>
      <c r="L536" s="326"/>
      <c r="M536" s="326"/>
      <c r="N536" s="326"/>
      <c r="O536" s="326"/>
      <c r="P536" s="326"/>
      <c r="Q536" s="326"/>
      <c r="R536" s="326"/>
      <c r="S536" s="326"/>
      <c r="T536" s="326"/>
      <c r="U536" s="326"/>
      <c r="V536" s="326"/>
      <c r="W536" s="326"/>
      <c r="X536" s="326"/>
      <c r="Y536" s="326"/>
    </row>
    <row r="537">
      <c r="A537" s="326"/>
      <c r="B537" s="326"/>
      <c r="C537" s="326"/>
      <c r="D537" s="326"/>
      <c r="E537" s="326"/>
      <c r="F537" s="326"/>
      <c r="G537" s="326"/>
      <c r="H537" s="326"/>
      <c r="I537" s="326"/>
      <c r="J537" s="326"/>
      <c r="K537" s="326"/>
      <c r="L537" s="326"/>
      <c r="M537" s="326"/>
      <c r="N537" s="326"/>
      <c r="O537" s="326"/>
      <c r="P537" s="326"/>
      <c r="Q537" s="326"/>
      <c r="R537" s="326"/>
      <c r="S537" s="326"/>
      <c r="T537" s="326"/>
      <c r="U537" s="326"/>
      <c r="V537" s="326"/>
      <c r="W537" s="326"/>
      <c r="X537" s="326"/>
      <c r="Y537" s="326"/>
    </row>
    <row r="538">
      <c r="A538" s="326"/>
      <c r="B538" s="326"/>
      <c r="C538" s="326"/>
      <c r="D538" s="326"/>
      <c r="E538" s="326"/>
      <c r="F538" s="326"/>
      <c r="G538" s="326"/>
      <c r="H538" s="326"/>
      <c r="I538" s="326"/>
      <c r="J538" s="326"/>
      <c r="K538" s="326"/>
      <c r="L538" s="326"/>
      <c r="M538" s="326"/>
      <c r="N538" s="326"/>
      <c r="O538" s="326"/>
      <c r="P538" s="326"/>
      <c r="Q538" s="326"/>
      <c r="R538" s="326"/>
      <c r="S538" s="326"/>
      <c r="T538" s="326"/>
      <c r="U538" s="326"/>
      <c r="V538" s="326"/>
      <c r="W538" s="326"/>
      <c r="X538" s="326"/>
      <c r="Y538" s="326"/>
    </row>
    <row r="539">
      <c r="A539" s="326"/>
      <c r="B539" s="326"/>
      <c r="C539" s="326"/>
      <c r="D539" s="326"/>
      <c r="E539" s="326"/>
      <c r="F539" s="326"/>
      <c r="G539" s="326"/>
      <c r="H539" s="326"/>
      <c r="I539" s="326"/>
      <c r="J539" s="326"/>
      <c r="K539" s="326"/>
      <c r="L539" s="326"/>
      <c r="M539" s="326"/>
      <c r="N539" s="326"/>
      <c r="O539" s="326"/>
      <c r="P539" s="326"/>
      <c r="Q539" s="326"/>
      <c r="R539" s="326"/>
      <c r="S539" s="326"/>
      <c r="T539" s="326"/>
      <c r="U539" s="326"/>
      <c r="V539" s="326"/>
      <c r="W539" s="326"/>
      <c r="X539" s="326"/>
      <c r="Y539" s="326"/>
    </row>
    <row r="540">
      <c r="A540" s="326"/>
      <c r="B540" s="326"/>
      <c r="C540" s="326"/>
      <c r="D540" s="326"/>
      <c r="E540" s="326"/>
      <c r="F540" s="326"/>
      <c r="G540" s="326"/>
      <c r="H540" s="326"/>
      <c r="I540" s="326"/>
      <c r="J540" s="326"/>
      <c r="K540" s="326"/>
      <c r="L540" s="326"/>
      <c r="M540" s="326"/>
      <c r="N540" s="326"/>
      <c r="O540" s="326"/>
      <c r="P540" s="326"/>
      <c r="Q540" s="326"/>
      <c r="R540" s="326"/>
      <c r="S540" s="326"/>
      <c r="T540" s="326"/>
      <c r="U540" s="326"/>
      <c r="V540" s="326"/>
      <c r="W540" s="326"/>
      <c r="X540" s="326"/>
      <c r="Y540" s="326"/>
    </row>
    <row r="541">
      <c r="A541" s="326"/>
      <c r="B541" s="326"/>
      <c r="C541" s="326"/>
      <c r="D541" s="326"/>
      <c r="E541" s="326"/>
      <c r="F541" s="326"/>
      <c r="G541" s="326"/>
      <c r="H541" s="326"/>
      <c r="I541" s="326"/>
      <c r="J541" s="326"/>
      <c r="K541" s="326"/>
      <c r="L541" s="326"/>
      <c r="M541" s="326"/>
      <c r="N541" s="326"/>
      <c r="O541" s="326"/>
      <c r="P541" s="326"/>
      <c r="Q541" s="326"/>
      <c r="R541" s="326"/>
      <c r="S541" s="326"/>
      <c r="T541" s="326"/>
      <c r="U541" s="326"/>
      <c r="V541" s="326"/>
      <c r="W541" s="326"/>
      <c r="X541" s="326"/>
      <c r="Y541" s="326"/>
    </row>
    <row r="542">
      <c r="A542" s="326"/>
      <c r="B542" s="326"/>
      <c r="C542" s="326"/>
      <c r="D542" s="326"/>
      <c r="E542" s="326"/>
      <c r="F542" s="326"/>
      <c r="G542" s="326"/>
      <c r="H542" s="326"/>
      <c r="I542" s="326"/>
      <c r="J542" s="326"/>
      <c r="K542" s="326"/>
      <c r="L542" s="326"/>
      <c r="M542" s="326"/>
      <c r="N542" s="326"/>
      <c r="O542" s="326"/>
      <c r="P542" s="326"/>
      <c r="Q542" s="326"/>
      <c r="R542" s="326"/>
      <c r="S542" s="326"/>
      <c r="T542" s="326"/>
      <c r="U542" s="326"/>
      <c r="V542" s="326"/>
      <c r="W542" s="326"/>
      <c r="X542" s="326"/>
      <c r="Y542" s="326"/>
    </row>
    <row r="543">
      <c r="A543" s="326"/>
      <c r="B543" s="326"/>
      <c r="C543" s="326"/>
      <c r="D543" s="326"/>
      <c r="E543" s="326"/>
      <c r="F543" s="326"/>
      <c r="G543" s="326"/>
      <c r="H543" s="326"/>
      <c r="I543" s="326"/>
      <c r="J543" s="326"/>
      <c r="K543" s="326"/>
      <c r="L543" s="326"/>
      <c r="M543" s="326"/>
      <c r="N543" s="326"/>
      <c r="O543" s="326"/>
      <c r="P543" s="326"/>
      <c r="Q543" s="326"/>
      <c r="R543" s="326"/>
      <c r="S543" s="326"/>
      <c r="T543" s="326"/>
      <c r="U543" s="326"/>
      <c r="V543" s="326"/>
      <c r="W543" s="326"/>
      <c r="X543" s="326"/>
      <c r="Y543" s="326"/>
    </row>
    <row r="544">
      <c r="A544" s="326"/>
      <c r="B544" s="326"/>
      <c r="C544" s="326"/>
      <c r="D544" s="326"/>
      <c r="E544" s="326"/>
      <c r="F544" s="326"/>
      <c r="G544" s="326"/>
      <c r="H544" s="326"/>
      <c r="I544" s="326"/>
      <c r="J544" s="326"/>
      <c r="K544" s="326"/>
      <c r="L544" s="326"/>
      <c r="M544" s="326"/>
      <c r="N544" s="326"/>
      <c r="O544" s="326"/>
      <c r="P544" s="326"/>
      <c r="Q544" s="326"/>
      <c r="R544" s="326"/>
      <c r="S544" s="326"/>
      <c r="T544" s="326"/>
      <c r="U544" s="326"/>
      <c r="V544" s="326"/>
      <c r="W544" s="326"/>
      <c r="X544" s="326"/>
      <c r="Y544" s="326"/>
    </row>
    <row r="545">
      <c r="A545" s="326"/>
      <c r="B545" s="326"/>
      <c r="C545" s="326"/>
      <c r="D545" s="326"/>
      <c r="E545" s="326"/>
      <c r="F545" s="326"/>
      <c r="G545" s="326"/>
      <c r="H545" s="326"/>
      <c r="I545" s="326"/>
      <c r="J545" s="326"/>
      <c r="K545" s="326"/>
      <c r="L545" s="326"/>
      <c r="M545" s="326"/>
      <c r="N545" s="326"/>
      <c r="O545" s="326"/>
      <c r="P545" s="326"/>
      <c r="Q545" s="326"/>
      <c r="R545" s="326"/>
      <c r="S545" s="326"/>
      <c r="T545" s="326"/>
      <c r="U545" s="326"/>
      <c r="V545" s="326"/>
      <c r="W545" s="326"/>
      <c r="X545" s="326"/>
      <c r="Y545" s="326"/>
    </row>
    <row r="546">
      <c r="A546" s="326"/>
      <c r="B546" s="326"/>
      <c r="C546" s="326"/>
      <c r="D546" s="326"/>
      <c r="E546" s="326"/>
      <c r="F546" s="326"/>
      <c r="G546" s="326"/>
      <c r="H546" s="326"/>
      <c r="I546" s="326"/>
      <c r="J546" s="326"/>
      <c r="K546" s="326"/>
      <c r="L546" s="326"/>
      <c r="M546" s="326"/>
      <c r="N546" s="326"/>
      <c r="O546" s="326"/>
      <c r="P546" s="326"/>
      <c r="Q546" s="326"/>
      <c r="R546" s="326"/>
      <c r="S546" s="326"/>
      <c r="T546" s="326"/>
      <c r="U546" s="326"/>
      <c r="V546" s="326"/>
      <c r="W546" s="326"/>
      <c r="X546" s="326"/>
      <c r="Y546" s="326"/>
    </row>
    <row r="547">
      <c r="A547" s="326"/>
      <c r="B547" s="326"/>
      <c r="C547" s="326"/>
      <c r="D547" s="326"/>
      <c r="E547" s="326"/>
      <c r="F547" s="326"/>
      <c r="G547" s="326"/>
      <c r="H547" s="326"/>
      <c r="I547" s="326"/>
      <c r="J547" s="326"/>
      <c r="K547" s="326"/>
      <c r="L547" s="326"/>
      <c r="M547" s="326"/>
      <c r="N547" s="326"/>
      <c r="O547" s="326"/>
      <c r="P547" s="326"/>
      <c r="Q547" s="326"/>
      <c r="R547" s="326"/>
      <c r="S547" s="326"/>
      <c r="T547" s="326"/>
      <c r="U547" s="326"/>
      <c r="V547" s="326"/>
      <c r="W547" s="326"/>
      <c r="X547" s="326"/>
      <c r="Y547" s="326"/>
    </row>
    <row r="548">
      <c r="A548" s="326"/>
      <c r="B548" s="326"/>
      <c r="C548" s="326"/>
      <c r="D548" s="326"/>
      <c r="E548" s="326"/>
      <c r="F548" s="326"/>
      <c r="G548" s="326"/>
      <c r="H548" s="326"/>
      <c r="I548" s="326"/>
      <c r="J548" s="326"/>
      <c r="K548" s="326"/>
      <c r="L548" s="326"/>
      <c r="M548" s="326"/>
      <c r="N548" s="326"/>
      <c r="O548" s="326"/>
      <c r="P548" s="326"/>
      <c r="Q548" s="326"/>
      <c r="R548" s="326"/>
      <c r="S548" s="326"/>
      <c r="T548" s="326"/>
      <c r="U548" s="326"/>
      <c r="V548" s="326"/>
      <c r="W548" s="326"/>
      <c r="X548" s="326"/>
      <c r="Y548" s="326"/>
    </row>
    <row r="549">
      <c r="A549" s="326"/>
      <c r="B549" s="326"/>
      <c r="C549" s="326"/>
      <c r="D549" s="326"/>
      <c r="E549" s="326"/>
      <c r="F549" s="326"/>
      <c r="G549" s="326"/>
      <c r="H549" s="326"/>
      <c r="I549" s="326"/>
      <c r="J549" s="326"/>
      <c r="K549" s="326"/>
      <c r="L549" s="326"/>
      <c r="M549" s="326"/>
      <c r="N549" s="326"/>
      <c r="O549" s="326"/>
      <c r="P549" s="326"/>
      <c r="Q549" s="326"/>
      <c r="R549" s="326"/>
      <c r="S549" s="326"/>
      <c r="T549" s="326"/>
      <c r="U549" s="326"/>
      <c r="V549" s="326"/>
      <c r="W549" s="326"/>
      <c r="X549" s="326"/>
      <c r="Y549" s="326"/>
    </row>
    <row r="550">
      <c r="A550" s="326"/>
      <c r="B550" s="326"/>
      <c r="C550" s="326"/>
      <c r="D550" s="326"/>
      <c r="E550" s="326"/>
      <c r="F550" s="326"/>
      <c r="G550" s="326"/>
      <c r="H550" s="326"/>
      <c r="I550" s="326"/>
      <c r="J550" s="326"/>
      <c r="K550" s="326"/>
      <c r="L550" s="326"/>
      <c r="M550" s="326"/>
      <c r="N550" s="326"/>
      <c r="O550" s="326"/>
      <c r="P550" s="326"/>
      <c r="Q550" s="326"/>
      <c r="R550" s="326"/>
      <c r="S550" s="326"/>
      <c r="T550" s="326"/>
      <c r="U550" s="326"/>
      <c r="V550" s="326"/>
      <c r="W550" s="326"/>
      <c r="X550" s="326"/>
      <c r="Y550" s="326"/>
    </row>
    <row r="551">
      <c r="A551" s="326"/>
      <c r="B551" s="326"/>
      <c r="C551" s="326"/>
      <c r="D551" s="326"/>
      <c r="E551" s="326"/>
      <c r="F551" s="326"/>
      <c r="G551" s="326"/>
      <c r="H551" s="326"/>
      <c r="I551" s="326"/>
      <c r="J551" s="326"/>
      <c r="K551" s="326"/>
      <c r="L551" s="326"/>
      <c r="M551" s="326"/>
      <c r="N551" s="326"/>
      <c r="O551" s="326"/>
      <c r="P551" s="326"/>
      <c r="Q551" s="326"/>
      <c r="R551" s="326"/>
      <c r="S551" s="326"/>
      <c r="T551" s="326"/>
      <c r="U551" s="326"/>
      <c r="V551" s="326"/>
      <c r="W551" s="326"/>
      <c r="X551" s="326"/>
      <c r="Y551" s="326"/>
    </row>
    <row r="552">
      <c r="A552" s="326"/>
      <c r="B552" s="326"/>
      <c r="C552" s="326"/>
      <c r="D552" s="326"/>
      <c r="E552" s="326"/>
      <c r="F552" s="326"/>
      <c r="G552" s="326"/>
      <c r="H552" s="326"/>
      <c r="I552" s="326"/>
      <c r="J552" s="326"/>
      <c r="K552" s="326"/>
      <c r="L552" s="326"/>
      <c r="M552" s="326"/>
      <c r="N552" s="326"/>
      <c r="O552" s="326"/>
      <c r="P552" s="326"/>
      <c r="Q552" s="326"/>
      <c r="R552" s="326"/>
      <c r="S552" s="326"/>
      <c r="T552" s="326"/>
      <c r="U552" s="326"/>
      <c r="V552" s="326"/>
      <c r="W552" s="326"/>
      <c r="X552" s="326"/>
      <c r="Y552" s="326"/>
    </row>
    <row r="553">
      <c r="A553" s="326"/>
      <c r="B553" s="326"/>
      <c r="C553" s="326"/>
      <c r="D553" s="326"/>
      <c r="E553" s="326"/>
      <c r="F553" s="326"/>
      <c r="G553" s="326"/>
      <c r="H553" s="326"/>
      <c r="I553" s="326"/>
      <c r="J553" s="326"/>
      <c r="K553" s="326"/>
      <c r="L553" s="326"/>
      <c r="M553" s="326"/>
      <c r="N553" s="326"/>
      <c r="O553" s="326"/>
      <c r="P553" s="326"/>
      <c r="Q553" s="326"/>
      <c r="R553" s="326"/>
      <c r="S553" s="326"/>
      <c r="T553" s="326"/>
      <c r="U553" s="326"/>
      <c r="V553" s="326"/>
      <c r="W553" s="326"/>
      <c r="X553" s="326"/>
      <c r="Y553" s="326"/>
    </row>
    <row r="554">
      <c r="A554" s="326"/>
      <c r="B554" s="326"/>
      <c r="C554" s="326"/>
      <c r="D554" s="326"/>
      <c r="E554" s="326"/>
      <c r="F554" s="326"/>
      <c r="G554" s="326"/>
      <c r="H554" s="326"/>
      <c r="I554" s="326"/>
      <c r="J554" s="326"/>
      <c r="K554" s="326"/>
      <c r="L554" s="326"/>
      <c r="M554" s="326"/>
      <c r="N554" s="326"/>
      <c r="O554" s="326"/>
      <c r="P554" s="326"/>
      <c r="Q554" s="326"/>
      <c r="R554" s="326"/>
      <c r="S554" s="326"/>
      <c r="T554" s="326"/>
      <c r="U554" s="326"/>
      <c r="V554" s="326"/>
      <c r="W554" s="326"/>
      <c r="X554" s="326"/>
      <c r="Y554" s="326"/>
    </row>
    <row r="555">
      <c r="A555" s="326"/>
      <c r="B555" s="326"/>
      <c r="C555" s="326"/>
      <c r="D555" s="326"/>
      <c r="E555" s="326"/>
      <c r="F555" s="326"/>
      <c r="G555" s="326"/>
      <c r="H555" s="326"/>
      <c r="I555" s="326"/>
      <c r="J555" s="326"/>
      <c r="K555" s="326"/>
      <c r="L555" s="326"/>
      <c r="M555" s="326"/>
      <c r="N555" s="326"/>
      <c r="O555" s="326"/>
      <c r="P555" s="326"/>
      <c r="Q555" s="326"/>
      <c r="R555" s="326"/>
      <c r="S555" s="326"/>
      <c r="T555" s="326"/>
      <c r="U555" s="326"/>
      <c r="V555" s="326"/>
      <c r="W555" s="326"/>
      <c r="X555" s="326"/>
      <c r="Y555" s="326"/>
    </row>
    <row r="556">
      <c r="A556" s="326"/>
      <c r="B556" s="326"/>
      <c r="C556" s="326"/>
      <c r="D556" s="326"/>
      <c r="E556" s="326"/>
      <c r="F556" s="326"/>
      <c r="G556" s="326"/>
      <c r="H556" s="326"/>
      <c r="I556" s="326"/>
      <c r="J556" s="326"/>
      <c r="K556" s="326"/>
      <c r="L556" s="326"/>
      <c r="M556" s="326"/>
      <c r="N556" s="326"/>
      <c r="O556" s="326"/>
      <c r="P556" s="326"/>
      <c r="Q556" s="326"/>
      <c r="R556" s="326"/>
      <c r="S556" s="326"/>
      <c r="T556" s="326"/>
      <c r="U556" s="326"/>
      <c r="V556" s="326"/>
      <c r="W556" s="326"/>
      <c r="X556" s="326"/>
      <c r="Y556" s="326"/>
    </row>
    <row r="557">
      <c r="A557" s="326"/>
      <c r="B557" s="326"/>
      <c r="C557" s="326"/>
      <c r="D557" s="326"/>
      <c r="E557" s="326"/>
      <c r="F557" s="326"/>
      <c r="G557" s="326"/>
      <c r="H557" s="326"/>
      <c r="I557" s="326"/>
      <c r="J557" s="326"/>
      <c r="K557" s="326"/>
      <c r="L557" s="326"/>
      <c r="M557" s="326"/>
      <c r="N557" s="326"/>
      <c r="O557" s="326"/>
      <c r="P557" s="326"/>
      <c r="Q557" s="326"/>
      <c r="R557" s="326"/>
      <c r="S557" s="326"/>
      <c r="T557" s="326"/>
      <c r="U557" s="326"/>
      <c r="V557" s="326"/>
      <c r="W557" s="326"/>
      <c r="X557" s="326"/>
      <c r="Y557" s="326"/>
    </row>
    <row r="558">
      <c r="A558" s="326"/>
      <c r="B558" s="326"/>
      <c r="C558" s="326"/>
      <c r="D558" s="326"/>
      <c r="E558" s="326"/>
      <c r="F558" s="326"/>
      <c r="G558" s="326"/>
      <c r="H558" s="326"/>
      <c r="I558" s="326"/>
      <c r="J558" s="326"/>
      <c r="K558" s="326"/>
      <c r="L558" s="326"/>
      <c r="M558" s="326"/>
      <c r="N558" s="326"/>
      <c r="O558" s="326"/>
      <c r="P558" s="326"/>
      <c r="Q558" s="326"/>
      <c r="R558" s="326"/>
      <c r="S558" s="326"/>
      <c r="T558" s="326"/>
      <c r="U558" s="326"/>
      <c r="V558" s="326"/>
      <c r="W558" s="326"/>
      <c r="X558" s="326"/>
      <c r="Y558" s="326"/>
    </row>
    <row r="559">
      <c r="A559" s="326"/>
      <c r="B559" s="326"/>
      <c r="C559" s="326"/>
      <c r="D559" s="326"/>
      <c r="E559" s="326"/>
      <c r="F559" s="326"/>
      <c r="G559" s="326"/>
      <c r="H559" s="326"/>
      <c r="I559" s="326"/>
      <c r="J559" s="326"/>
      <c r="K559" s="326"/>
      <c r="L559" s="326"/>
      <c r="M559" s="326"/>
      <c r="N559" s="326"/>
      <c r="O559" s="326"/>
      <c r="P559" s="326"/>
      <c r="Q559" s="326"/>
      <c r="R559" s="326"/>
      <c r="S559" s="326"/>
      <c r="T559" s="326"/>
      <c r="U559" s="326"/>
      <c r="V559" s="326"/>
      <c r="W559" s="326"/>
      <c r="X559" s="326"/>
      <c r="Y559" s="326"/>
    </row>
    <row r="560">
      <c r="A560" s="326"/>
      <c r="B560" s="326"/>
      <c r="C560" s="326"/>
      <c r="D560" s="326"/>
      <c r="E560" s="326"/>
      <c r="F560" s="326"/>
      <c r="G560" s="326"/>
      <c r="H560" s="326"/>
      <c r="I560" s="326"/>
      <c r="J560" s="326"/>
      <c r="K560" s="326"/>
      <c r="L560" s="326"/>
      <c r="M560" s="326"/>
      <c r="N560" s="326"/>
      <c r="O560" s="326"/>
      <c r="P560" s="326"/>
      <c r="Q560" s="326"/>
      <c r="R560" s="326"/>
      <c r="S560" s="326"/>
      <c r="T560" s="326"/>
      <c r="U560" s="326"/>
      <c r="V560" s="326"/>
      <c r="W560" s="326"/>
      <c r="X560" s="326"/>
      <c r="Y560" s="326"/>
    </row>
    <row r="561">
      <c r="A561" s="326"/>
      <c r="B561" s="326"/>
      <c r="C561" s="326"/>
      <c r="D561" s="326"/>
      <c r="E561" s="326"/>
      <c r="F561" s="326"/>
      <c r="G561" s="326"/>
      <c r="H561" s="326"/>
      <c r="I561" s="326"/>
      <c r="J561" s="326"/>
      <c r="K561" s="326"/>
      <c r="L561" s="326"/>
      <c r="M561" s="326"/>
      <c r="N561" s="326"/>
      <c r="O561" s="326"/>
      <c r="P561" s="326"/>
      <c r="Q561" s="326"/>
      <c r="R561" s="326"/>
      <c r="S561" s="326"/>
      <c r="T561" s="326"/>
      <c r="U561" s="326"/>
      <c r="V561" s="326"/>
      <c r="W561" s="326"/>
      <c r="X561" s="326"/>
      <c r="Y561" s="326"/>
    </row>
    <row r="562">
      <c r="A562" s="326"/>
      <c r="B562" s="326"/>
      <c r="C562" s="326"/>
      <c r="D562" s="326"/>
      <c r="E562" s="326"/>
      <c r="F562" s="326"/>
      <c r="G562" s="326"/>
      <c r="H562" s="326"/>
      <c r="I562" s="326"/>
      <c r="J562" s="326"/>
      <c r="K562" s="326"/>
      <c r="L562" s="326"/>
      <c r="M562" s="326"/>
      <c r="N562" s="326"/>
      <c r="O562" s="326"/>
      <c r="P562" s="326"/>
      <c r="Q562" s="326"/>
      <c r="R562" s="326"/>
      <c r="S562" s="326"/>
      <c r="T562" s="326"/>
      <c r="U562" s="326"/>
      <c r="V562" s="326"/>
      <c r="W562" s="326"/>
      <c r="X562" s="326"/>
      <c r="Y562" s="326"/>
    </row>
    <row r="563">
      <c r="A563" s="326"/>
      <c r="B563" s="326"/>
      <c r="C563" s="326"/>
      <c r="D563" s="326"/>
      <c r="E563" s="326"/>
      <c r="F563" s="326"/>
      <c r="G563" s="326"/>
      <c r="H563" s="326"/>
      <c r="I563" s="326"/>
      <c r="J563" s="326"/>
      <c r="K563" s="326"/>
      <c r="L563" s="326"/>
      <c r="M563" s="326"/>
      <c r="N563" s="326"/>
      <c r="O563" s="326"/>
      <c r="P563" s="326"/>
      <c r="Q563" s="326"/>
      <c r="R563" s="326"/>
      <c r="S563" s="326"/>
      <c r="T563" s="326"/>
      <c r="U563" s="326"/>
      <c r="V563" s="326"/>
      <c r="W563" s="326"/>
      <c r="X563" s="326"/>
      <c r="Y563" s="326"/>
    </row>
    <row r="564">
      <c r="A564" s="326"/>
      <c r="B564" s="326"/>
      <c r="C564" s="326"/>
      <c r="D564" s="326"/>
      <c r="E564" s="326"/>
      <c r="F564" s="326"/>
      <c r="G564" s="326"/>
      <c r="H564" s="326"/>
      <c r="I564" s="326"/>
      <c r="J564" s="326"/>
      <c r="K564" s="326"/>
      <c r="L564" s="326"/>
      <c r="M564" s="326"/>
      <c r="N564" s="326"/>
      <c r="O564" s="326"/>
      <c r="P564" s="326"/>
      <c r="Q564" s="326"/>
      <c r="R564" s="326"/>
      <c r="S564" s="326"/>
      <c r="T564" s="326"/>
      <c r="U564" s="326"/>
      <c r="V564" s="326"/>
      <c r="W564" s="326"/>
      <c r="X564" s="326"/>
      <c r="Y564" s="326"/>
    </row>
    <row r="565">
      <c r="A565" s="326"/>
      <c r="B565" s="326"/>
      <c r="C565" s="326"/>
      <c r="D565" s="326"/>
      <c r="E565" s="326"/>
      <c r="F565" s="326"/>
      <c r="G565" s="326"/>
      <c r="H565" s="326"/>
      <c r="I565" s="326"/>
      <c r="J565" s="326"/>
      <c r="K565" s="326"/>
      <c r="L565" s="326"/>
      <c r="M565" s="326"/>
      <c r="N565" s="326"/>
      <c r="O565" s="326"/>
      <c r="P565" s="326"/>
      <c r="Q565" s="326"/>
      <c r="R565" s="326"/>
      <c r="S565" s="326"/>
      <c r="T565" s="326"/>
      <c r="U565" s="326"/>
      <c r="V565" s="326"/>
      <c r="W565" s="326"/>
      <c r="X565" s="326"/>
      <c r="Y565" s="326"/>
    </row>
    <row r="566">
      <c r="A566" s="326"/>
      <c r="B566" s="326"/>
      <c r="C566" s="326"/>
      <c r="D566" s="326"/>
      <c r="E566" s="326"/>
      <c r="F566" s="326"/>
      <c r="G566" s="326"/>
      <c r="H566" s="326"/>
      <c r="I566" s="326"/>
      <c r="J566" s="326"/>
      <c r="K566" s="326"/>
      <c r="L566" s="326"/>
      <c r="M566" s="326"/>
      <c r="N566" s="326"/>
      <c r="O566" s="326"/>
      <c r="P566" s="326"/>
      <c r="Q566" s="326"/>
      <c r="R566" s="326"/>
      <c r="S566" s="326"/>
      <c r="T566" s="326"/>
      <c r="U566" s="326"/>
      <c r="V566" s="326"/>
      <c r="W566" s="326"/>
      <c r="X566" s="326"/>
      <c r="Y566" s="326"/>
    </row>
    <row r="567">
      <c r="A567" s="326"/>
      <c r="B567" s="326"/>
      <c r="C567" s="326"/>
      <c r="D567" s="326"/>
      <c r="E567" s="326"/>
      <c r="F567" s="326"/>
      <c r="G567" s="326"/>
      <c r="H567" s="326"/>
      <c r="I567" s="326"/>
      <c r="J567" s="326"/>
      <c r="K567" s="326"/>
      <c r="L567" s="326"/>
      <c r="M567" s="326"/>
      <c r="N567" s="326"/>
      <c r="O567" s="326"/>
      <c r="P567" s="326"/>
      <c r="Q567" s="326"/>
      <c r="R567" s="326"/>
      <c r="S567" s="326"/>
      <c r="T567" s="326"/>
      <c r="U567" s="326"/>
      <c r="V567" s="326"/>
      <c r="W567" s="326"/>
      <c r="X567" s="326"/>
      <c r="Y567" s="326"/>
    </row>
    <row r="568">
      <c r="A568" s="326"/>
      <c r="B568" s="326"/>
      <c r="C568" s="326"/>
      <c r="D568" s="326"/>
      <c r="E568" s="326"/>
      <c r="F568" s="326"/>
      <c r="G568" s="326"/>
      <c r="H568" s="326"/>
      <c r="I568" s="326"/>
      <c r="J568" s="326"/>
      <c r="K568" s="326"/>
      <c r="L568" s="326"/>
      <c r="M568" s="326"/>
      <c r="N568" s="326"/>
      <c r="O568" s="326"/>
      <c r="P568" s="326"/>
      <c r="Q568" s="326"/>
      <c r="R568" s="326"/>
      <c r="S568" s="326"/>
      <c r="T568" s="326"/>
      <c r="U568" s="326"/>
      <c r="V568" s="326"/>
      <c r="W568" s="326"/>
      <c r="X568" s="326"/>
      <c r="Y568" s="326"/>
    </row>
    <row r="569">
      <c r="A569" s="326"/>
      <c r="B569" s="326"/>
      <c r="C569" s="326"/>
      <c r="D569" s="326"/>
      <c r="E569" s="326"/>
      <c r="F569" s="326"/>
      <c r="G569" s="326"/>
      <c r="H569" s="326"/>
      <c r="I569" s="326"/>
      <c r="J569" s="326"/>
      <c r="K569" s="326"/>
      <c r="L569" s="326"/>
      <c r="M569" s="326"/>
      <c r="N569" s="326"/>
      <c r="O569" s="326"/>
      <c r="P569" s="326"/>
      <c r="Q569" s="326"/>
      <c r="R569" s="326"/>
      <c r="S569" s="326"/>
      <c r="T569" s="326"/>
      <c r="U569" s="326"/>
      <c r="V569" s="326"/>
      <c r="W569" s="326"/>
      <c r="X569" s="326"/>
      <c r="Y569" s="326"/>
    </row>
    <row r="570">
      <c r="A570" s="326"/>
      <c r="B570" s="326"/>
      <c r="C570" s="326"/>
      <c r="D570" s="326"/>
      <c r="E570" s="326"/>
      <c r="F570" s="326"/>
      <c r="G570" s="326"/>
      <c r="H570" s="326"/>
      <c r="I570" s="326"/>
      <c r="J570" s="326"/>
      <c r="K570" s="326"/>
      <c r="L570" s="326"/>
      <c r="M570" s="326"/>
      <c r="N570" s="326"/>
      <c r="O570" s="326"/>
      <c r="P570" s="326"/>
      <c r="Q570" s="326"/>
      <c r="R570" s="326"/>
      <c r="S570" s="326"/>
      <c r="T570" s="326"/>
      <c r="U570" s="326"/>
      <c r="V570" s="326"/>
      <c r="W570" s="326"/>
      <c r="X570" s="326"/>
      <c r="Y570" s="326"/>
    </row>
    <row r="571">
      <c r="A571" s="326"/>
      <c r="B571" s="326"/>
      <c r="C571" s="326"/>
      <c r="D571" s="326"/>
      <c r="E571" s="326"/>
      <c r="F571" s="326"/>
      <c r="G571" s="326"/>
      <c r="H571" s="326"/>
      <c r="I571" s="326"/>
      <c r="J571" s="326"/>
      <c r="K571" s="326"/>
      <c r="L571" s="326"/>
      <c r="M571" s="326"/>
      <c r="N571" s="326"/>
      <c r="O571" s="326"/>
      <c r="P571" s="326"/>
      <c r="Q571" s="326"/>
      <c r="R571" s="326"/>
      <c r="S571" s="326"/>
      <c r="T571" s="326"/>
      <c r="U571" s="326"/>
      <c r="V571" s="326"/>
      <c r="W571" s="326"/>
      <c r="X571" s="326"/>
      <c r="Y571" s="326"/>
    </row>
    <row r="572">
      <c r="A572" s="326"/>
      <c r="B572" s="326"/>
      <c r="C572" s="326"/>
      <c r="D572" s="326"/>
      <c r="E572" s="326"/>
      <c r="F572" s="326"/>
      <c r="G572" s="326"/>
      <c r="H572" s="326"/>
      <c r="I572" s="326"/>
      <c r="J572" s="326"/>
      <c r="K572" s="326"/>
      <c r="L572" s="326"/>
      <c r="M572" s="326"/>
      <c r="N572" s="326"/>
      <c r="O572" s="326"/>
      <c r="P572" s="326"/>
      <c r="Q572" s="326"/>
      <c r="R572" s="326"/>
      <c r="S572" s="326"/>
      <c r="T572" s="326"/>
      <c r="U572" s="326"/>
      <c r="V572" s="326"/>
      <c r="W572" s="326"/>
      <c r="X572" s="326"/>
      <c r="Y572" s="326"/>
    </row>
    <row r="573">
      <c r="A573" s="326"/>
      <c r="B573" s="326"/>
      <c r="C573" s="326"/>
      <c r="D573" s="326"/>
      <c r="E573" s="326"/>
      <c r="F573" s="326"/>
      <c r="G573" s="326"/>
      <c r="H573" s="326"/>
      <c r="I573" s="326"/>
      <c r="J573" s="326"/>
      <c r="K573" s="326"/>
      <c r="L573" s="326"/>
      <c r="M573" s="326"/>
      <c r="N573" s="326"/>
      <c r="O573" s="326"/>
      <c r="P573" s="326"/>
      <c r="Q573" s="326"/>
      <c r="R573" s="326"/>
      <c r="S573" s="326"/>
      <c r="T573" s="326"/>
      <c r="U573" s="326"/>
      <c r="V573" s="326"/>
      <c r="W573" s="326"/>
      <c r="X573" s="326"/>
      <c r="Y573" s="326"/>
    </row>
    <row r="574">
      <c r="A574" s="326"/>
      <c r="B574" s="326"/>
      <c r="C574" s="326"/>
      <c r="D574" s="326"/>
      <c r="E574" s="326"/>
      <c r="F574" s="326"/>
      <c r="G574" s="326"/>
      <c r="H574" s="326"/>
      <c r="I574" s="326"/>
      <c r="J574" s="326"/>
      <c r="K574" s="326"/>
      <c r="L574" s="326"/>
      <c r="M574" s="326"/>
      <c r="N574" s="326"/>
      <c r="O574" s="326"/>
      <c r="P574" s="326"/>
      <c r="Q574" s="326"/>
      <c r="R574" s="326"/>
      <c r="S574" s="326"/>
      <c r="T574" s="326"/>
      <c r="U574" s="326"/>
      <c r="V574" s="326"/>
      <c r="W574" s="326"/>
      <c r="X574" s="326"/>
      <c r="Y574" s="326"/>
    </row>
    <row r="575">
      <c r="A575" s="326"/>
      <c r="B575" s="326"/>
      <c r="C575" s="326"/>
      <c r="D575" s="326"/>
      <c r="E575" s="326"/>
      <c r="F575" s="326"/>
      <c r="G575" s="326"/>
      <c r="H575" s="326"/>
      <c r="I575" s="326"/>
      <c r="J575" s="326"/>
      <c r="K575" s="326"/>
      <c r="L575" s="326"/>
      <c r="M575" s="326"/>
      <c r="N575" s="326"/>
      <c r="O575" s="326"/>
      <c r="P575" s="326"/>
      <c r="Q575" s="326"/>
      <c r="R575" s="326"/>
      <c r="S575" s="326"/>
      <c r="T575" s="326"/>
      <c r="U575" s="326"/>
      <c r="V575" s="326"/>
      <c r="W575" s="326"/>
      <c r="X575" s="326"/>
      <c r="Y575" s="326"/>
    </row>
    <row r="576">
      <c r="A576" s="326"/>
      <c r="B576" s="326"/>
      <c r="C576" s="326"/>
      <c r="D576" s="326"/>
      <c r="E576" s="326"/>
      <c r="F576" s="326"/>
      <c r="G576" s="326"/>
      <c r="H576" s="326"/>
      <c r="I576" s="326"/>
      <c r="J576" s="326"/>
      <c r="K576" s="326"/>
      <c r="L576" s="326"/>
      <c r="M576" s="326"/>
      <c r="N576" s="326"/>
      <c r="O576" s="326"/>
      <c r="P576" s="326"/>
      <c r="Q576" s="326"/>
      <c r="R576" s="326"/>
      <c r="S576" s="326"/>
      <c r="T576" s="326"/>
      <c r="U576" s="326"/>
      <c r="V576" s="326"/>
      <c r="W576" s="326"/>
      <c r="X576" s="326"/>
      <c r="Y576" s="326"/>
    </row>
    <row r="577">
      <c r="A577" s="326"/>
      <c r="B577" s="326"/>
      <c r="C577" s="326"/>
      <c r="D577" s="326"/>
      <c r="E577" s="326"/>
      <c r="F577" s="326"/>
      <c r="G577" s="326"/>
      <c r="H577" s="326"/>
      <c r="I577" s="326"/>
      <c r="J577" s="326"/>
      <c r="K577" s="326"/>
      <c r="L577" s="326"/>
      <c r="M577" s="326"/>
      <c r="N577" s="326"/>
      <c r="O577" s="326"/>
      <c r="P577" s="326"/>
      <c r="Q577" s="326"/>
      <c r="R577" s="326"/>
      <c r="S577" s="326"/>
      <c r="T577" s="326"/>
      <c r="U577" s="326"/>
      <c r="V577" s="326"/>
      <c r="W577" s="326"/>
      <c r="X577" s="326"/>
      <c r="Y577" s="326"/>
    </row>
    <row r="578">
      <c r="A578" s="326"/>
      <c r="B578" s="326"/>
      <c r="C578" s="326"/>
      <c r="D578" s="326"/>
      <c r="E578" s="326"/>
      <c r="F578" s="326"/>
      <c r="G578" s="326"/>
      <c r="H578" s="326"/>
      <c r="I578" s="326"/>
      <c r="J578" s="326"/>
      <c r="K578" s="326"/>
      <c r="L578" s="326"/>
      <c r="M578" s="326"/>
      <c r="N578" s="326"/>
      <c r="O578" s="326"/>
      <c r="P578" s="326"/>
      <c r="Q578" s="326"/>
      <c r="R578" s="326"/>
      <c r="S578" s="326"/>
      <c r="T578" s="326"/>
      <c r="U578" s="326"/>
      <c r="V578" s="326"/>
      <c r="W578" s="326"/>
      <c r="X578" s="326"/>
      <c r="Y578" s="326"/>
    </row>
    <row r="579">
      <c r="A579" s="326"/>
      <c r="B579" s="326"/>
      <c r="C579" s="326"/>
      <c r="D579" s="326"/>
      <c r="E579" s="326"/>
      <c r="F579" s="326"/>
      <c r="G579" s="326"/>
      <c r="H579" s="326"/>
      <c r="I579" s="326"/>
      <c r="J579" s="326"/>
      <c r="K579" s="326"/>
      <c r="L579" s="326"/>
      <c r="M579" s="326"/>
      <c r="N579" s="326"/>
      <c r="O579" s="326"/>
      <c r="P579" s="326"/>
      <c r="Q579" s="326"/>
      <c r="R579" s="326"/>
      <c r="S579" s="326"/>
      <c r="T579" s="326"/>
      <c r="U579" s="326"/>
      <c r="V579" s="326"/>
      <c r="W579" s="326"/>
      <c r="X579" s="326"/>
      <c r="Y579" s="326"/>
    </row>
    <row r="580">
      <c r="A580" s="326"/>
      <c r="B580" s="326"/>
      <c r="C580" s="326"/>
      <c r="D580" s="326"/>
      <c r="E580" s="326"/>
      <c r="F580" s="326"/>
      <c r="G580" s="326"/>
      <c r="H580" s="326"/>
      <c r="I580" s="326"/>
      <c r="J580" s="326"/>
      <c r="K580" s="326"/>
      <c r="L580" s="326"/>
      <c r="M580" s="326"/>
      <c r="N580" s="326"/>
      <c r="O580" s="326"/>
      <c r="P580" s="326"/>
      <c r="Q580" s="326"/>
      <c r="R580" s="326"/>
      <c r="S580" s="326"/>
      <c r="T580" s="326"/>
      <c r="U580" s="326"/>
      <c r="V580" s="326"/>
      <c r="W580" s="326"/>
      <c r="X580" s="326"/>
      <c r="Y580" s="326"/>
    </row>
    <row r="581">
      <c r="A581" s="326"/>
      <c r="B581" s="326"/>
      <c r="C581" s="326"/>
      <c r="D581" s="326"/>
      <c r="E581" s="326"/>
      <c r="F581" s="326"/>
      <c r="G581" s="326"/>
      <c r="H581" s="326"/>
      <c r="I581" s="326"/>
      <c r="J581" s="326"/>
      <c r="K581" s="326"/>
      <c r="L581" s="326"/>
      <c r="M581" s="326"/>
      <c r="N581" s="326"/>
      <c r="O581" s="326"/>
      <c r="P581" s="326"/>
      <c r="Q581" s="326"/>
      <c r="R581" s="326"/>
      <c r="S581" s="326"/>
      <c r="T581" s="326"/>
      <c r="U581" s="326"/>
      <c r="V581" s="326"/>
      <c r="W581" s="326"/>
      <c r="X581" s="326"/>
      <c r="Y581" s="326"/>
    </row>
    <row r="582">
      <c r="A582" s="326"/>
      <c r="B582" s="326"/>
      <c r="C582" s="326"/>
      <c r="D582" s="326"/>
      <c r="E582" s="326"/>
      <c r="F582" s="326"/>
      <c r="G582" s="326"/>
      <c r="H582" s="326"/>
      <c r="I582" s="326"/>
      <c r="J582" s="326"/>
      <c r="K582" s="326"/>
      <c r="L582" s="326"/>
      <c r="M582" s="326"/>
      <c r="N582" s="326"/>
      <c r="O582" s="326"/>
      <c r="P582" s="326"/>
      <c r="Q582" s="326"/>
      <c r="R582" s="326"/>
      <c r="S582" s="326"/>
      <c r="T582" s="326"/>
      <c r="U582" s="326"/>
      <c r="V582" s="326"/>
      <c r="W582" s="326"/>
      <c r="X582" s="326"/>
      <c r="Y582" s="326"/>
    </row>
    <row r="583">
      <c r="A583" s="326"/>
      <c r="B583" s="326"/>
      <c r="C583" s="326"/>
      <c r="D583" s="326"/>
      <c r="E583" s="326"/>
      <c r="F583" s="326"/>
      <c r="G583" s="326"/>
      <c r="H583" s="326"/>
      <c r="I583" s="326"/>
      <c r="J583" s="326"/>
      <c r="K583" s="326"/>
      <c r="L583" s="326"/>
      <c r="M583" s="326"/>
      <c r="N583" s="326"/>
      <c r="O583" s="326"/>
      <c r="P583" s="326"/>
      <c r="Q583" s="326"/>
      <c r="R583" s="326"/>
      <c r="S583" s="326"/>
      <c r="T583" s="326"/>
      <c r="U583" s="326"/>
      <c r="V583" s="326"/>
      <c r="W583" s="326"/>
      <c r="X583" s="326"/>
      <c r="Y583" s="326"/>
    </row>
    <row r="584">
      <c r="A584" s="326"/>
      <c r="B584" s="326"/>
      <c r="C584" s="326"/>
      <c r="D584" s="326"/>
      <c r="E584" s="326"/>
      <c r="F584" s="326"/>
      <c r="G584" s="326"/>
      <c r="H584" s="326"/>
      <c r="I584" s="326"/>
      <c r="J584" s="326"/>
      <c r="K584" s="326"/>
      <c r="L584" s="326"/>
      <c r="M584" s="326"/>
      <c r="N584" s="326"/>
      <c r="O584" s="326"/>
      <c r="P584" s="326"/>
      <c r="Q584" s="326"/>
      <c r="R584" s="326"/>
      <c r="S584" s="326"/>
      <c r="T584" s="326"/>
      <c r="U584" s="326"/>
      <c r="V584" s="326"/>
      <c r="W584" s="326"/>
      <c r="X584" s="326"/>
      <c r="Y584" s="326"/>
    </row>
    <row r="585">
      <c r="A585" s="326"/>
      <c r="B585" s="326"/>
      <c r="C585" s="326"/>
      <c r="D585" s="326"/>
      <c r="E585" s="326"/>
      <c r="F585" s="326"/>
      <c r="G585" s="326"/>
      <c r="H585" s="326"/>
      <c r="I585" s="326"/>
      <c r="J585" s="326"/>
      <c r="K585" s="326"/>
      <c r="L585" s="326"/>
      <c r="M585" s="326"/>
      <c r="N585" s="326"/>
      <c r="O585" s="326"/>
      <c r="P585" s="326"/>
      <c r="Q585" s="326"/>
      <c r="R585" s="326"/>
      <c r="S585" s="326"/>
      <c r="T585" s="326"/>
      <c r="U585" s="326"/>
      <c r="V585" s="326"/>
      <c r="W585" s="326"/>
      <c r="X585" s="326"/>
      <c r="Y585" s="326"/>
    </row>
    <row r="586">
      <c r="A586" s="326"/>
      <c r="B586" s="326"/>
      <c r="C586" s="326"/>
      <c r="D586" s="326"/>
      <c r="E586" s="326"/>
      <c r="F586" s="326"/>
      <c r="G586" s="326"/>
      <c r="H586" s="326"/>
      <c r="I586" s="326"/>
      <c r="J586" s="326"/>
      <c r="K586" s="326"/>
      <c r="L586" s="326"/>
      <c r="M586" s="326"/>
      <c r="N586" s="326"/>
      <c r="O586" s="326"/>
      <c r="P586" s="326"/>
      <c r="Q586" s="326"/>
      <c r="R586" s="326"/>
      <c r="S586" s="326"/>
      <c r="T586" s="326"/>
      <c r="U586" s="326"/>
      <c r="V586" s="326"/>
      <c r="W586" s="326"/>
      <c r="X586" s="326"/>
      <c r="Y586" s="326"/>
    </row>
    <row r="587">
      <c r="A587" s="326"/>
      <c r="B587" s="326"/>
      <c r="C587" s="326"/>
      <c r="D587" s="326"/>
      <c r="E587" s="326"/>
      <c r="F587" s="326"/>
      <c r="G587" s="326"/>
      <c r="H587" s="326"/>
      <c r="I587" s="326"/>
      <c r="J587" s="326"/>
      <c r="K587" s="326"/>
      <c r="L587" s="326"/>
      <c r="M587" s="326"/>
      <c r="N587" s="326"/>
      <c r="O587" s="326"/>
      <c r="P587" s="326"/>
      <c r="Q587" s="326"/>
      <c r="R587" s="326"/>
      <c r="S587" s="326"/>
      <c r="T587" s="326"/>
      <c r="U587" s="326"/>
      <c r="V587" s="326"/>
      <c r="W587" s="326"/>
      <c r="X587" s="326"/>
      <c r="Y587" s="326"/>
    </row>
    <row r="588">
      <c r="A588" s="326"/>
      <c r="B588" s="326"/>
      <c r="C588" s="326"/>
      <c r="D588" s="326"/>
      <c r="E588" s="326"/>
      <c r="F588" s="326"/>
      <c r="G588" s="326"/>
      <c r="H588" s="326"/>
      <c r="I588" s="326"/>
      <c r="J588" s="326"/>
      <c r="K588" s="326"/>
      <c r="L588" s="326"/>
      <c r="M588" s="326"/>
      <c r="N588" s="326"/>
      <c r="O588" s="326"/>
      <c r="P588" s="326"/>
      <c r="Q588" s="326"/>
      <c r="R588" s="326"/>
      <c r="S588" s="326"/>
      <c r="T588" s="326"/>
      <c r="U588" s="326"/>
      <c r="V588" s="326"/>
      <c r="W588" s="326"/>
      <c r="X588" s="326"/>
      <c r="Y588" s="326"/>
    </row>
    <row r="589">
      <c r="A589" s="326"/>
      <c r="B589" s="326"/>
      <c r="C589" s="326"/>
      <c r="D589" s="326"/>
      <c r="E589" s="326"/>
      <c r="F589" s="326"/>
      <c r="G589" s="326"/>
      <c r="H589" s="326"/>
      <c r="I589" s="326"/>
      <c r="J589" s="326"/>
      <c r="K589" s="326"/>
      <c r="L589" s="326"/>
      <c r="M589" s="326"/>
      <c r="N589" s="326"/>
      <c r="O589" s="326"/>
      <c r="P589" s="326"/>
      <c r="Q589" s="326"/>
      <c r="R589" s="326"/>
      <c r="S589" s="326"/>
      <c r="T589" s="326"/>
      <c r="U589" s="326"/>
      <c r="V589" s="326"/>
      <c r="W589" s="326"/>
      <c r="X589" s="326"/>
      <c r="Y589" s="326"/>
    </row>
    <row r="590">
      <c r="A590" s="326"/>
      <c r="B590" s="326"/>
      <c r="C590" s="326"/>
      <c r="D590" s="326"/>
      <c r="E590" s="326"/>
      <c r="F590" s="326"/>
      <c r="G590" s="326"/>
      <c r="H590" s="326"/>
      <c r="I590" s="326"/>
      <c r="J590" s="326"/>
      <c r="K590" s="326"/>
      <c r="L590" s="326"/>
      <c r="M590" s="326"/>
      <c r="N590" s="326"/>
      <c r="O590" s="326"/>
      <c r="P590" s="326"/>
      <c r="Q590" s="326"/>
      <c r="R590" s="326"/>
      <c r="S590" s="326"/>
      <c r="T590" s="326"/>
      <c r="U590" s="326"/>
      <c r="V590" s="326"/>
      <c r="W590" s="326"/>
      <c r="X590" s="326"/>
      <c r="Y590" s="326"/>
    </row>
    <row r="591">
      <c r="A591" s="326"/>
      <c r="B591" s="326"/>
      <c r="C591" s="326"/>
      <c r="D591" s="326"/>
      <c r="E591" s="326"/>
      <c r="F591" s="326"/>
      <c r="G591" s="326"/>
      <c r="H591" s="326"/>
      <c r="I591" s="326"/>
      <c r="J591" s="326"/>
      <c r="K591" s="326"/>
      <c r="L591" s="326"/>
      <c r="M591" s="326"/>
      <c r="N591" s="326"/>
      <c r="O591" s="326"/>
      <c r="P591" s="326"/>
      <c r="Q591" s="326"/>
      <c r="R591" s="326"/>
      <c r="S591" s="326"/>
      <c r="T591" s="326"/>
      <c r="U591" s="326"/>
      <c r="V591" s="326"/>
      <c r="W591" s="326"/>
      <c r="X591" s="326"/>
      <c r="Y591" s="326"/>
    </row>
    <row r="592">
      <c r="A592" s="326"/>
      <c r="B592" s="326"/>
      <c r="C592" s="326"/>
      <c r="D592" s="326"/>
      <c r="E592" s="326"/>
      <c r="F592" s="326"/>
      <c r="G592" s="326"/>
      <c r="H592" s="326"/>
      <c r="I592" s="326"/>
      <c r="J592" s="326"/>
      <c r="K592" s="326"/>
      <c r="L592" s="326"/>
      <c r="M592" s="326"/>
      <c r="N592" s="326"/>
      <c r="O592" s="326"/>
      <c r="P592" s="326"/>
      <c r="Q592" s="326"/>
      <c r="R592" s="326"/>
      <c r="S592" s="326"/>
      <c r="T592" s="326"/>
      <c r="U592" s="326"/>
      <c r="V592" s="326"/>
      <c r="W592" s="326"/>
      <c r="X592" s="326"/>
      <c r="Y592" s="326"/>
    </row>
    <row r="593">
      <c r="A593" s="326"/>
      <c r="B593" s="326"/>
      <c r="C593" s="326"/>
      <c r="D593" s="326"/>
      <c r="E593" s="326"/>
      <c r="F593" s="326"/>
      <c r="G593" s="326"/>
      <c r="H593" s="326"/>
      <c r="I593" s="326"/>
      <c r="J593" s="326"/>
      <c r="K593" s="326"/>
      <c r="L593" s="326"/>
      <c r="M593" s="326"/>
      <c r="N593" s="326"/>
      <c r="O593" s="326"/>
      <c r="P593" s="326"/>
      <c r="Q593" s="326"/>
      <c r="R593" s="326"/>
      <c r="S593" s="326"/>
      <c r="T593" s="326"/>
      <c r="U593" s="326"/>
      <c r="V593" s="326"/>
      <c r="W593" s="326"/>
      <c r="X593" s="326"/>
      <c r="Y593" s="326"/>
    </row>
    <row r="594">
      <c r="A594" s="326"/>
      <c r="B594" s="326"/>
      <c r="C594" s="326"/>
      <c r="D594" s="326"/>
      <c r="E594" s="326"/>
      <c r="F594" s="326"/>
      <c r="G594" s="326"/>
      <c r="H594" s="326"/>
      <c r="I594" s="326"/>
      <c r="J594" s="326"/>
      <c r="K594" s="326"/>
      <c r="L594" s="326"/>
      <c r="M594" s="326"/>
      <c r="N594" s="326"/>
      <c r="O594" s="326"/>
      <c r="P594" s="326"/>
      <c r="Q594" s="326"/>
      <c r="R594" s="326"/>
      <c r="S594" s="326"/>
      <c r="T594" s="326"/>
      <c r="U594" s="326"/>
      <c r="V594" s="326"/>
      <c r="W594" s="326"/>
      <c r="X594" s="326"/>
      <c r="Y594" s="326"/>
    </row>
    <row r="595">
      <c r="A595" s="326"/>
      <c r="B595" s="326"/>
      <c r="C595" s="326"/>
      <c r="D595" s="326"/>
      <c r="E595" s="326"/>
      <c r="F595" s="326"/>
      <c r="G595" s="326"/>
      <c r="H595" s="326"/>
      <c r="I595" s="326"/>
      <c r="J595" s="326"/>
      <c r="K595" s="326"/>
      <c r="L595" s="326"/>
      <c r="M595" s="326"/>
      <c r="N595" s="326"/>
      <c r="O595" s="326"/>
      <c r="P595" s="326"/>
      <c r="Q595" s="326"/>
      <c r="R595" s="326"/>
      <c r="S595" s="326"/>
      <c r="T595" s="326"/>
      <c r="U595" s="326"/>
      <c r="V595" s="326"/>
      <c r="W595" s="326"/>
      <c r="X595" s="326"/>
      <c r="Y595" s="326"/>
    </row>
    <row r="596">
      <c r="A596" s="326"/>
      <c r="B596" s="326"/>
      <c r="C596" s="326"/>
      <c r="D596" s="326"/>
      <c r="E596" s="326"/>
      <c r="F596" s="326"/>
      <c r="G596" s="326"/>
      <c r="H596" s="326"/>
      <c r="I596" s="326"/>
      <c r="J596" s="326"/>
      <c r="K596" s="326"/>
      <c r="L596" s="326"/>
      <c r="M596" s="326"/>
      <c r="N596" s="326"/>
      <c r="O596" s="326"/>
      <c r="P596" s="326"/>
      <c r="Q596" s="326"/>
      <c r="R596" s="326"/>
      <c r="S596" s="326"/>
      <c r="T596" s="326"/>
      <c r="U596" s="326"/>
      <c r="V596" s="326"/>
      <c r="W596" s="326"/>
      <c r="X596" s="326"/>
      <c r="Y596" s="326"/>
    </row>
    <row r="597">
      <c r="A597" s="326"/>
      <c r="B597" s="326"/>
      <c r="C597" s="326"/>
      <c r="D597" s="326"/>
      <c r="E597" s="326"/>
      <c r="F597" s="326"/>
      <c r="G597" s="326"/>
      <c r="H597" s="326"/>
      <c r="I597" s="326"/>
      <c r="J597" s="326"/>
      <c r="K597" s="326"/>
      <c r="L597" s="326"/>
      <c r="M597" s="326"/>
      <c r="N597" s="326"/>
      <c r="O597" s="326"/>
      <c r="P597" s="326"/>
      <c r="Q597" s="326"/>
      <c r="R597" s="326"/>
      <c r="S597" s="326"/>
      <c r="T597" s="326"/>
      <c r="U597" s="326"/>
      <c r="V597" s="326"/>
      <c r="W597" s="326"/>
      <c r="X597" s="326"/>
      <c r="Y597" s="326"/>
    </row>
    <row r="598">
      <c r="A598" s="326"/>
      <c r="B598" s="326"/>
      <c r="C598" s="326"/>
      <c r="D598" s="326"/>
      <c r="E598" s="326"/>
      <c r="F598" s="326"/>
      <c r="G598" s="326"/>
      <c r="H598" s="326"/>
      <c r="I598" s="326"/>
      <c r="J598" s="326"/>
      <c r="K598" s="326"/>
      <c r="L598" s="326"/>
      <c r="M598" s="326"/>
      <c r="N598" s="326"/>
      <c r="O598" s="326"/>
      <c r="P598" s="326"/>
      <c r="Q598" s="326"/>
      <c r="R598" s="326"/>
      <c r="S598" s="326"/>
      <c r="T598" s="326"/>
      <c r="U598" s="326"/>
      <c r="V598" s="326"/>
      <c r="W598" s="326"/>
      <c r="X598" s="326"/>
      <c r="Y598" s="326"/>
    </row>
    <row r="599">
      <c r="A599" s="326"/>
      <c r="B599" s="326"/>
      <c r="C599" s="326"/>
      <c r="D599" s="326"/>
      <c r="E599" s="326"/>
      <c r="F599" s="326"/>
      <c r="G599" s="326"/>
      <c r="H599" s="326"/>
      <c r="I599" s="326"/>
      <c r="J599" s="326"/>
      <c r="K599" s="326"/>
      <c r="L599" s="326"/>
      <c r="M599" s="326"/>
      <c r="N599" s="326"/>
      <c r="O599" s="326"/>
      <c r="P599" s="326"/>
      <c r="Q599" s="326"/>
      <c r="R599" s="326"/>
      <c r="S599" s="326"/>
      <c r="T599" s="326"/>
      <c r="U599" s="326"/>
      <c r="V599" s="326"/>
      <c r="W599" s="326"/>
      <c r="X599" s="326"/>
      <c r="Y599" s="326"/>
    </row>
    <row r="600">
      <c r="A600" s="326"/>
      <c r="B600" s="326"/>
      <c r="C600" s="326"/>
      <c r="D600" s="326"/>
      <c r="E600" s="326"/>
      <c r="F600" s="326"/>
      <c r="G600" s="326"/>
      <c r="H600" s="326"/>
      <c r="I600" s="326"/>
      <c r="J600" s="326"/>
      <c r="K600" s="326"/>
      <c r="L600" s="326"/>
      <c r="M600" s="326"/>
      <c r="N600" s="326"/>
      <c r="O600" s="326"/>
      <c r="P600" s="326"/>
      <c r="Q600" s="326"/>
      <c r="R600" s="326"/>
      <c r="S600" s="326"/>
      <c r="T600" s="326"/>
      <c r="U600" s="326"/>
      <c r="V600" s="326"/>
      <c r="W600" s="326"/>
      <c r="X600" s="326"/>
      <c r="Y600" s="326"/>
    </row>
    <row r="601">
      <c r="A601" s="326"/>
      <c r="B601" s="326"/>
      <c r="C601" s="326"/>
      <c r="D601" s="326"/>
      <c r="E601" s="326"/>
      <c r="F601" s="326"/>
      <c r="G601" s="326"/>
      <c r="H601" s="326"/>
      <c r="I601" s="326"/>
      <c r="J601" s="326"/>
      <c r="K601" s="326"/>
      <c r="L601" s="326"/>
      <c r="M601" s="326"/>
      <c r="N601" s="326"/>
      <c r="O601" s="326"/>
      <c r="P601" s="326"/>
      <c r="Q601" s="326"/>
      <c r="R601" s="326"/>
      <c r="S601" s="326"/>
      <c r="T601" s="326"/>
      <c r="U601" s="326"/>
      <c r="V601" s="326"/>
      <c r="W601" s="326"/>
      <c r="X601" s="326"/>
      <c r="Y601" s="326"/>
    </row>
    <row r="602">
      <c r="A602" s="326"/>
      <c r="B602" s="326"/>
      <c r="C602" s="326"/>
      <c r="D602" s="326"/>
      <c r="E602" s="326"/>
      <c r="F602" s="326"/>
      <c r="G602" s="326"/>
      <c r="H602" s="326"/>
      <c r="I602" s="326"/>
      <c r="J602" s="326"/>
      <c r="K602" s="326"/>
      <c r="L602" s="326"/>
      <c r="M602" s="326"/>
      <c r="N602" s="326"/>
      <c r="O602" s="326"/>
      <c r="P602" s="326"/>
      <c r="Q602" s="326"/>
      <c r="R602" s="326"/>
      <c r="S602" s="326"/>
      <c r="T602" s="326"/>
      <c r="U602" s="326"/>
      <c r="V602" s="326"/>
      <c r="W602" s="326"/>
      <c r="X602" s="326"/>
      <c r="Y602" s="326"/>
    </row>
    <row r="603">
      <c r="A603" s="326"/>
      <c r="B603" s="326"/>
      <c r="C603" s="326"/>
      <c r="D603" s="326"/>
      <c r="E603" s="326"/>
      <c r="F603" s="326"/>
      <c r="G603" s="326"/>
      <c r="H603" s="326"/>
      <c r="I603" s="326"/>
      <c r="J603" s="326"/>
      <c r="K603" s="326"/>
      <c r="L603" s="326"/>
      <c r="M603" s="326"/>
      <c r="N603" s="326"/>
      <c r="O603" s="326"/>
      <c r="P603" s="326"/>
      <c r="Q603" s="326"/>
      <c r="R603" s="326"/>
      <c r="S603" s="326"/>
      <c r="T603" s="326"/>
      <c r="U603" s="326"/>
      <c r="V603" s="326"/>
      <c r="W603" s="326"/>
      <c r="X603" s="326"/>
      <c r="Y603" s="326"/>
    </row>
    <row r="604">
      <c r="A604" s="326"/>
      <c r="B604" s="326"/>
      <c r="C604" s="326"/>
      <c r="D604" s="326"/>
      <c r="E604" s="326"/>
      <c r="F604" s="326"/>
      <c r="G604" s="326"/>
      <c r="H604" s="326"/>
      <c r="I604" s="326"/>
      <c r="J604" s="326"/>
      <c r="K604" s="326"/>
      <c r="L604" s="326"/>
      <c r="M604" s="326"/>
      <c r="N604" s="326"/>
      <c r="O604" s="326"/>
      <c r="P604" s="326"/>
      <c r="Q604" s="326"/>
      <c r="R604" s="326"/>
      <c r="S604" s="326"/>
      <c r="T604" s="326"/>
      <c r="U604" s="326"/>
      <c r="V604" s="326"/>
      <c r="W604" s="326"/>
      <c r="X604" s="326"/>
      <c r="Y604" s="326"/>
    </row>
    <row r="605">
      <c r="A605" s="326"/>
      <c r="B605" s="326"/>
      <c r="C605" s="326"/>
      <c r="D605" s="326"/>
      <c r="E605" s="326"/>
      <c r="F605" s="326"/>
      <c r="G605" s="326"/>
      <c r="H605" s="326"/>
      <c r="I605" s="326"/>
      <c r="J605" s="326"/>
      <c r="K605" s="326"/>
      <c r="L605" s="326"/>
      <c r="M605" s="326"/>
      <c r="N605" s="326"/>
      <c r="O605" s="326"/>
      <c r="P605" s="326"/>
      <c r="Q605" s="326"/>
      <c r="R605" s="326"/>
      <c r="S605" s="326"/>
      <c r="T605" s="326"/>
      <c r="U605" s="326"/>
      <c r="V605" s="326"/>
      <c r="W605" s="326"/>
      <c r="X605" s="326"/>
      <c r="Y605" s="326"/>
    </row>
    <row r="606">
      <c r="A606" s="326"/>
      <c r="B606" s="326"/>
      <c r="C606" s="326"/>
      <c r="D606" s="326"/>
      <c r="E606" s="326"/>
      <c r="F606" s="326"/>
      <c r="G606" s="326"/>
      <c r="H606" s="326"/>
      <c r="I606" s="326"/>
      <c r="J606" s="326"/>
      <c r="K606" s="326"/>
      <c r="L606" s="326"/>
      <c r="M606" s="326"/>
      <c r="N606" s="326"/>
      <c r="O606" s="326"/>
      <c r="P606" s="326"/>
      <c r="Q606" s="326"/>
      <c r="R606" s="326"/>
      <c r="S606" s="326"/>
      <c r="T606" s="326"/>
      <c r="U606" s="326"/>
      <c r="V606" s="326"/>
      <c r="W606" s="326"/>
      <c r="X606" s="326"/>
      <c r="Y606" s="326"/>
    </row>
    <row r="607">
      <c r="A607" s="326"/>
      <c r="B607" s="326"/>
      <c r="C607" s="326"/>
      <c r="D607" s="326"/>
      <c r="E607" s="326"/>
      <c r="F607" s="326"/>
      <c r="G607" s="326"/>
      <c r="H607" s="326"/>
      <c r="I607" s="326"/>
      <c r="J607" s="326"/>
      <c r="K607" s="326"/>
      <c r="L607" s="326"/>
      <c r="M607" s="326"/>
      <c r="N607" s="326"/>
      <c r="O607" s="326"/>
      <c r="P607" s="326"/>
      <c r="Q607" s="326"/>
      <c r="R607" s="326"/>
      <c r="S607" s="326"/>
      <c r="T607" s="326"/>
      <c r="U607" s="326"/>
      <c r="V607" s="326"/>
      <c r="W607" s="326"/>
      <c r="X607" s="326"/>
      <c r="Y607" s="326"/>
    </row>
    <row r="608">
      <c r="A608" s="326"/>
      <c r="B608" s="326"/>
      <c r="C608" s="326"/>
      <c r="D608" s="326"/>
      <c r="E608" s="326"/>
      <c r="F608" s="326"/>
      <c r="G608" s="326"/>
      <c r="H608" s="326"/>
      <c r="I608" s="326"/>
      <c r="J608" s="326"/>
      <c r="K608" s="326"/>
      <c r="L608" s="326"/>
      <c r="M608" s="326"/>
      <c r="N608" s="326"/>
      <c r="O608" s="326"/>
      <c r="P608" s="326"/>
      <c r="Q608" s="326"/>
      <c r="R608" s="326"/>
      <c r="S608" s="326"/>
      <c r="T608" s="326"/>
      <c r="U608" s="326"/>
      <c r="V608" s="326"/>
      <c r="W608" s="326"/>
      <c r="X608" s="326"/>
      <c r="Y608" s="326"/>
    </row>
    <row r="609">
      <c r="A609" s="326"/>
      <c r="B609" s="326"/>
      <c r="C609" s="326"/>
      <c r="D609" s="326"/>
      <c r="E609" s="326"/>
      <c r="F609" s="326"/>
      <c r="G609" s="326"/>
      <c r="H609" s="326"/>
      <c r="I609" s="326"/>
      <c r="J609" s="326"/>
      <c r="K609" s="326"/>
      <c r="L609" s="326"/>
      <c r="M609" s="326"/>
      <c r="N609" s="326"/>
      <c r="O609" s="326"/>
      <c r="P609" s="326"/>
      <c r="Q609" s="326"/>
      <c r="R609" s="326"/>
      <c r="S609" s="326"/>
      <c r="T609" s="326"/>
      <c r="U609" s="326"/>
      <c r="V609" s="326"/>
      <c r="W609" s="326"/>
      <c r="X609" s="326"/>
      <c r="Y609" s="326"/>
    </row>
    <row r="610">
      <c r="A610" s="326"/>
      <c r="B610" s="326"/>
      <c r="C610" s="326"/>
      <c r="D610" s="326"/>
      <c r="E610" s="326"/>
      <c r="F610" s="326"/>
      <c r="G610" s="326"/>
      <c r="H610" s="326"/>
      <c r="I610" s="326"/>
      <c r="J610" s="326"/>
      <c r="K610" s="326"/>
      <c r="L610" s="326"/>
      <c r="M610" s="326"/>
      <c r="N610" s="326"/>
      <c r="O610" s="326"/>
      <c r="P610" s="326"/>
      <c r="Q610" s="326"/>
      <c r="R610" s="326"/>
      <c r="S610" s="326"/>
      <c r="T610" s="326"/>
      <c r="U610" s="326"/>
      <c r="V610" s="326"/>
      <c r="W610" s="326"/>
      <c r="X610" s="326"/>
      <c r="Y610" s="326"/>
    </row>
    <row r="611">
      <c r="A611" s="326"/>
      <c r="B611" s="326"/>
      <c r="C611" s="326"/>
      <c r="D611" s="326"/>
      <c r="E611" s="326"/>
      <c r="F611" s="326"/>
      <c r="G611" s="326"/>
      <c r="H611" s="326"/>
      <c r="I611" s="326"/>
      <c r="J611" s="326"/>
      <c r="K611" s="326"/>
      <c r="L611" s="326"/>
      <c r="M611" s="326"/>
      <c r="N611" s="326"/>
      <c r="O611" s="326"/>
      <c r="P611" s="326"/>
      <c r="Q611" s="326"/>
      <c r="R611" s="326"/>
      <c r="S611" s="326"/>
      <c r="T611" s="326"/>
      <c r="U611" s="326"/>
      <c r="V611" s="326"/>
      <c r="W611" s="326"/>
      <c r="X611" s="326"/>
      <c r="Y611" s="326"/>
    </row>
    <row r="612">
      <c r="A612" s="326"/>
      <c r="B612" s="326"/>
      <c r="C612" s="326"/>
      <c r="D612" s="326"/>
      <c r="E612" s="326"/>
      <c r="F612" s="326"/>
      <c r="G612" s="326"/>
      <c r="H612" s="326"/>
      <c r="I612" s="326"/>
      <c r="J612" s="326"/>
      <c r="K612" s="326"/>
      <c r="L612" s="326"/>
      <c r="M612" s="326"/>
      <c r="N612" s="326"/>
      <c r="O612" s="326"/>
      <c r="P612" s="326"/>
      <c r="Q612" s="326"/>
      <c r="R612" s="326"/>
      <c r="S612" s="326"/>
      <c r="T612" s="326"/>
      <c r="U612" s="326"/>
      <c r="V612" s="326"/>
      <c r="W612" s="326"/>
      <c r="X612" s="326"/>
      <c r="Y612" s="326"/>
    </row>
    <row r="613">
      <c r="A613" s="326"/>
      <c r="B613" s="326"/>
      <c r="C613" s="326"/>
      <c r="D613" s="326"/>
      <c r="E613" s="326"/>
      <c r="F613" s="326"/>
      <c r="G613" s="326"/>
      <c r="H613" s="326"/>
      <c r="I613" s="326"/>
      <c r="J613" s="326"/>
      <c r="K613" s="326"/>
      <c r="L613" s="326"/>
      <c r="M613" s="326"/>
      <c r="N613" s="326"/>
      <c r="O613" s="326"/>
      <c r="P613" s="326"/>
      <c r="Q613" s="326"/>
      <c r="R613" s="326"/>
      <c r="S613" s="326"/>
      <c r="T613" s="326"/>
      <c r="U613" s="326"/>
      <c r="V613" s="326"/>
      <c r="W613" s="326"/>
      <c r="X613" s="326"/>
      <c r="Y613" s="326"/>
    </row>
    <row r="614">
      <c r="A614" s="326"/>
      <c r="B614" s="326"/>
      <c r="C614" s="326"/>
      <c r="D614" s="326"/>
      <c r="E614" s="326"/>
      <c r="F614" s="326"/>
      <c r="G614" s="326"/>
      <c r="H614" s="326"/>
      <c r="I614" s="326"/>
      <c r="J614" s="326"/>
      <c r="K614" s="326"/>
      <c r="L614" s="326"/>
      <c r="M614" s="326"/>
      <c r="N614" s="326"/>
      <c r="O614" s="326"/>
      <c r="P614" s="326"/>
      <c r="Q614" s="326"/>
      <c r="R614" s="326"/>
      <c r="S614" s="326"/>
      <c r="T614" s="326"/>
      <c r="U614" s="326"/>
      <c r="V614" s="326"/>
      <c r="W614" s="326"/>
      <c r="X614" s="326"/>
      <c r="Y614" s="326"/>
    </row>
    <row r="615">
      <c r="A615" s="326"/>
      <c r="B615" s="326"/>
      <c r="C615" s="326"/>
      <c r="D615" s="326"/>
      <c r="E615" s="326"/>
      <c r="F615" s="326"/>
      <c r="G615" s="326"/>
      <c r="H615" s="326"/>
      <c r="I615" s="326"/>
      <c r="J615" s="326"/>
      <c r="K615" s="326"/>
      <c r="L615" s="326"/>
      <c r="M615" s="326"/>
      <c r="N615" s="326"/>
      <c r="O615" s="326"/>
      <c r="P615" s="326"/>
      <c r="Q615" s="326"/>
      <c r="R615" s="326"/>
      <c r="S615" s="326"/>
      <c r="T615" s="326"/>
      <c r="U615" s="326"/>
      <c r="V615" s="326"/>
      <c r="W615" s="326"/>
      <c r="X615" s="326"/>
      <c r="Y615" s="326"/>
    </row>
    <row r="616">
      <c r="A616" s="326"/>
      <c r="B616" s="326"/>
      <c r="C616" s="326"/>
      <c r="D616" s="326"/>
      <c r="E616" s="326"/>
      <c r="F616" s="326"/>
      <c r="G616" s="326"/>
      <c r="H616" s="326"/>
      <c r="I616" s="326"/>
      <c r="J616" s="326"/>
      <c r="K616" s="326"/>
      <c r="L616" s="326"/>
      <c r="M616" s="326"/>
      <c r="N616" s="326"/>
      <c r="O616" s="326"/>
      <c r="P616" s="326"/>
      <c r="Q616" s="326"/>
      <c r="R616" s="326"/>
      <c r="S616" s="326"/>
      <c r="T616" s="326"/>
      <c r="U616" s="326"/>
      <c r="V616" s="326"/>
      <c r="W616" s="326"/>
      <c r="X616" s="326"/>
      <c r="Y616" s="326"/>
    </row>
    <row r="617">
      <c r="A617" s="326"/>
      <c r="B617" s="326"/>
      <c r="C617" s="326"/>
      <c r="D617" s="326"/>
      <c r="E617" s="326"/>
      <c r="F617" s="326"/>
      <c r="G617" s="326"/>
      <c r="H617" s="326"/>
      <c r="I617" s="326"/>
      <c r="J617" s="326"/>
      <c r="K617" s="326"/>
      <c r="L617" s="326"/>
      <c r="M617" s="326"/>
      <c r="N617" s="326"/>
      <c r="O617" s="326"/>
      <c r="P617" s="326"/>
      <c r="Q617" s="326"/>
      <c r="R617" s="326"/>
      <c r="S617" s="326"/>
      <c r="T617" s="326"/>
      <c r="U617" s="326"/>
      <c r="V617" s="326"/>
      <c r="W617" s="326"/>
      <c r="X617" s="326"/>
      <c r="Y617" s="326"/>
    </row>
    <row r="618">
      <c r="A618" s="326"/>
      <c r="B618" s="326"/>
      <c r="C618" s="326"/>
      <c r="D618" s="326"/>
      <c r="E618" s="326"/>
      <c r="F618" s="326"/>
      <c r="G618" s="326"/>
      <c r="H618" s="326"/>
      <c r="I618" s="326"/>
      <c r="J618" s="326"/>
      <c r="K618" s="326"/>
      <c r="L618" s="326"/>
      <c r="M618" s="326"/>
      <c r="N618" s="326"/>
      <c r="O618" s="326"/>
      <c r="P618" s="326"/>
      <c r="Q618" s="326"/>
      <c r="R618" s="326"/>
      <c r="S618" s="326"/>
      <c r="T618" s="326"/>
      <c r="U618" s="326"/>
      <c r="V618" s="326"/>
      <c r="W618" s="326"/>
      <c r="X618" s="326"/>
      <c r="Y618" s="326"/>
    </row>
    <row r="619">
      <c r="A619" s="326"/>
      <c r="B619" s="326"/>
      <c r="C619" s="326"/>
      <c r="D619" s="326"/>
      <c r="E619" s="326"/>
      <c r="F619" s="326"/>
      <c r="G619" s="326"/>
      <c r="H619" s="326"/>
      <c r="I619" s="326"/>
      <c r="J619" s="326"/>
      <c r="K619" s="326"/>
      <c r="L619" s="326"/>
      <c r="M619" s="326"/>
      <c r="N619" s="326"/>
      <c r="O619" s="326"/>
      <c r="P619" s="326"/>
      <c r="Q619" s="326"/>
      <c r="R619" s="326"/>
      <c r="S619" s="326"/>
      <c r="T619" s="326"/>
      <c r="U619" s="326"/>
      <c r="V619" s="326"/>
      <c r="W619" s="326"/>
      <c r="X619" s="326"/>
      <c r="Y619" s="326"/>
    </row>
    <row r="620">
      <c r="A620" s="326"/>
      <c r="B620" s="326"/>
      <c r="C620" s="326"/>
      <c r="D620" s="326"/>
      <c r="E620" s="326"/>
      <c r="F620" s="326"/>
      <c r="G620" s="326"/>
      <c r="H620" s="326"/>
      <c r="I620" s="326"/>
      <c r="J620" s="326"/>
      <c r="K620" s="326"/>
      <c r="L620" s="326"/>
      <c r="M620" s="326"/>
      <c r="N620" s="326"/>
      <c r="O620" s="326"/>
      <c r="P620" s="326"/>
      <c r="Q620" s="326"/>
      <c r="R620" s="326"/>
      <c r="S620" s="326"/>
      <c r="T620" s="326"/>
      <c r="U620" s="326"/>
      <c r="V620" s="326"/>
      <c r="W620" s="326"/>
      <c r="X620" s="326"/>
      <c r="Y620" s="326"/>
    </row>
    <row r="621">
      <c r="A621" s="326"/>
      <c r="B621" s="326"/>
      <c r="C621" s="326"/>
      <c r="D621" s="326"/>
      <c r="E621" s="326"/>
      <c r="F621" s="326"/>
      <c r="G621" s="326"/>
      <c r="H621" s="326"/>
      <c r="I621" s="326"/>
      <c r="J621" s="326"/>
      <c r="K621" s="326"/>
      <c r="L621" s="326"/>
      <c r="M621" s="326"/>
      <c r="N621" s="326"/>
      <c r="O621" s="326"/>
      <c r="P621" s="326"/>
      <c r="Q621" s="326"/>
      <c r="R621" s="326"/>
      <c r="S621" s="326"/>
      <c r="T621" s="326"/>
      <c r="U621" s="326"/>
      <c r="V621" s="326"/>
      <c r="W621" s="326"/>
      <c r="X621" s="326"/>
      <c r="Y621" s="326"/>
    </row>
    <row r="622">
      <c r="A622" s="326"/>
      <c r="B622" s="326"/>
      <c r="C622" s="326"/>
      <c r="D622" s="326"/>
      <c r="E622" s="326"/>
      <c r="F622" s="326"/>
      <c r="G622" s="326"/>
      <c r="H622" s="326"/>
      <c r="I622" s="326"/>
      <c r="J622" s="326"/>
      <c r="K622" s="326"/>
      <c r="L622" s="326"/>
      <c r="M622" s="326"/>
      <c r="N622" s="326"/>
      <c r="O622" s="326"/>
      <c r="P622" s="326"/>
      <c r="Q622" s="326"/>
      <c r="R622" s="326"/>
      <c r="S622" s="326"/>
      <c r="T622" s="326"/>
      <c r="U622" s="326"/>
      <c r="V622" s="326"/>
      <c r="W622" s="326"/>
      <c r="X622" s="326"/>
      <c r="Y622" s="326"/>
    </row>
    <row r="623">
      <c r="A623" s="326"/>
      <c r="B623" s="326"/>
      <c r="C623" s="326"/>
      <c r="D623" s="326"/>
      <c r="E623" s="326"/>
      <c r="F623" s="326"/>
      <c r="G623" s="326"/>
      <c r="H623" s="326"/>
      <c r="I623" s="326"/>
      <c r="J623" s="326"/>
      <c r="K623" s="326"/>
      <c r="L623" s="326"/>
      <c r="M623" s="326"/>
      <c r="N623" s="326"/>
      <c r="O623" s="326"/>
      <c r="P623" s="326"/>
      <c r="Q623" s="326"/>
      <c r="R623" s="326"/>
      <c r="S623" s="326"/>
      <c r="T623" s="326"/>
      <c r="U623" s="326"/>
      <c r="V623" s="326"/>
      <c r="W623" s="326"/>
      <c r="X623" s="326"/>
      <c r="Y623" s="326"/>
    </row>
    <row r="624">
      <c r="A624" s="326"/>
      <c r="B624" s="326"/>
      <c r="C624" s="326"/>
      <c r="D624" s="326"/>
      <c r="E624" s="326"/>
      <c r="F624" s="326"/>
      <c r="G624" s="326"/>
      <c r="H624" s="326"/>
      <c r="I624" s="326"/>
      <c r="J624" s="326"/>
      <c r="K624" s="326"/>
      <c r="L624" s="326"/>
      <c r="M624" s="326"/>
      <c r="N624" s="326"/>
      <c r="O624" s="326"/>
      <c r="P624" s="326"/>
      <c r="Q624" s="326"/>
      <c r="R624" s="326"/>
      <c r="S624" s="326"/>
      <c r="T624" s="326"/>
      <c r="U624" s="326"/>
      <c r="V624" s="326"/>
      <c r="W624" s="326"/>
      <c r="X624" s="326"/>
      <c r="Y624" s="326"/>
    </row>
    <row r="625">
      <c r="A625" s="326"/>
      <c r="B625" s="326"/>
      <c r="C625" s="326"/>
      <c r="D625" s="326"/>
      <c r="E625" s="326"/>
      <c r="F625" s="326"/>
      <c r="G625" s="326"/>
      <c r="H625" s="326"/>
      <c r="I625" s="326"/>
      <c r="J625" s="326"/>
      <c r="K625" s="326"/>
      <c r="L625" s="326"/>
      <c r="M625" s="326"/>
      <c r="N625" s="326"/>
      <c r="O625" s="326"/>
      <c r="P625" s="326"/>
      <c r="Q625" s="326"/>
      <c r="R625" s="326"/>
      <c r="S625" s="326"/>
      <c r="T625" s="326"/>
      <c r="U625" s="326"/>
      <c r="V625" s="326"/>
      <c r="W625" s="326"/>
      <c r="X625" s="326"/>
      <c r="Y625" s="326"/>
    </row>
    <row r="626">
      <c r="A626" s="326"/>
      <c r="B626" s="326"/>
      <c r="C626" s="326"/>
      <c r="D626" s="326"/>
      <c r="E626" s="326"/>
      <c r="F626" s="326"/>
      <c r="G626" s="326"/>
      <c r="H626" s="326"/>
      <c r="I626" s="326"/>
      <c r="J626" s="326"/>
      <c r="K626" s="326"/>
      <c r="L626" s="326"/>
      <c r="M626" s="326"/>
      <c r="N626" s="326"/>
      <c r="O626" s="326"/>
      <c r="P626" s="326"/>
      <c r="Q626" s="326"/>
      <c r="R626" s="326"/>
      <c r="S626" s="326"/>
      <c r="T626" s="326"/>
      <c r="U626" s="326"/>
      <c r="V626" s="326"/>
      <c r="W626" s="326"/>
      <c r="X626" s="326"/>
      <c r="Y626" s="326"/>
    </row>
    <row r="627">
      <c r="A627" s="326"/>
      <c r="B627" s="326"/>
      <c r="C627" s="326"/>
      <c r="D627" s="326"/>
      <c r="E627" s="326"/>
      <c r="F627" s="326"/>
      <c r="G627" s="326"/>
      <c r="H627" s="326"/>
      <c r="I627" s="326"/>
      <c r="J627" s="326"/>
      <c r="K627" s="326"/>
      <c r="L627" s="326"/>
      <c r="M627" s="326"/>
      <c r="N627" s="326"/>
      <c r="O627" s="326"/>
      <c r="P627" s="326"/>
      <c r="Q627" s="326"/>
      <c r="R627" s="326"/>
      <c r="S627" s="326"/>
      <c r="T627" s="326"/>
      <c r="U627" s="326"/>
      <c r="V627" s="326"/>
      <c r="W627" s="326"/>
      <c r="X627" s="326"/>
      <c r="Y627" s="326"/>
    </row>
    <row r="628">
      <c r="A628" s="326"/>
      <c r="B628" s="326"/>
      <c r="C628" s="326"/>
      <c r="D628" s="326"/>
      <c r="E628" s="326"/>
      <c r="F628" s="326"/>
      <c r="G628" s="326"/>
      <c r="H628" s="326"/>
      <c r="I628" s="326"/>
      <c r="J628" s="326"/>
      <c r="K628" s="326"/>
      <c r="L628" s="326"/>
      <c r="M628" s="326"/>
      <c r="N628" s="326"/>
      <c r="O628" s="326"/>
      <c r="P628" s="326"/>
      <c r="Q628" s="326"/>
      <c r="R628" s="326"/>
      <c r="S628" s="326"/>
      <c r="T628" s="326"/>
      <c r="U628" s="326"/>
      <c r="V628" s="326"/>
      <c r="W628" s="326"/>
      <c r="X628" s="326"/>
      <c r="Y628" s="326"/>
    </row>
    <row r="629">
      <c r="A629" s="326"/>
      <c r="B629" s="326"/>
      <c r="C629" s="326"/>
      <c r="D629" s="326"/>
      <c r="E629" s="326"/>
      <c r="F629" s="326"/>
      <c r="G629" s="326"/>
      <c r="H629" s="326"/>
      <c r="I629" s="326"/>
      <c r="J629" s="326"/>
      <c r="K629" s="326"/>
      <c r="L629" s="326"/>
      <c r="M629" s="326"/>
      <c r="N629" s="326"/>
      <c r="O629" s="326"/>
      <c r="P629" s="326"/>
      <c r="Q629" s="326"/>
      <c r="R629" s="326"/>
      <c r="S629" s="326"/>
      <c r="T629" s="326"/>
      <c r="U629" s="326"/>
      <c r="V629" s="326"/>
      <c r="W629" s="326"/>
      <c r="X629" s="326"/>
      <c r="Y629" s="326"/>
    </row>
    <row r="630">
      <c r="A630" s="326"/>
      <c r="B630" s="326"/>
      <c r="C630" s="326"/>
      <c r="D630" s="326"/>
      <c r="E630" s="326"/>
      <c r="F630" s="326"/>
      <c r="G630" s="326"/>
      <c r="H630" s="326"/>
      <c r="I630" s="326"/>
      <c r="J630" s="326"/>
      <c r="K630" s="326"/>
      <c r="L630" s="326"/>
      <c r="M630" s="326"/>
      <c r="N630" s="326"/>
      <c r="O630" s="326"/>
      <c r="P630" s="326"/>
      <c r="Q630" s="326"/>
      <c r="R630" s="326"/>
      <c r="S630" s="326"/>
      <c r="T630" s="326"/>
      <c r="U630" s="326"/>
      <c r="V630" s="326"/>
      <c r="W630" s="326"/>
      <c r="X630" s="326"/>
      <c r="Y630" s="326"/>
    </row>
    <row r="631">
      <c r="A631" s="326"/>
      <c r="B631" s="326"/>
      <c r="C631" s="326"/>
      <c r="D631" s="326"/>
      <c r="E631" s="326"/>
      <c r="F631" s="326"/>
      <c r="G631" s="326"/>
      <c r="H631" s="326"/>
      <c r="I631" s="326"/>
      <c r="J631" s="326"/>
      <c r="K631" s="326"/>
      <c r="L631" s="326"/>
      <c r="M631" s="326"/>
      <c r="N631" s="326"/>
      <c r="O631" s="326"/>
      <c r="P631" s="326"/>
      <c r="Q631" s="326"/>
      <c r="R631" s="326"/>
      <c r="S631" s="326"/>
      <c r="T631" s="326"/>
      <c r="U631" s="326"/>
      <c r="V631" s="326"/>
      <c r="W631" s="326"/>
      <c r="X631" s="326"/>
      <c r="Y631" s="326"/>
    </row>
    <row r="632">
      <c r="A632" s="326"/>
      <c r="B632" s="326"/>
      <c r="C632" s="326"/>
      <c r="D632" s="326"/>
      <c r="E632" s="326"/>
      <c r="F632" s="326"/>
      <c r="G632" s="326"/>
      <c r="H632" s="326"/>
      <c r="I632" s="326"/>
      <c r="J632" s="326"/>
      <c r="K632" s="326"/>
      <c r="L632" s="326"/>
      <c r="M632" s="326"/>
      <c r="N632" s="326"/>
      <c r="O632" s="326"/>
      <c r="P632" s="326"/>
      <c r="Q632" s="326"/>
      <c r="R632" s="326"/>
      <c r="S632" s="326"/>
      <c r="T632" s="326"/>
      <c r="U632" s="326"/>
      <c r="V632" s="326"/>
      <c r="W632" s="326"/>
      <c r="X632" s="326"/>
      <c r="Y632" s="326"/>
    </row>
    <row r="633">
      <c r="A633" s="326"/>
      <c r="B633" s="326"/>
      <c r="C633" s="326"/>
      <c r="D633" s="326"/>
      <c r="E633" s="326"/>
      <c r="F633" s="326"/>
      <c r="G633" s="326"/>
      <c r="H633" s="326"/>
      <c r="I633" s="326"/>
      <c r="J633" s="326"/>
      <c r="K633" s="326"/>
      <c r="L633" s="326"/>
      <c r="M633" s="326"/>
      <c r="N633" s="326"/>
      <c r="O633" s="326"/>
      <c r="P633" s="326"/>
      <c r="Q633" s="326"/>
      <c r="R633" s="326"/>
      <c r="S633" s="326"/>
      <c r="T633" s="326"/>
      <c r="U633" s="326"/>
      <c r="V633" s="326"/>
      <c r="W633" s="326"/>
      <c r="X633" s="326"/>
      <c r="Y633" s="326"/>
    </row>
    <row r="634">
      <c r="A634" s="326"/>
      <c r="B634" s="326"/>
      <c r="C634" s="326"/>
      <c r="D634" s="326"/>
      <c r="E634" s="326"/>
      <c r="F634" s="326"/>
      <c r="G634" s="326"/>
      <c r="H634" s="326"/>
      <c r="I634" s="326"/>
      <c r="J634" s="326"/>
      <c r="K634" s="326"/>
      <c r="L634" s="326"/>
      <c r="M634" s="326"/>
      <c r="N634" s="326"/>
      <c r="O634" s="326"/>
      <c r="P634" s="326"/>
      <c r="Q634" s="326"/>
      <c r="R634" s="326"/>
      <c r="S634" s="326"/>
      <c r="T634" s="326"/>
      <c r="U634" s="326"/>
      <c r="V634" s="326"/>
      <c r="W634" s="326"/>
      <c r="X634" s="326"/>
      <c r="Y634" s="326"/>
    </row>
    <row r="635">
      <c r="A635" s="326"/>
      <c r="B635" s="326"/>
      <c r="C635" s="326"/>
      <c r="D635" s="326"/>
      <c r="E635" s="326"/>
      <c r="F635" s="326"/>
      <c r="G635" s="326"/>
      <c r="H635" s="326"/>
      <c r="I635" s="326"/>
      <c r="J635" s="326"/>
      <c r="K635" s="326"/>
      <c r="L635" s="326"/>
      <c r="M635" s="326"/>
      <c r="N635" s="326"/>
      <c r="O635" s="326"/>
      <c r="P635" s="326"/>
      <c r="Q635" s="326"/>
      <c r="R635" s="326"/>
      <c r="S635" s="326"/>
      <c r="T635" s="326"/>
      <c r="U635" s="326"/>
      <c r="V635" s="326"/>
      <c r="W635" s="326"/>
      <c r="X635" s="326"/>
      <c r="Y635" s="326"/>
    </row>
    <row r="636">
      <c r="A636" s="326"/>
      <c r="B636" s="326"/>
      <c r="C636" s="326"/>
      <c r="D636" s="326"/>
      <c r="E636" s="326"/>
      <c r="F636" s="326"/>
      <c r="G636" s="326"/>
      <c r="H636" s="326"/>
      <c r="I636" s="326"/>
      <c r="J636" s="326"/>
      <c r="K636" s="326"/>
      <c r="L636" s="326"/>
      <c r="M636" s="326"/>
      <c r="N636" s="326"/>
      <c r="O636" s="326"/>
      <c r="P636" s="326"/>
      <c r="Q636" s="326"/>
      <c r="R636" s="326"/>
      <c r="S636" s="326"/>
      <c r="T636" s="326"/>
      <c r="U636" s="326"/>
      <c r="V636" s="326"/>
      <c r="W636" s="326"/>
      <c r="X636" s="326"/>
      <c r="Y636" s="326"/>
    </row>
    <row r="637">
      <c r="A637" s="326"/>
      <c r="B637" s="326"/>
      <c r="C637" s="326"/>
      <c r="D637" s="326"/>
      <c r="E637" s="326"/>
      <c r="F637" s="326"/>
      <c r="G637" s="326"/>
      <c r="H637" s="326"/>
      <c r="I637" s="326"/>
      <c r="J637" s="326"/>
      <c r="K637" s="326"/>
      <c r="L637" s="326"/>
      <c r="M637" s="326"/>
      <c r="N637" s="326"/>
      <c r="O637" s="326"/>
      <c r="P637" s="326"/>
      <c r="Q637" s="326"/>
      <c r="R637" s="326"/>
      <c r="S637" s="326"/>
      <c r="T637" s="326"/>
      <c r="U637" s="326"/>
      <c r="V637" s="326"/>
      <c r="W637" s="326"/>
      <c r="X637" s="326"/>
      <c r="Y637" s="326"/>
    </row>
    <row r="638">
      <c r="A638" s="326"/>
      <c r="B638" s="326"/>
      <c r="C638" s="326"/>
      <c r="D638" s="326"/>
      <c r="E638" s="326"/>
      <c r="F638" s="326"/>
      <c r="G638" s="326"/>
      <c r="H638" s="326"/>
      <c r="I638" s="326"/>
      <c r="J638" s="326"/>
      <c r="K638" s="326"/>
      <c r="L638" s="326"/>
      <c r="M638" s="326"/>
      <c r="N638" s="326"/>
      <c r="O638" s="326"/>
      <c r="P638" s="326"/>
      <c r="Q638" s="326"/>
      <c r="R638" s="326"/>
      <c r="S638" s="326"/>
      <c r="T638" s="326"/>
      <c r="U638" s="326"/>
      <c r="V638" s="326"/>
      <c r="W638" s="326"/>
      <c r="X638" s="326"/>
      <c r="Y638" s="326"/>
    </row>
    <row r="639">
      <c r="A639" s="326"/>
      <c r="B639" s="326"/>
      <c r="C639" s="326"/>
      <c r="D639" s="326"/>
      <c r="E639" s="326"/>
      <c r="F639" s="326"/>
      <c r="G639" s="326"/>
      <c r="H639" s="326"/>
      <c r="I639" s="326"/>
      <c r="J639" s="326"/>
      <c r="K639" s="326"/>
      <c r="L639" s="326"/>
      <c r="M639" s="326"/>
      <c r="N639" s="326"/>
      <c r="O639" s="326"/>
      <c r="P639" s="326"/>
      <c r="Q639" s="326"/>
      <c r="R639" s="326"/>
      <c r="S639" s="326"/>
      <c r="T639" s="326"/>
      <c r="U639" s="326"/>
      <c r="V639" s="326"/>
      <c r="W639" s="326"/>
      <c r="X639" s="326"/>
      <c r="Y639" s="326"/>
    </row>
    <row r="640">
      <c r="A640" s="326"/>
      <c r="B640" s="326"/>
      <c r="C640" s="326"/>
      <c r="D640" s="326"/>
      <c r="E640" s="326"/>
      <c r="F640" s="326"/>
      <c r="G640" s="326"/>
      <c r="H640" s="326"/>
      <c r="I640" s="326"/>
      <c r="J640" s="326"/>
      <c r="K640" s="326"/>
      <c r="L640" s="326"/>
      <c r="M640" s="326"/>
      <c r="N640" s="326"/>
      <c r="O640" s="326"/>
      <c r="P640" s="326"/>
      <c r="Q640" s="326"/>
      <c r="R640" s="326"/>
      <c r="S640" s="326"/>
      <c r="T640" s="326"/>
      <c r="U640" s="326"/>
      <c r="V640" s="326"/>
      <c r="W640" s="326"/>
      <c r="X640" s="326"/>
      <c r="Y640" s="326"/>
    </row>
    <row r="641">
      <c r="A641" s="326"/>
      <c r="B641" s="326"/>
      <c r="C641" s="326"/>
      <c r="D641" s="326"/>
      <c r="E641" s="326"/>
      <c r="F641" s="326"/>
      <c r="G641" s="326"/>
      <c r="H641" s="326"/>
      <c r="I641" s="326"/>
      <c r="J641" s="326"/>
      <c r="K641" s="326"/>
      <c r="L641" s="326"/>
      <c r="M641" s="326"/>
      <c r="N641" s="326"/>
      <c r="O641" s="326"/>
      <c r="P641" s="326"/>
      <c r="Q641" s="326"/>
      <c r="R641" s="326"/>
      <c r="S641" s="326"/>
      <c r="T641" s="326"/>
      <c r="U641" s="326"/>
      <c r="V641" s="326"/>
      <c r="W641" s="326"/>
      <c r="X641" s="326"/>
      <c r="Y641" s="326"/>
    </row>
    <row r="642">
      <c r="A642" s="326"/>
      <c r="B642" s="326"/>
      <c r="C642" s="326"/>
      <c r="D642" s="326"/>
      <c r="E642" s="326"/>
      <c r="F642" s="326"/>
      <c r="G642" s="326"/>
      <c r="H642" s="326"/>
      <c r="I642" s="326"/>
      <c r="J642" s="326"/>
      <c r="K642" s="326"/>
      <c r="L642" s="326"/>
      <c r="M642" s="326"/>
      <c r="N642" s="326"/>
      <c r="O642" s="326"/>
      <c r="P642" s="326"/>
      <c r="Q642" s="326"/>
      <c r="R642" s="326"/>
      <c r="S642" s="326"/>
      <c r="T642" s="326"/>
      <c r="U642" s="326"/>
      <c r="V642" s="326"/>
      <c r="W642" s="326"/>
      <c r="X642" s="326"/>
      <c r="Y642" s="326"/>
    </row>
    <row r="643">
      <c r="A643" s="326"/>
      <c r="B643" s="326"/>
      <c r="C643" s="326"/>
      <c r="D643" s="326"/>
      <c r="E643" s="326"/>
      <c r="F643" s="326"/>
      <c r="G643" s="326"/>
      <c r="H643" s="326"/>
      <c r="I643" s="326"/>
      <c r="J643" s="326"/>
      <c r="K643" s="326"/>
      <c r="L643" s="326"/>
      <c r="M643" s="326"/>
      <c r="N643" s="326"/>
      <c r="O643" s="326"/>
      <c r="P643" s="326"/>
      <c r="Q643" s="326"/>
      <c r="R643" s="326"/>
      <c r="S643" s="326"/>
      <c r="T643" s="326"/>
      <c r="U643" s="326"/>
      <c r="V643" s="326"/>
      <c r="W643" s="326"/>
      <c r="X643" s="326"/>
      <c r="Y643" s="326"/>
    </row>
    <row r="644">
      <c r="A644" s="326"/>
      <c r="B644" s="326"/>
      <c r="C644" s="326"/>
      <c r="D644" s="326"/>
      <c r="E644" s="326"/>
      <c r="F644" s="326"/>
      <c r="G644" s="326"/>
      <c r="H644" s="326"/>
      <c r="I644" s="326"/>
      <c r="J644" s="326"/>
      <c r="K644" s="326"/>
      <c r="L644" s="326"/>
      <c r="M644" s="326"/>
      <c r="N644" s="326"/>
      <c r="O644" s="326"/>
      <c r="P644" s="326"/>
      <c r="Q644" s="326"/>
      <c r="R644" s="326"/>
      <c r="S644" s="326"/>
      <c r="T644" s="326"/>
      <c r="U644" s="326"/>
      <c r="V644" s="326"/>
      <c r="W644" s="326"/>
      <c r="X644" s="326"/>
      <c r="Y644" s="326"/>
    </row>
    <row r="645">
      <c r="A645" s="326"/>
      <c r="B645" s="326"/>
      <c r="C645" s="326"/>
      <c r="D645" s="326"/>
      <c r="E645" s="326"/>
      <c r="F645" s="326"/>
      <c r="G645" s="326"/>
      <c r="H645" s="326"/>
      <c r="I645" s="326"/>
      <c r="J645" s="326"/>
      <c r="K645" s="326"/>
      <c r="L645" s="326"/>
      <c r="M645" s="326"/>
      <c r="N645" s="326"/>
      <c r="O645" s="326"/>
      <c r="P645" s="326"/>
      <c r="Q645" s="326"/>
      <c r="R645" s="326"/>
      <c r="S645" s="326"/>
      <c r="T645" s="326"/>
      <c r="U645" s="326"/>
      <c r="V645" s="326"/>
      <c r="W645" s="326"/>
      <c r="X645" s="326"/>
      <c r="Y645" s="326"/>
    </row>
    <row r="646">
      <c r="A646" s="326"/>
      <c r="B646" s="326"/>
      <c r="C646" s="326"/>
      <c r="D646" s="326"/>
      <c r="E646" s="326"/>
      <c r="F646" s="326"/>
      <c r="G646" s="326"/>
      <c r="H646" s="326"/>
      <c r="I646" s="326"/>
      <c r="J646" s="326"/>
      <c r="K646" s="326"/>
      <c r="L646" s="326"/>
      <c r="M646" s="326"/>
      <c r="N646" s="326"/>
      <c r="O646" s="326"/>
      <c r="P646" s="326"/>
      <c r="Q646" s="326"/>
      <c r="R646" s="326"/>
      <c r="S646" s="326"/>
      <c r="T646" s="326"/>
      <c r="U646" s="326"/>
      <c r="V646" s="326"/>
      <c r="W646" s="326"/>
      <c r="X646" s="326"/>
      <c r="Y646" s="326"/>
    </row>
    <row r="647">
      <c r="A647" s="326"/>
      <c r="B647" s="326"/>
      <c r="C647" s="326"/>
      <c r="D647" s="326"/>
      <c r="E647" s="326"/>
      <c r="F647" s="326"/>
      <c r="G647" s="326"/>
      <c r="H647" s="326"/>
      <c r="I647" s="326"/>
      <c r="J647" s="326"/>
      <c r="K647" s="326"/>
      <c r="L647" s="326"/>
      <c r="M647" s="326"/>
      <c r="N647" s="326"/>
      <c r="O647" s="326"/>
      <c r="P647" s="326"/>
      <c r="Q647" s="326"/>
      <c r="R647" s="326"/>
      <c r="S647" s="326"/>
      <c r="T647" s="326"/>
      <c r="U647" s="326"/>
      <c r="V647" s="326"/>
      <c r="W647" s="326"/>
      <c r="X647" s="326"/>
      <c r="Y647" s="326"/>
    </row>
    <row r="648">
      <c r="A648" s="326"/>
      <c r="B648" s="326"/>
      <c r="C648" s="326"/>
      <c r="D648" s="326"/>
      <c r="E648" s="326"/>
      <c r="F648" s="326"/>
      <c r="G648" s="326"/>
      <c r="H648" s="326"/>
      <c r="I648" s="326"/>
      <c r="J648" s="326"/>
      <c r="K648" s="326"/>
      <c r="L648" s="326"/>
      <c r="M648" s="326"/>
      <c r="N648" s="326"/>
      <c r="O648" s="326"/>
      <c r="P648" s="326"/>
      <c r="Q648" s="326"/>
      <c r="R648" s="326"/>
      <c r="S648" s="326"/>
      <c r="T648" s="326"/>
      <c r="U648" s="326"/>
      <c r="V648" s="326"/>
      <c r="W648" s="326"/>
      <c r="X648" s="326"/>
      <c r="Y648" s="326"/>
    </row>
    <row r="649">
      <c r="A649" s="326"/>
      <c r="B649" s="326"/>
      <c r="C649" s="326"/>
      <c r="D649" s="326"/>
      <c r="E649" s="326"/>
      <c r="F649" s="326"/>
      <c r="G649" s="326"/>
      <c r="H649" s="326"/>
      <c r="I649" s="326"/>
      <c r="J649" s="326"/>
      <c r="K649" s="326"/>
      <c r="L649" s="326"/>
      <c r="M649" s="326"/>
      <c r="N649" s="326"/>
      <c r="O649" s="326"/>
      <c r="P649" s="326"/>
      <c r="Q649" s="326"/>
      <c r="R649" s="326"/>
      <c r="S649" s="326"/>
      <c r="T649" s="326"/>
      <c r="U649" s="326"/>
      <c r="V649" s="326"/>
      <c r="W649" s="326"/>
      <c r="X649" s="326"/>
      <c r="Y649" s="326"/>
    </row>
    <row r="650">
      <c r="A650" s="326"/>
      <c r="B650" s="326"/>
      <c r="C650" s="326"/>
      <c r="D650" s="326"/>
      <c r="E650" s="326"/>
      <c r="F650" s="326"/>
      <c r="G650" s="326"/>
      <c r="H650" s="326"/>
      <c r="I650" s="326"/>
      <c r="J650" s="326"/>
      <c r="K650" s="326"/>
      <c r="L650" s="326"/>
      <c r="M650" s="326"/>
      <c r="N650" s="326"/>
      <c r="O650" s="326"/>
      <c r="P650" s="326"/>
      <c r="Q650" s="326"/>
      <c r="R650" s="326"/>
      <c r="S650" s="326"/>
      <c r="T650" s="326"/>
      <c r="U650" s="326"/>
      <c r="V650" s="326"/>
      <c r="W650" s="326"/>
      <c r="X650" s="326"/>
      <c r="Y650" s="326"/>
    </row>
    <row r="651">
      <c r="A651" s="326"/>
      <c r="B651" s="326"/>
      <c r="C651" s="326"/>
      <c r="D651" s="326"/>
      <c r="E651" s="326"/>
      <c r="F651" s="326"/>
      <c r="G651" s="326"/>
      <c r="H651" s="326"/>
      <c r="I651" s="326"/>
      <c r="J651" s="326"/>
      <c r="K651" s="326"/>
      <c r="L651" s="326"/>
      <c r="M651" s="326"/>
      <c r="N651" s="326"/>
      <c r="O651" s="326"/>
      <c r="P651" s="326"/>
      <c r="Q651" s="326"/>
      <c r="R651" s="326"/>
      <c r="S651" s="326"/>
      <c r="T651" s="326"/>
      <c r="U651" s="326"/>
      <c r="V651" s="326"/>
      <c r="W651" s="326"/>
      <c r="X651" s="326"/>
      <c r="Y651" s="326"/>
    </row>
    <row r="652">
      <c r="A652" s="326"/>
      <c r="B652" s="326"/>
      <c r="C652" s="326"/>
      <c r="D652" s="326"/>
      <c r="E652" s="326"/>
      <c r="F652" s="326"/>
      <c r="G652" s="326"/>
      <c r="H652" s="326"/>
      <c r="I652" s="326"/>
      <c r="J652" s="326"/>
      <c r="K652" s="326"/>
      <c r="L652" s="326"/>
      <c r="M652" s="326"/>
      <c r="N652" s="326"/>
      <c r="O652" s="326"/>
      <c r="P652" s="326"/>
      <c r="Q652" s="326"/>
      <c r="R652" s="326"/>
      <c r="S652" s="326"/>
      <c r="T652" s="326"/>
      <c r="U652" s="326"/>
      <c r="V652" s="326"/>
      <c r="W652" s="326"/>
      <c r="X652" s="326"/>
      <c r="Y652" s="326"/>
    </row>
    <row r="653">
      <c r="A653" s="326"/>
      <c r="B653" s="326"/>
      <c r="C653" s="326"/>
      <c r="D653" s="326"/>
      <c r="E653" s="326"/>
      <c r="F653" s="326"/>
      <c r="G653" s="326"/>
      <c r="H653" s="326"/>
      <c r="I653" s="326"/>
      <c r="J653" s="326"/>
      <c r="K653" s="326"/>
      <c r="L653" s="326"/>
      <c r="M653" s="326"/>
      <c r="N653" s="326"/>
      <c r="O653" s="326"/>
      <c r="P653" s="326"/>
      <c r="Q653" s="326"/>
      <c r="R653" s="326"/>
      <c r="S653" s="326"/>
      <c r="T653" s="326"/>
      <c r="U653" s="326"/>
      <c r="V653" s="326"/>
      <c r="W653" s="326"/>
      <c r="X653" s="326"/>
      <c r="Y653" s="326"/>
    </row>
    <row r="654">
      <c r="A654" s="326"/>
      <c r="B654" s="326"/>
      <c r="C654" s="326"/>
      <c r="D654" s="326"/>
      <c r="E654" s="326"/>
      <c r="F654" s="326"/>
      <c r="G654" s="326"/>
      <c r="H654" s="326"/>
      <c r="I654" s="326"/>
      <c r="J654" s="326"/>
      <c r="K654" s="326"/>
      <c r="L654" s="326"/>
      <c r="M654" s="326"/>
      <c r="N654" s="326"/>
      <c r="O654" s="326"/>
      <c r="P654" s="326"/>
      <c r="Q654" s="326"/>
      <c r="R654" s="326"/>
      <c r="S654" s="326"/>
      <c r="T654" s="326"/>
      <c r="U654" s="326"/>
      <c r="V654" s="326"/>
      <c r="W654" s="326"/>
      <c r="X654" s="326"/>
      <c r="Y654" s="326"/>
    </row>
    <row r="655">
      <c r="A655" s="326"/>
      <c r="B655" s="326"/>
      <c r="C655" s="326"/>
      <c r="D655" s="326"/>
      <c r="E655" s="326"/>
      <c r="F655" s="326"/>
      <c r="G655" s="326"/>
      <c r="H655" s="326"/>
      <c r="I655" s="326"/>
      <c r="J655" s="326"/>
      <c r="K655" s="326"/>
      <c r="L655" s="326"/>
      <c r="M655" s="326"/>
      <c r="N655" s="326"/>
      <c r="O655" s="326"/>
      <c r="P655" s="326"/>
      <c r="Q655" s="326"/>
      <c r="R655" s="326"/>
      <c r="S655" s="326"/>
      <c r="T655" s="326"/>
      <c r="U655" s="326"/>
      <c r="V655" s="326"/>
      <c r="W655" s="326"/>
      <c r="X655" s="326"/>
      <c r="Y655" s="326"/>
    </row>
    <row r="656">
      <c r="A656" s="326"/>
      <c r="B656" s="326"/>
      <c r="C656" s="326"/>
      <c r="D656" s="326"/>
      <c r="E656" s="326"/>
      <c r="F656" s="326"/>
      <c r="G656" s="326"/>
      <c r="H656" s="326"/>
      <c r="I656" s="326"/>
      <c r="J656" s="326"/>
      <c r="K656" s="326"/>
      <c r="L656" s="326"/>
      <c r="M656" s="326"/>
      <c r="N656" s="326"/>
      <c r="O656" s="326"/>
      <c r="P656" s="326"/>
      <c r="Q656" s="326"/>
      <c r="R656" s="326"/>
      <c r="S656" s="326"/>
      <c r="T656" s="326"/>
      <c r="U656" s="326"/>
      <c r="V656" s="326"/>
      <c r="W656" s="326"/>
      <c r="X656" s="326"/>
      <c r="Y656" s="326"/>
    </row>
    <row r="657">
      <c r="A657" s="326"/>
      <c r="B657" s="326"/>
      <c r="C657" s="326"/>
      <c r="D657" s="326"/>
      <c r="E657" s="326"/>
      <c r="F657" s="326"/>
      <c r="G657" s="326"/>
      <c r="H657" s="326"/>
      <c r="I657" s="326"/>
      <c r="J657" s="326"/>
      <c r="K657" s="326"/>
      <c r="L657" s="326"/>
      <c r="M657" s="326"/>
      <c r="N657" s="326"/>
      <c r="O657" s="326"/>
      <c r="P657" s="326"/>
      <c r="Q657" s="326"/>
      <c r="R657" s="326"/>
      <c r="S657" s="326"/>
      <c r="T657" s="326"/>
      <c r="U657" s="326"/>
      <c r="V657" s="326"/>
      <c r="W657" s="326"/>
      <c r="X657" s="326"/>
      <c r="Y657" s="326"/>
    </row>
    <row r="658">
      <c r="A658" s="326"/>
      <c r="B658" s="326"/>
      <c r="C658" s="326"/>
      <c r="D658" s="326"/>
      <c r="E658" s="326"/>
      <c r="F658" s="326"/>
      <c r="G658" s="326"/>
      <c r="H658" s="326"/>
      <c r="I658" s="326"/>
      <c r="J658" s="326"/>
      <c r="K658" s="326"/>
      <c r="L658" s="326"/>
      <c r="M658" s="326"/>
      <c r="N658" s="326"/>
      <c r="O658" s="326"/>
      <c r="P658" s="326"/>
      <c r="Q658" s="326"/>
      <c r="R658" s="326"/>
      <c r="S658" s="326"/>
      <c r="T658" s="326"/>
      <c r="U658" s="326"/>
      <c r="V658" s="326"/>
      <c r="W658" s="326"/>
      <c r="X658" s="326"/>
      <c r="Y658" s="326"/>
    </row>
    <row r="659">
      <c r="A659" s="326"/>
      <c r="B659" s="326"/>
      <c r="C659" s="326"/>
      <c r="D659" s="326"/>
      <c r="E659" s="326"/>
      <c r="F659" s="326"/>
      <c r="G659" s="326"/>
      <c r="H659" s="326"/>
      <c r="I659" s="326"/>
      <c r="J659" s="326"/>
      <c r="K659" s="326"/>
      <c r="L659" s="326"/>
      <c r="M659" s="326"/>
      <c r="N659" s="326"/>
      <c r="O659" s="326"/>
      <c r="P659" s="326"/>
      <c r="Q659" s="326"/>
      <c r="R659" s="326"/>
      <c r="S659" s="326"/>
      <c r="T659" s="326"/>
      <c r="U659" s="326"/>
      <c r="V659" s="326"/>
      <c r="W659" s="326"/>
      <c r="X659" s="326"/>
      <c r="Y659" s="326"/>
    </row>
    <row r="660">
      <c r="A660" s="326"/>
      <c r="B660" s="326"/>
      <c r="C660" s="326"/>
      <c r="D660" s="326"/>
      <c r="E660" s="326"/>
      <c r="F660" s="326"/>
      <c r="G660" s="326"/>
      <c r="H660" s="326"/>
      <c r="I660" s="326"/>
      <c r="J660" s="326"/>
      <c r="K660" s="326"/>
      <c r="L660" s="326"/>
      <c r="M660" s="326"/>
      <c r="N660" s="326"/>
      <c r="O660" s="326"/>
      <c r="P660" s="326"/>
      <c r="Q660" s="326"/>
      <c r="R660" s="326"/>
      <c r="S660" s="326"/>
      <c r="T660" s="326"/>
      <c r="U660" s="326"/>
      <c r="V660" s="326"/>
      <c r="W660" s="326"/>
      <c r="X660" s="326"/>
      <c r="Y660" s="326"/>
    </row>
    <row r="661">
      <c r="A661" s="326"/>
      <c r="B661" s="326"/>
      <c r="C661" s="326"/>
      <c r="D661" s="326"/>
      <c r="E661" s="326"/>
      <c r="F661" s="326"/>
      <c r="G661" s="326"/>
      <c r="H661" s="326"/>
      <c r="I661" s="326"/>
      <c r="J661" s="326"/>
      <c r="K661" s="326"/>
      <c r="L661" s="326"/>
      <c r="M661" s="326"/>
      <c r="N661" s="326"/>
      <c r="O661" s="326"/>
      <c r="P661" s="326"/>
      <c r="Q661" s="326"/>
      <c r="R661" s="326"/>
      <c r="S661" s="326"/>
      <c r="T661" s="326"/>
      <c r="U661" s="326"/>
      <c r="V661" s="326"/>
      <c r="W661" s="326"/>
      <c r="X661" s="326"/>
      <c r="Y661" s="326"/>
    </row>
    <row r="662">
      <c r="A662" s="326"/>
      <c r="B662" s="326"/>
      <c r="C662" s="326"/>
      <c r="D662" s="326"/>
      <c r="E662" s="326"/>
      <c r="F662" s="326"/>
      <c r="G662" s="326"/>
      <c r="H662" s="326"/>
      <c r="I662" s="326"/>
      <c r="J662" s="326"/>
      <c r="K662" s="326"/>
      <c r="L662" s="326"/>
      <c r="M662" s="326"/>
      <c r="N662" s="326"/>
      <c r="O662" s="326"/>
      <c r="P662" s="326"/>
      <c r="Q662" s="326"/>
      <c r="R662" s="326"/>
      <c r="S662" s="326"/>
      <c r="T662" s="326"/>
      <c r="U662" s="326"/>
      <c r="V662" s="326"/>
      <c r="W662" s="326"/>
      <c r="X662" s="326"/>
      <c r="Y662" s="326"/>
    </row>
    <row r="663">
      <c r="A663" s="326"/>
      <c r="B663" s="326"/>
      <c r="C663" s="326"/>
      <c r="D663" s="326"/>
      <c r="E663" s="326"/>
      <c r="F663" s="326"/>
      <c r="G663" s="326"/>
      <c r="H663" s="326"/>
      <c r="I663" s="326"/>
      <c r="J663" s="326"/>
      <c r="K663" s="326"/>
      <c r="L663" s="326"/>
      <c r="M663" s="326"/>
      <c r="N663" s="326"/>
      <c r="O663" s="326"/>
      <c r="P663" s="326"/>
      <c r="Q663" s="326"/>
      <c r="R663" s="326"/>
      <c r="S663" s="326"/>
      <c r="T663" s="326"/>
      <c r="U663" s="326"/>
      <c r="V663" s="326"/>
      <c r="W663" s="326"/>
      <c r="X663" s="326"/>
      <c r="Y663" s="326"/>
    </row>
    <row r="664">
      <c r="A664" s="326"/>
      <c r="B664" s="326"/>
      <c r="C664" s="326"/>
      <c r="D664" s="326"/>
      <c r="E664" s="326"/>
      <c r="F664" s="326"/>
      <c r="G664" s="326"/>
      <c r="H664" s="326"/>
      <c r="I664" s="326"/>
      <c r="J664" s="326"/>
      <c r="K664" s="326"/>
      <c r="L664" s="326"/>
      <c r="M664" s="326"/>
      <c r="N664" s="326"/>
      <c r="O664" s="326"/>
      <c r="P664" s="326"/>
      <c r="Q664" s="326"/>
      <c r="R664" s="326"/>
      <c r="S664" s="326"/>
      <c r="T664" s="326"/>
      <c r="U664" s="326"/>
      <c r="V664" s="326"/>
      <c r="W664" s="326"/>
      <c r="X664" s="326"/>
      <c r="Y664" s="326"/>
    </row>
    <row r="665">
      <c r="A665" s="326"/>
      <c r="B665" s="326"/>
      <c r="C665" s="326"/>
      <c r="D665" s="326"/>
      <c r="E665" s="326"/>
      <c r="F665" s="326"/>
      <c r="G665" s="326"/>
      <c r="H665" s="326"/>
      <c r="I665" s="326"/>
      <c r="J665" s="326"/>
      <c r="K665" s="326"/>
      <c r="L665" s="326"/>
      <c r="M665" s="326"/>
      <c r="N665" s="326"/>
      <c r="O665" s="326"/>
      <c r="P665" s="326"/>
      <c r="Q665" s="326"/>
      <c r="R665" s="326"/>
      <c r="S665" s="326"/>
      <c r="T665" s="326"/>
      <c r="U665" s="326"/>
      <c r="V665" s="326"/>
      <c r="W665" s="326"/>
      <c r="X665" s="326"/>
      <c r="Y665" s="326"/>
    </row>
    <row r="666">
      <c r="A666" s="326"/>
      <c r="B666" s="326"/>
      <c r="C666" s="326"/>
      <c r="D666" s="326"/>
      <c r="E666" s="326"/>
      <c r="F666" s="326"/>
      <c r="G666" s="326"/>
      <c r="H666" s="326"/>
      <c r="I666" s="326"/>
      <c r="J666" s="326"/>
      <c r="K666" s="326"/>
      <c r="L666" s="326"/>
      <c r="M666" s="326"/>
      <c r="N666" s="326"/>
      <c r="O666" s="326"/>
      <c r="P666" s="326"/>
      <c r="Q666" s="326"/>
      <c r="R666" s="326"/>
      <c r="S666" s="326"/>
      <c r="T666" s="326"/>
      <c r="U666" s="326"/>
      <c r="V666" s="326"/>
      <c r="W666" s="326"/>
      <c r="X666" s="326"/>
      <c r="Y666" s="326"/>
    </row>
    <row r="667">
      <c r="A667" s="326"/>
      <c r="B667" s="326"/>
      <c r="C667" s="326"/>
      <c r="D667" s="326"/>
      <c r="E667" s="326"/>
      <c r="F667" s="326"/>
      <c r="G667" s="326"/>
      <c r="H667" s="326"/>
      <c r="I667" s="326"/>
      <c r="J667" s="326"/>
      <c r="K667" s="326"/>
      <c r="L667" s="326"/>
      <c r="M667" s="326"/>
      <c r="N667" s="326"/>
      <c r="O667" s="326"/>
      <c r="P667" s="326"/>
      <c r="Q667" s="326"/>
      <c r="R667" s="326"/>
      <c r="S667" s="326"/>
      <c r="T667" s="326"/>
      <c r="U667" s="326"/>
      <c r="V667" s="326"/>
      <c r="W667" s="326"/>
      <c r="X667" s="326"/>
      <c r="Y667" s="326"/>
    </row>
    <row r="668">
      <c r="A668" s="326"/>
      <c r="B668" s="326"/>
      <c r="C668" s="326"/>
      <c r="D668" s="326"/>
      <c r="E668" s="326"/>
      <c r="F668" s="326"/>
      <c r="G668" s="326"/>
      <c r="H668" s="326"/>
      <c r="I668" s="326"/>
      <c r="J668" s="326"/>
      <c r="K668" s="326"/>
      <c r="L668" s="326"/>
      <c r="M668" s="326"/>
      <c r="N668" s="326"/>
      <c r="O668" s="326"/>
      <c r="P668" s="326"/>
      <c r="Q668" s="326"/>
      <c r="R668" s="326"/>
      <c r="S668" s="326"/>
      <c r="T668" s="326"/>
      <c r="U668" s="326"/>
      <c r="V668" s="326"/>
      <c r="W668" s="326"/>
      <c r="X668" s="326"/>
      <c r="Y668" s="326"/>
    </row>
    <row r="669">
      <c r="A669" s="326"/>
      <c r="B669" s="326"/>
      <c r="C669" s="326"/>
      <c r="D669" s="326"/>
      <c r="E669" s="326"/>
      <c r="F669" s="326"/>
      <c r="G669" s="326"/>
      <c r="H669" s="326"/>
      <c r="I669" s="326"/>
      <c r="J669" s="326"/>
      <c r="K669" s="326"/>
      <c r="L669" s="326"/>
      <c r="M669" s="326"/>
      <c r="N669" s="326"/>
      <c r="O669" s="326"/>
      <c r="P669" s="326"/>
      <c r="Q669" s="326"/>
      <c r="R669" s="326"/>
      <c r="S669" s="326"/>
      <c r="T669" s="326"/>
      <c r="U669" s="326"/>
      <c r="V669" s="326"/>
      <c r="W669" s="326"/>
      <c r="X669" s="326"/>
      <c r="Y669" s="326"/>
    </row>
    <row r="670">
      <c r="A670" s="326"/>
      <c r="B670" s="326"/>
      <c r="C670" s="326"/>
      <c r="D670" s="326"/>
      <c r="E670" s="326"/>
      <c r="F670" s="326"/>
      <c r="G670" s="326"/>
      <c r="H670" s="326"/>
      <c r="I670" s="326"/>
      <c r="J670" s="326"/>
      <c r="K670" s="326"/>
      <c r="L670" s="326"/>
      <c r="M670" s="326"/>
      <c r="N670" s="326"/>
      <c r="O670" s="326"/>
      <c r="P670" s="326"/>
      <c r="Q670" s="326"/>
      <c r="R670" s="326"/>
      <c r="S670" s="326"/>
      <c r="T670" s="326"/>
      <c r="U670" s="326"/>
      <c r="V670" s="326"/>
      <c r="W670" s="326"/>
      <c r="X670" s="326"/>
      <c r="Y670" s="326"/>
    </row>
    <row r="671">
      <c r="A671" s="326"/>
      <c r="B671" s="326"/>
      <c r="C671" s="326"/>
      <c r="D671" s="326"/>
      <c r="E671" s="326"/>
      <c r="F671" s="326"/>
      <c r="G671" s="326"/>
      <c r="H671" s="326"/>
      <c r="I671" s="326"/>
      <c r="J671" s="326"/>
      <c r="K671" s="326"/>
      <c r="L671" s="326"/>
      <c r="M671" s="326"/>
      <c r="N671" s="326"/>
      <c r="O671" s="326"/>
      <c r="P671" s="326"/>
      <c r="Q671" s="326"/>
      <c r="R671" s="326"/>
      <c r="S671" s="326"/>
      <c r="T671" s="326"/>
      <c r="U671" s="326"/>
      <c r="V671" s="326"/>
      <c r="W671" s="326"/>
      <c r="X671" s="326"/>
      <c r="Y671" s="326"/>
    </row>
    <row r="672">
      <c r="A672" s="326"/>
      <c r="B672" s="326"/>
      <c r="C672" s="326"/>
      <c r="D672" s="326"/>
      <c r="E672" s="326"/>
      <c r="F672" s="326"/>
      <c r="G672" s="326"/>
      <c r="H672" s="326"/>
      <c r="I672" s="326"/>
      <c r="J672" s="326"/>
      <c r="K672" s="326"/>
      <c r="L672" s="326"/>
      <c r="M672" s="326"/>
      <c r="N672" s="326"/>
      <c r="O672" s="326"/>
      <c r="P672" s="326"/>
      <c r="Q672" s="326"/>
      <c r="R672" s="326"/>
      <c r="S672" s="326"/>
      <c r="T672" s="326"/>
      <c r="U672" s="326"/>
      <c r="V672" s="326"/>
      <c r="W672" s="326"/>
      <c r="X672" s="326"/>
      <c r="Y672" s="326"/>
    </row>
    <row r="673">
      <c r="A673" s="326"/>
      <c r="B673" s="326"/>
      <c r="C673" s="326"/>
      <c r="D673" s="326"/>
      <c r="E673" s="326"/>
      <c r="F673" s="326"/>
      <c r="G673" s="326"/>
      <c r="H673" s="326"/>
      <c r="I673" s="326"/>
      <c r="J673" s="326"/>
      <c r="K673" s="326"/>
      <c r="L673" s="326"/>
      <c r="M673" s="326"/>
      <c r="N673" s="326"/>
      <c r="O673" s="326"/>
      <c r="P673" s="326"/>
      <c r="Q673" s="326"/>
      <c r="R673" s="326"/>
      <c r="S673" s="326"/>
      <c r="T673" s="326"/>
      <c r="U673" s="326"/>
      <c r="V673" s="326"/>
      <c r="W673" s="326"/>
      <c r="X673" s="326"/>
      <c r="Y673" s="326"/>
    </row>
    <row r="674">
      <c r="A674" s="326"/>
      <c r="B674" s="326"/>
      <c r="C674" s="326"/>
      <c r="D674" s="326"/>
      <c r="E674" s="326"/>
      <c r="F674" s="326"/>
      <c r="G674" s="326"/>
      <c r="H674" s="326"/>
      <c r="I674" s="326"/>
      <c r="J674" s="326"/>
      <c r="K674" s="326"/>
      <c r="L674" s="326"/>
      <c r="M674" s="326"/>
      <c r="N674" s="326"/>
      <c r="O674" s="326"/>
      <c r="P674" s="326"/>
      <c r="Q674" s="326"/>
      <c r="R674" s="326"/>
      <c r="S674" s="326"/>
      <c r="T674" s="326"/>
      <c r="U674" s="326"/>
      <c r="V674" s="326"/>
      <c r="W674" s="326"/>
      <c r="X674" s="326"/>
      <c r="Y674" s="326"/>
    </row>
    <row r="675">
      <c r="A675" s="326"/>
      <c r="B675" s="326"/>
      <c r="C675" s="326"/>
      <c r="D675" s="326"/>
      <c r="E675" s="326"/>
      <c r="F675" s="326"/>
      <c r="G675" s="326"/>
      <c r="H675" s="326"/>
      <c r="I675" s="326"/>
      <c r="J675" s="326"/>
      <c r="K675" s="326"/>
      <c r="L675" s="326"/>
      <c r="M675" s="326"/>
      <c r="N675" s="326"/>
      <c r="O675" s="326"/>
      <c r="P675" s="326"/>
      <c r="Q675" s="326"/>
      <c r="R675" s="326"/>
      <c r="S675" s="326"/>
      <c r="T675" s="326"/>
      <c r="U675" s="326"/>
      <c r="V675" s="326"/>
      <c r="W675" s="326"/>
      <c r="X675" s="326"/>
      <c r="Y675" s="326"/>
    </row>
    <row r="676">
      <c r="A676" s="326"/>
      <c r="B676" s="326"/>
      <c r="C676" s="326"/>
      <c r="D676" s="326"/>
      <c r="E676" s="326"/>
      <c r="F676" s="326"/>
      <c r="G676" s="326"/>
      <c r="H676" s="326"/>
      <c r="I676" s="326"/>
      <c r="J676" s="326"/>
      <c r="K676" s="326"/>
      <c r="L676" s="326"/>
      <c r="M676" s="326"/>
      <c r="N676" s="326"/>
      <c r="O676" s="326"/>
      <c r="P676" s="326"/>
      <c r="Q676" s="326"/>
      <c r="R676" s="326"/>
      <c r="S676" s="326"/>
      <c r="T676" s="326"/>
      <c r="U676" s="326"/>
      <c r="V676" s="326"/>
      <c r="W676" s="326"/>
      <c r="X676" s="326"/>
      <c r="Y676" s="326"/>
    </row>
    <row r="677">
      <c r="A677" s="326"/>
      <c r="B677" s="326"/>
      <c r="C677" s="326"/>
      <c r="D677" s="326"/>
      <c r="E677" s="326"/>
      <c r="F677" s="326"/>
      <c r="G677" s="326"/>
      <c r="H677" s="326"/>
      <c r="I677" s="326"/>
      <c r="J677" s="326"/>
      <c r="K677" s="326"/>
      <c r="L677" s="326"/>
      <c r="M677" s="326"/>
      <c r="N677" s="326"/>
      <c r="O677" s="326"/>
      <c r="P677" s="326"/>
      <c r="Q677" s="326"/>
      <c r="R677" s="326"/>
      <c r="S677" s="326"/>
      <c r="T677" s="326"/>
      <c r="U677" s="326"/>
      <c r="V677" s="326"/>
      <c r="W677" s="326"/>
      <c r="X677" s="326"/>
      <c r="Y677" s="326"/>
    </row>
    <row r="678">
      <c r="A678" s="326"/>
      <c r="B678" s="326"/>
      <c r="C678" s="326"/>
      <c r="D678" s="326"/>
      <c r="E678" s="326"/>
      <c r="F678" s="326"/>
      <c r="G678" s="326"/>
      <c r="H678" s="326"/>
      <c r="I678" s="326"/>
      <c r="J678" s="326"/>
      <c r="K678" s="326"/>
      <c r="L678" s="326"/>
      <c r="M678" s="326"/>
      <c r="N678" s="326"/>
      <c r="O678" s="326"/>
      <c r="P678" s="326"/>
      <c r="Q678" s="326"/>
      <c r="R678" s="326"/>
      <c r="S678" s="326"/>
      <c r="T678" s="326"/>
      <c r="U678" s="326"/>
      <c r="V678" s="326"/>
      <c r="W678" s="326"/>
      <c r="X678" s="326"/>
      <c r="Y678" s="326"/>
    </row>
    <row r="679">
      <c r="A679" s="326"/>
      <c r="B679" s="326"/>
      <c r="C679" s="326"/>
      <c r="D679" s="326"/>
      <c r="E679" s="326"/>
      <c r="F679" s="326"/>
      <c r="G679" s="326"/>
      <c r="H679" s="326"/>
      <c r="I679" s="326"/>
      <c r="J679" s="326"/>
      <c r="K679" s="326"/>
      <c r="L679" s="326"/>
      <c r="M679" s="326"/>
      <c r="N679" s="326"/>
      <c r="O679" s="326"/>
      <c r="P679" s="326"/>
      <c r="Q679" s="326"/>
      <c r="R679" s="326"/>
      <c r="S679" s="326"/>
      <c r="T679" s="326"/>
      <c r="U679" s="326"/>
      <c r="V679" s="326"/>
      <c r="W679" s="326"/>
      <c r="X679" s="326"/>
      <c r="Y679" s="326"/>
    </row>
    <row r="680">
      <c r="A680" s="326"/>
      <c r="B680" s="326"/>
      <c r="C680" s="326"/>
      <c r="D680" s="326"/>
      <c r="E680" s="326"/>
      <c r="F680" s="326"/>
      <c r="G680" s="326"/>
      <c r="H680" s="326"/>
      <c r="I680" s="326"/>
      <c r="J680" s="326"/>
      <c r="K680" s="326"/>
      <c r="L680" s="326"/>
      <c r="M680" s="326"/>
      <c r="N680" s="326"/>
      <c r="O680" s="326"/>
      <c r="P680" s="326"/>
      <c r="Q680" s="326"/>
      <c r="R680" s="326"/>
      <c r="S680" s="326"/>
      <c r="T680" s="326"/>
      <c r="U680" s="326"/>
      <c r="V680" s="326"/>
      <c r="W680" s="326"/>
      <c r="X680" s="326"/>
      <c r="Y680" s="326"/>
    </row>
    <row r="681">
      <c r="A681" s="326"/>
      <c r="B681" s="326"/>
      <c r="C681" s="326"/>
      <c r="D681" s="326"/>
      <c r="E681" s="326"/>
      <c r="F681" s="326"/>
      <c r="G681" s="326"/>
      <c r="H681" s="326"/>
      <c r="I681" s="326"/>
      <c r="J681" s="326"/>
      <c r="K681" s="326"/>
      <c r="L681" s="326"/>
      <c r="M681" s="326"/>
      <c r="N681" s="326"/>
      <c r="O681" s="326"/>
      <c r="P681" s="326"/>
      <c r="Q681" s="326"/>
      <c r="R681" s="326"/>
      <c r="S681" s="326"/>
      <c r="T681" s="326"/>
      <c r="U681" s="326"/>
      <c r="V681" s="326"/>
      <c r="W681" s="326"/>
      <c r="X681" s="326"/>
      <c r="Y681" s="326"/>
    </row>
    <row r="682">
      <c r="A682" s="326"/>
      <c r="B682" s="326"/>
      <c r="C682" s="326"/>
      <c r="D682" s="326"/>
      <c r="E682" s="326"/>
      <c r="F682" s="326"/>
      <c r="G682" s="326"/>
      <c r="H682" s="326"/>
      <c r="I682" s="326"/>
      <c r="J682" s="326"/>
      <c r="K682" s="326"/>
      <c r="L682" s="326"/>
      <c r="M682" s="326"/>
      <c r="N682" s="326"/>
      <c r="O682" s="326"/>
      <c r="P682" s="326"/>
      <c r="Q682" s="326"/>
      <c r="R682" s="326"/>
      <c r="S682" s="326"/>
      <c r="T682" s="326"/>
      <c r="U682" s="326"/>
      <c r="V682" s="326"/>
      <c r="W682" s="326"/>
      <c r="X682" s="326"/>
      <c r="Y682" s="326"/>
    </row>
    <row r="683">
      <c r="A683" s="326"/>
      <c r="B683" s="326"/>
      <c r="C683" s="326"/>
      <c r="D683" s="326"/>
      <c r="E683" s="326"/>
      <c r="F683" s="326"/>
      <c r="G683" s="326"/>
      <c r="H683" s="326"/>
      <c r="I683" s="326"/>
      <c r="J683" s="326"/>
      <c r="K683" s="326"/>
      <c r="L683" s="326"/>
      <c r="M683" s="326"/>
      <c r="N683" s="326"/>
      <c r="O683" s="326"/>
      <c r="P683" s="326"/>
      <c r="Q683" s="326"/>
      <c r="R683" s="326"/>
      <c r="S683" s="326"/>
      <c r="T683" s="326"/>
      <c r="U683" s="326"/>
      <c r="V683" s="326"/>
      <c r="W683" s="326"/>
      <c r="X683" s="326"/>
      <c r="Y683" s="326"/>
    </row>
    <row r="684">
      <c r="A684" s="326"/>
      <c r="B684" s="326"/>
      <c r="C684" s="326"/>
      <c r="D684" s="326"/>
      <c r="E684" s="326"/>
      <c r="F684" s="326"/>
      <c r="G684" s="326"/>
      <c r="H684" s="326"/>
      <c r="I684" s="326"/>
      <c r="J684" s="326"/>
      <c r="K684" s="326"/>
      <c r="L684" s="326"/>
      <c r="M684" s="326"/>
      <c r="N684" s="326"/>
      <c r="O684" s="326"/>
      <c r="P684" s="326"/>
      <c r="Q684" s="326"/>
      <c r="R684" s="326"/>
      <c r="S684" s="326"/>
      <c r="T684" s="326"/>
      <c r="U684" s="326"/>
      <c r="V684" s="326"/>
      <c r="W684" s="326"/>
      <c r="X684" s="326"/>
      <c r="Y684" s="326"/>
    </row>
    <row r="685">
      <c r="A685" s="326"/>
      <c r="B685" s="326"/>
      <c r="C685" s="326"/>
      <c r="D685" s="326"/>
      <c r="E685" s="326"/>
      <c r="F685" s="326"/>
      <c r="G685" s="326"/>
      <c r="H685" s="326"/>
      <c r="I685" s="326"/>
      <c r="J685" s="326"/>
      <c r="K685" s="326"/>
      <c r="L685" s="326"/>
      <c r="M685" s="326"/>
      <c r="N685" s="326"/>
      <c r="O685" s="326"/>
      <c r="P685" s="326"/>
      <c r="Q685" s="326"/>
      <c r="R685" s="326"/>
      <c r="S685" s="326"/>
      <c r="T685" s="326"/>
      <c r="U685" s="326"/>
      <c r="V685" s="326"/>
      <c r="W685" s="326"/>
      <c r="X685" s="326"/>
      <c r="Y685" s="326"/>
    </row>
    <row r="686">
      <c r="A686" s="326"/>
      <c r="B686" s="326"/>
      <c r="C686" s="326"/>
      <c r="D686" s="326"/>
      <c r="E686" s="326"/>
      <c r="F686" s="326"/>
      <c r="G686" s="326"/>
      <c r="H686" s="326"/>
      <c r="I686" s="326"/>
      <c r="J686" s="326"/>
      <c r="K686" s="326"/>
      <c r="L686" s="326"/>
      <c r="M686" s="326"/>
      <c r="N686" s="326"/>
      <c r="O686" s="326"/>
      <c r="P686" s="326"/>
      <c r="Q686" s="326"/>
      <c r="R686" s="326"/>
      <c r="S686" s="326"/>
      <c r="T686" s="326"/>
      <c r="U686" s="326"/>
      <c r="V686" s="326"/>
      <c r="W686" s="326"/>
      <c r="X686" s="326"/>
      <c r="Y686" s="326"/>
    </row>
    <row r="687">
      <c r="A687" s="326"/>
      <c r="B687" s="326"/>
      <c r="C687" s="326"/>
      <c r="D687" s="326"/>
      <c r="E687" s="326"/>
      <c r="F687" s="326"/>
      <c r="G687" s="326"/>
      <c r="H687" s="326"/>
      <c r="I687" s="326"/>
      <c r="J687" s="326"/>
      <c r="K687" s="326"/>
      <c r="L687" s="326"/>
      <c r="M687" s="326"/>
      <c r="N687" s="326"/>
      <c r="O687" s="326"/>
      <c r="P687" s="326"/>
      <c r="Q687" s="326"/>
      <c r="R687" s="326"/>
      <c r="S687" s="326"/>
      <c r="T687" s="326"/>
      <c r="U687" s="326"/>
      <c r="V687" s="326"/>
      <c r="W687" s="326"/>
      <c r="X687" s="326"/>
      <c r="Y687" s="326"/>
    </row>
    <row r="688">
      <c r="A688" s="326"/>
      <c r="B688" s="326"/>
      <c r="C688" s="326"/>
      <c r="D688" s="326"/>
      <c r="E688" s="326"/>
      <c r="F688" s="326"/>
      <c r="G688" s="326"/>
      <c r="H688" s="326"/>
      <c r="I688" s="326"/>
      <c r="J688" s="326"/>
      <c r="K688" s="326"/>
      <c r="L688" s="326"/>
      <c r="M688" s="326"/>
      <c r="N688" s="326"/>
      <c r="O688" s="326"/>
      <c r="P688" s="326"/>
      <c r="Q688" s="326"/>
      <c r="R688" s="326"/>
      <c r="S688" s="326"/>
      <c r="T688" s="326"/>
      <c r="U688" s="326"/>
      <c r="V688" s="326"/>
      <c r="W688" s="326"/>
      <c r="X688" s="326"/>
      <c r="Y688" s="326"/>
    </row>
    <row r="689">
      <c r="A689" s="326"/>
      <c r="B689" s="326"/>
      <c r="C689" s="326"/>
      <c r="D689" s="326"/>
      <c r="E689" s="326"/>
      <c r="F689" s="326"/>
      <c r="G689" s="326"/>
      <c r="H689" s="326"/>
      <c r="I689" s="326"/>
      <c r="J689" s="326"/>
      <c r="K689" s="326"/>
      <c r="L689" s="326"/>
      <c r="M689" s="326"/>
      <c r="N689" s="326"/>
      <c r="O689" s="326"/>
      <c r="P689" s="326"/>
      <c r="Q689" s="326"/>
      <c r="R689" s="326"/>
      <c r="S689" s="326"/>
      <c r="T689" s="326"/>
      <c r="U689" s="326"/>
      <c r="V689" s="326"/>
      <c r="W689" s="326"/>
      <c r="X689" s="326"/>
      <c r="Y689" s="326"/>
    </row>
    <row r="690">
      <c r="A690" s="326"/>
      <c r="B690" s="326"/>
      <c r="C690" s="326"/>
      <c r="D690" s="326"/>
      <c r="E690" s="326"/>
      <c r="F690" s="326"/>
      <c r="G690" s="326"/>
      <c r="H690" s="326"/>
      <c r="I690" s="326"/>
      <c r="J690" s="326"/>
      <c r="K690" s="326"/>
      <c r="L690" s="326"/>
      <c r="M690" s="326"/>
      <c r="N690" s="326"/>
      <c r="O690" s="326"/>
      <c r="P690" s="326"/>
      <c r="Q690" s="326"/>
      <c r="R690" s="326"/>
      <c r="S690" s="326"/>
      <c r="T690" s="326"/>
      <c r="U690" s="326"/>
      <c r="V690" s="326"/>
      <c r="W690" s="326"/>
      <c r="X690" s="326"/>
      <c r="Y690" s="326"/>
    </row>
    <row r="691">
      <c r="A691" s="326"/>
      <c r="B691" s="326"/>
      <c r="C691" s="326"/>
      <c r="D691" s="326"/>
      <c r="E691" s="326"/>
      <c r="F691" s="326"/>
      <c r="G691" s="326"/>
      <c r="H691" s="326"/>
      <c r="I691" s="326"/>
      <c r="J691" s="326"/>
      <c r="K691" s="326"/>
      <c r="L691" s="326"/>
      <c r="M691" s="326"/>
      <c r="N691" s="326"/>
      <c r="O691" s="326"/>
      <c r="P691" s="326"/>
      <c r="Q691" s="326"/>
      <c r="R691" s="326"/>
      <c r="S691" s="326"/>
      <c r="T691" s="326"/>
      <c r="U691" s="326"/>
      <c r="V691" s="326"/>
      <c r="W691" s="326"/>
      <c r="X691" s="326"/>
      <c r="Y691" s="326"/>
    </row>
    <row r="692">
      <c r="A692" s="326"/>
      <c r="B692" s="326"/>
      <c r="C692" s="326"/>
      <c r="D692" s="326"/>
      <c r="E692" s="326"/>
      <c r="F692" s="326"/>
      <c r="G692" s="326"/>
      <c r="H692" s="326"/>
      <c r="I692" s="326"/>
      <c r="J692" s="326"/>
      <c r="K692" s="326"/>
      <c r="L692" s="326"/>
      <c r="M692" s="326"/>
      <c r="N692" s="326"/>
      <c r="O692" s="326"/>
      <c r="P692" s="326"/>
      <c r="Q692" s="326"/>
      <c r="R692" s="326"/>
      <c r="S692" s="326"/>
      <c r="T692" s="326"/>
      <c r="U692" s="326"/>
      <c r="V692" s="326"/>
      <c r="W692" s="326"/>
      <c r="X692" s="326"/>
      <c r="Y692" s="326"/>
    </row>
    <row r="693">
      <c r="A693" s="326"/>
      <c r="B693" s="326"/>
      <c r="C693" s="326"/>
      <c r="D693" s="326"/>
      <c r="E693" s="326"/>
      <c r="F693" s="326"/>
      <c r="G693" s="326"/>
      <c r="H693" s="326"/>
      <c r="I693" s="326"/>
      <c r="J693" s="326"/>
      <c r="K693" s="326"/>
      <c r="L693" s="326"/>
      <c r="M693" s="326"/>
      <c r="N693" s="326"/>
      <c r="O693" s="326"/>
      <c r="P693" s="326"/>
      <c r="Q693" s="326"/>
      <c r="R693" s="326"/>
      <c r="S693" s="326"/>
      <c r="T693" s="326"/>
      <c r="U693" s="326"/>
      <c r="V693" s="326"/>
      <c r="W693" s="326"/>
      <c r="X693" s="326"/>
      <c r="Y693" s="326"/>
    </row>
    <row r="694">
      <c r="A694" s="326"/>
      <c r="B694" s="326"/>
      <c r="C694" s="326"/>
      <c r="D694" s="326"/>
      <c r="E694" s="326"/>
      <c r="F694" s="326"/>
      <c r="G694" s="326"/>
      <c r="H694" s="326"/>
      <c r="I694" s="326"/>
      <c r="J694" s="326"/>
      <c r="K694" s="326"/>
      <c r="L694" s="326"/>
      <c r="M694" s="326"/>
      <c r="N694" s="326"/>
      <c r="O694" s="326"/>
      <c r="P694" s="326"/>
      <c r="Q694" s="326"/>
      <c r="R694" s="326"/>
      <c r="S694" s="326"/>
      <c r="T694" s="326"/>
      <c r="U694" s="326"/>
      <c r="V694" s="326"/>
      <c r="W694" s="326"/>
      <c r="X694" s="326"/>
      <c r="Y694" s="326"/>
    </row>
    <row r="695">
      <c r="A695" s="326"/>
      <c r="B695" s="326"/>
      <c r="C695" s="326"/>
      <c r="D695" s="326"/>
      <c r="E695" s="326"/>
      <c r="F695" s="326"/>
      <c r="G695" s="326"/>
      <c r="H695" s="326"/>
      <c r="I695" s="326"/>
      <c r="J695" s="326"/>
      <c r="K695" s="326"/>
      <c r="L695" s="326"/>
      <c r="M695" s="326"/>
      <c r="N695" s="326"/>
      <c r="O695" s="326"/>
      <c r="P695" s="326"/>
      <c r="Q695" s="326"/>
      <c r="R695" s="326"/>
      <c r="S695" s="326"/>
      <c r="T695" s="326"/>
      <c r="U695" s="326"/>
      <c r="V695" s="326"/>
      <c r="W695" s="326"/>
      <c r="X695" s="326"/>
      <c r="Y695" s="326"/>
    </row>
    <row r="696">
      <c r="A696" s="326"/>
      <c r="B696" s="326"/>
      <c r="C696" s="326"/>
      <c r="D696" s="326"/>
      <c r="E696" s="326"/>
      <c r="F696" s="326"/>
      <c r="G696" s="326"/>
      <c r="H696" s="326"/>
      <c r="I696" s="326"/>
      <c r="J696" s="326"/>
      <c r="K696" s="326"/>
      <c r="L696" s="326"/>
      <c r="M696" s="326"/>
      <c r="N696" s="326"/>
      <c r="O696" s="326"/>
      <c r="P696" s="326"/>
      <c r="Q696" s="326"/>
      <c r="R696" s="326"/>
      <c r="S696" s="326"/>
      <c r="T696" s="326"/>
      <c r="U696" s="326"/>
      <c r="V696" s="326"/>
      <c r="W696" s="326"/>
      <c r="X696" s="326"/>
      <c r="Y696" s="326"/>
    </row>
    <row r="697">
      <c r="A697" s="326"/>
      <c r="B697" s="326"/>
      <c r="C697" s="326"/>
      <c r="D697" s="326"/>
      <c r="E697" s="326"/>
      <c r="F697" s="326"/>
      <c r="G697" s="326"/>
      <c r="H697" s="326"/>
      <c r="I697" s="326"/>
      <c r="J697" s="326"/>
      <c r="K697" s="326"/>
      <c r="L697" s="326"/>
      <c r="M697" s="326"/>
      <c r="N697" s="326"/>
      <c r="O697" s="326"/>
      <c r="P697" s="326"/>
      <c r="Q697" s="326"/>
      <c r="R697" s="326"/>
      <c r="S697" s="326"/>
      <c r="T697" s="326"/>
      <c r="U697" s="326"/>
      <c r="V697" s="326"/>
      <c r="W697" s="326"/>
      <c r="X697" s="326"/>
      <c r="Y697" s="326"/>
    </row>
    <row r="698">
      <c r="A698" s="326"/>
      <c r="B698" s="326"/>
      <c r="C698" s="326"/>
      <c r="D698" s="326"/>
      <c r="E698" s="326"/>
      <c r="F698" s="326"/>
      <c r="G698" s="326"/>
      <c r="H698" s="326"/>
      <c r="I698" s="326"/>
      <c r="J698" s="326"/>
      <c r="K698" s="326"/>
      <c r="L698" s="326"/>
      <c r="M698" s="326"/>
      <c r="N698" s="326"/>
      <c r="O698" s="326"/>
      <c r="P698" s="326"/>
      <c r="Q698" s="326"/>
      <c r="R698" s="326"/>
      <c r="S698" s="326"/>
      <c r="T698" s="326"/>
      <c r="U698" s="326"/>
      <c r="V698" s="326"/>
      <c r="W698" s="326"/>
      <c r="X698" s="326"/>
      <c r="Y698" s="326"/>
    </row>
    <row r="699">
      <c r="A699" s="326"/>
      <c r="B699" s="326"/>
      <c r="C699" s="326"/>
      <c r="D699" s="326"/>
      <c r="E699" s="326"/>
      <c r="F699" s="326"/>
      <c r="G699" s="326"/>
      <c r="H699" s="326"/>
      <c r="I699" s="326"/>
      <c r="J699" s="326"/>
      <c r="K699" s="326"/>
      <c r="L699" s="326"/>
      <c r="M699" s="326"/>
      <c r="N699" s="326"/>
      <c r="O699" s="326"/>
      <c r="P699" s="326"/>
      <c r="Q699" s="326"/>
      <c r="R699" s="326"/>
      <c r="S699" s="326"/>
      <c r="T699" s="326"/>
      <c r="U699" s="326"/>
      <c r="V699" s="326"/>
      <c r="W699" s="326"/>
      <c r="X699" s="326"/>
      <c r="Y699" s="326"/>
    </row>
    <row r="700">
      <c r="A700" s="326"/>
      <c r="B700" s="326"/>
      <c r="C700" s="326"/>
      <c r="D700" s="326"/>
      <c r="E700" s="326"/>
      <c r="F700" s="326"/>
      <c r="G700" s="326"/>
      <c r="H700" s="326"/>
      <c r="I700" s="326"/>
      <c r="J700" s="326"/>
      <c r="K700" s="326"/>
      <c r="L700" s="326"/>
      <c r="M700" s="326"/>
      <c r="N700" s="326"/>
      <c r="O700" s="326"/>
      <c r="P700" s="326"/>
      <c r="Q700" s="326"/>
      <c r="R700" s="326"/>
      <c r="S700" s="326"/>
      <c r="T700" s="326"/>
      <c r="U700" s="326"/>
      <c r="V700" s="326"/>
      <c r="W700" s="326"/>
      <c r="X700" s="326"/>
      <c r="Y700" s="326"/>
    </row>
    <row r="701">
      <c r="A701" s="326"/>
      <c r="B701" s="326"/>
      <c r="C701" s="326"/>
      <c r="D701" s="326"/>
      <c r="E701" s="326"/>
      <c r="F701" s="326"/>
      <c r="G701" s="326"/>
      <c r="H701" s="326"/>
      <c r="I701" s="326"/>
      <c r="J701" s="326"/>
      <c r="K701" s="326"/>
      <c r="L701" s="326"/>
      <c r="M701" s="326"/>
      <c r="N701" s="326"/>
      <c r="O701" s="326"/>
      <c r="P701" s="326"/>
      <c r="Q701" s="326"/>
      <c r="R701" s="326"/>
      <c r="S701" s="326"/>
      <c r="T701" s="326"/>
      <c r="U701" s="326"/>
      <c r="V701" s="326"/>
      <c r="W701" s="326"/>
      <c r="X701" s="326"/>
      <c r="Y701" s="326"/>
    </row>
    <row r="702">
      <c r="A702" s="326"/>
      <c r="B702" s="326"/>
      <c r="C702" s="326"/>
      <c r="D702" s="326"/>
      <c r="E702" s="326"/>
      <c r="F702" s="326"/>
      <c r="G702" s="326"/>
      <c r="H702" s="326"/>
      <c r="I702" s="326"/>
      <c r="J702" s="326"/>
      <c r="K702" s="326"/>
      <c r="L702" s="326"/>
      <c r="M702" s="326"/>
      <c r="N702" s="326"/>
      <c r="O702" s="326"/>
      <c r="P702" s="326"/>
      <c r="Q702" s="326"/>
      <c r="R702" s="326"/>
      <c r="S702" s="326"/>
      <c r="T702" s="326"/>
      <c r="U702" s="326"/>
      <c r="V702" s="326"/>
      <c r="W702" s="326"/>
      <c r="X702" s="326"/>
      <c r="Y702" s="326"/>
    </row>
    <row r="703">
      <c r="A703" s="326"/>
      <c r="B703" s="326"/>
      <c r="C703" s="326"/>
      <c r="D703" s="326"/>
      <c r="E703" s="326"/>
      <c r="F703" s="326"/>
      <c r="G703" s="326"/>
      <c r="H703" s="326"/>
      <c r="I703" s="326"/>
      <c r="J703" s="326"/>
      <c r="K703" s="326"/>
      <c r="L703" s="326"/>
      <c r="M703" s="326"/>
      <c r="N703" s="326"/>
      <c r="O703" s="326"/>
      <c r="P703" s="326"/>
      <c r="Q703" s="326"/>
      <c r="R703" s="326"/>
      <c r="S703" s="326"/>
      <c r="T703" s="326"/>
      <c r="U703" s="326"/>
      <c r="V703" s="326"/>
      <c r="W703" s="326"/>
      <c r="X703" s="326"/>
      <c r="Y703" s="326"/>
    </row>
    <row r="704">
      <c r="A704" s="326"/>
      <c r="B704" s="326"/>
      <c r="C704" s="326"/>
      <c r="D704" s="326"/>
      <c r="E704" s="326"/>
      <c r="F704" s="326"/>
      <c r="G704" s="326"/>
      <c r="H704" s="326"/>
      <c r="I704" s="326"/>
      <c r="J704" s="326"/>
      <c r="K704" s="326"/>
      <c r="L704" s="326"/>
      <c r="M704" s="326"/>
      <c r="N704" s="326"/>
      <c r="O704" s="326"/>
      <c r="P704" s="326"/>
      <c r="Q704" s="326"/>
      <c r="R704" s="326"/>
      <c r="S704" s="326"/>
      <c r="T704" s="326"/>
      <c r="U704" s="326"/>
      <c r="V704" s="326"/>
      <c r="W704" s="326"/>
      <c r="X704" s="326"/>
      <c r="Y704" s="326"/>
    </row>
    <row r="705">
      <c r="A705" s="326"/>
      <c r="B705" s="326"/>
      <c r="C705" s="326"/>
      <c r="D705" s="326"/>
      <c r="E705" s="326"/>
      <c r="F705" s="326"/>
      <c r="G705" s="326"/>
      <c r="H705" s="326"/>
      <c r="I705" s="326"/>
      <c r="J705" s="326"/>
      <c r="K705" s="326"/>
      <c r="L705" s="326"/>
      <c r="M705" s="326"/>
      <c r="N705" s="326"/>
      <c r="O705" s="326"/>
      <c r="P705" s="326"/>
      <c r="Q705" s="326"/>
      <c r="R705" s="326"/>
      <c r="S705" s="326"/>
      <c r="T705" s="326"/>
      <c r="U705" s="326"/>
      <c r="V705" s="326"/>
      <c r="W705" s="326"/>
      <c r="X705" s="326"/>
      <c r="Y705" s="326"/>
    </row>
    <row r="706">
      <c r="A706" s="326"/>
      <c r="B706" s="326"/>
      <c r="C706" s="326"/>
      <c r="D706" s="326"/>
      <c r="E706" s="326"/>
      <c r="F706" s="326"/>
      <c r="G706" s="326"/>
      <c r="H706" s="326"/>
      <c r="I706" s="326"/>
      <c r="J706" s="326"/>
      <c r="K706" s="326"/>
      <c r="L706" s="326"/>
      <c r="M706" s="326"/>
      <c r="N706" s="326"/>
      <c r="O706" s="326"/>
      <c r="P706" s="326"/>
      <c r="Q706" s="326"/>
      <c r="R706" s="326"/>
      <c r="S706" s="326"/>
      <c r="T706" s="326"/>
      <c r="U706" s="326"/>
      <c r="V706" s="326"/>
      <c r="W706" s="326"/>
      <c r="X706" s="326"/>
      <c r="Y706" s="326"/>
    </row>
    <row r="707">
      <c r="A707" s="326"/>
      <c r="B707" s="326"/>
      <c r="C707" s="326"/>
      <c r="D707" s="326"/>
      <c r="E707" s="326"/>
      <c r="F707" s="326"/>
      <c r="G707" s="326"/>
      <c r="H707" s="326"/>
      <c r="I707" s="326"/>
      <c r="J707" s="326"/>
      <c r="K707" s="326"/>
      <c r="L707" s="326"/>
      <c r="M707" s="326"/>
      <c r="N707" s="326"/>
      <c r="O707" s="326"/>
      <c r="P707" s="326"/>
      <c r="Q707" s="326"/>
      <c r="R707" s="326"/>
      <c r="S707" s="326"/>
      <c r="T707" s="326"/>
      <c r="U707" s="326"/>
      <c r="V707" s="326"/>
      <c r="W707" s="326"/>
      <c r="X707" s="326"/>
      <c r="Y707" s="326"/>
    </row>
    <row r="708">
      <c r="A708" s="326"/>
      <c r="B708" s="326"/>
      <c r="C708" s="326"/>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row>
    <row r="709">
      <c r="A709" s="326"/>
      <c r="B709" s="326"/>
      <c r="C709" s="326"/>
      <c r="D709" s="326"/>
      <c r="E709" s="326"/>
      <c r="F709" s="326"/>
      <c r="G709" s="326"/>
      <c r="H709" s="326"/>
      <c r="I709" s="326"/>
      <c r="J709" s="326"/>
      <c r="K709" s="326"/>
      <c r="L709" s="326"/>
      <c r="M709" s="326"/>
      <c r="N709" s="326"/>
      <c r="O709" s="326"/>
      <c r="P709" s="326"/>
      <c r="Q709" s="326"/>
      <c r="R709" s="326"/>
      <c r="S709" s="326"/>
      <c r="T709" s="326"/>
      <c r="U709" s="326"/>
      <c r="V709" s="326"/>
      <c r="W709" s="326"/>
      <c r="X709" s="326"/>
      <c r="Y709" s="326"/>
    </row>
    <row r="710">
      <c r="A710" s="326"/>
      <c r="B710" s="326"/>
      <c r="C710" s="326"/>
      <c r="D710" s="326"/>
      <c r="E710" s="326"/>
      <c r="F710" s="326"/>
      <c r="G710" s="326"/>
      <c r="H710" s="326"/>
      <c r="I710" s="326"/>
      <c r="J710" s="326"/>
      <c r="K710" s="326"/>
      <c r="L710" s="326"/>
      <c r="M710" s="326"/>
      <c r="N710" s="326"/>
      <c r="O710" s="326"/>
      <c r="P710" s="326"/>
      <c r="Q710" s="326"/>
      <c r="R710" s="326"/>
      <c r="S710" s="326"/>
      <c r="T710" s="326"/>
      <c r="U710" s="326"/>
      <c r="V710" s="326"/>
      <c r="W710" s="326"/>
      <c r="X710" s="326"/>
      <c r="Y710" s="326"/>
    </row>
    <row r="711">
      <c r="A711" s="326"/>
      <c r="B711" s="326"/>
      <c r="C711" s="326"/>
      <c r="D711" s="326"/>
      <c r="E711" s="326"/>
      <c r="F711" s="326"/>
      <c r="G711" s="326"/>
      <c r="H711" s="326"/>
      <c r="I711" s="326"/>
      <c r="J711" s="326"/>
      <c r="K711" s="326"/>
      <c r="L711" s="326"/>
      <c r="M711" s="326"/>
      <c r="N711" s="326"/>
      <c r="O711" s="326"/>
      <c r="P711" s="326"/>
      <c r="Q711" s="326"/>
      <c r="R711" s="326"/>
      <c r="S711" s="326"/>
      <c r="T711" s="326"/>
      <c r="U711" s="326"/>
      <c r="V711" s="326"/>
      <c r="W711" s="326"/>
      <c r="X711" s="326"/>
      <c r="Y711" s="326"/>
    </row>
    <row r="712">
      <c r="A712" s="326"/>
      <c r="B712" s="326"/>
      <c r="C712" s="326"/>
      <c r="D712" s="326"/>
      <c r="E712" s="326"/>
      <c r="F712" s="326"/>
      <c r="G712" s="326"/>
      <c r="H712" s="326"/>
      <c r="I712" s="326"/>
      <c r="J712" s="326"/>
      <c r="K712" s="326"/>
      <c r="L712" s="326"/>
      <c r="M712" s="326"/>
      <c r="N712" s="326"/>
      <c r="O712" s="326"/>
      <c r="P712" s="326"/>
      <c r="Q712" s="326"/>
      <c r="R712" s="326"/>
      <c r="S712" s="326"/>
      <c r="T712" s="326"/>
      <c r="U712" s="326"/>
      <c r="V712" s="326"/>
      <c r="W712" s="326"/>
      <c r="X712" s="326"/>
      <c r="Y712" s="326"/>
    </row>
    <row r="713">
      <c r="A713" s="326"/>
      <c r="B713" s="326"/>
      <c r="C713" s="326"/>
      <c r="D713" s="326"/>
      <c r="E713" s="326"/>
      <c r="F713" s="326"/>
      <c r="G713" s="326"/>
      <c r="H713" s="326"/>
      <c r="I713" s="326"/>
      <c r="J713" s="326"/>
      <c r="K713" s="326"/>
      <c r="L713" s="326"/>
      <c r="M713" s="326"/>
      <c r="N713" s="326"/>
      <c r="O713" s="326"/>
      <c r="P713" s="326"/>
      <c r="Q713" s="326"/>
      <c r="R713" s="326"/>
      <c r="S713" s="326"/>
      <c r="T713" s="326"/>
      <c r="U713" s="326"/>
      <c r="V713" s="326"/>
      <c r="W713" s="326"/>
      <c r="X713" s="326"/>
      <c r="Y713" s="326"/>
    </row>
    <row r="714">
      <c r="A714" s="326"/>
      <c r="B714" s="326"/>
      <c r="C714" s="326"/>
      <c r="D714" s="326"/>
      <c r="E714" s="326"/>
      <c r="F714" s="326"/>
      <c r="G714" s="326"/>
      <c r="H714" s="326"/>
      <c r="I714" s="326"/>
      <c r="J714" s="326"/>
      <c r="K714" s="326"/>
      <c r="L714" s="326"/>
      <c r="M714" s="326"/>
      <c r="N714" s="326"/>
      <c r="O714" s="326"/>
      <c r="P714" s="326"/>
      <c r="Q714" s="326"/>
      <c r="R714" s="326"/>
      <c r="S714" s="326"/>
      <c r="T714" s="326"/>
      <c r="U714" s="326"/>
      <c r="V714" s="326"/>
      <c r="W714" s="326"/>
      <c r="X714" s="326"/>
      <c r="Y714" s="326"/>
    </row>
    <row r="715">
      <c r="A715" s="326"/>
      <c r="B715" s="326"/>
      <c r="C715" s="326"/>
      <c r="D715" s="326"/>
      <c r="E715" s="326"/>
      <c r="F715" s="326"/>
      <c r="G715" s="326"/>
      <c r="H715" s="326"/>
      <c r="I715" s="326"/>
      <c r="J715" s="326"/>
      <c r="K715" s="326"/>
      <c r="L715" s="326"/>
      <c r="M715" s="326"/>
      <c r="N715" s="326"/>
      <c r="O715" s="326"/>
      <c r="P715" s="326"/>
      <c r="Q715" s="326"/>
      <c r="R715" s="326"/>
      <c r="S715" s="326"/>
      <c r="T715" s="326"/>
      <c r="U715" s="326"/>
      <c r="V715" s="326"/>
      <c r="W715" s="326"/>
      <c r="X715" s="326"/>
      <c r="Y715" s="326"/>
    </row>
    <row r="716">
      <c r="A716" s="326"/>
      <c r="B716" s="326"/>
      <c r="C716" s="326"/>
      <c r="D716" s="326"/>
      <c r="E716" s="326"/>
      <c r="F716" s="326"/>
      <c r="G716" s="326"/>
      <c r="H716" s="326"/>
      <c r="I716" s="326"/>
      <c r="J716" s="326"/>
      <c r="K716" s="326"/>
      <c r="L716" s="326"/>
      <c r="M716" s="326"/>
      <c r="N716" s="326"/>
      <c r="O716" s="326"/>
      <c r="P716" s="326"/>
      <c r="Q716" s="326"/>
      <c r="R716" s="326"/>
      <c r="S716" s="326"/>
      <c r="T716" s="326"/>
      <c r="U716" s="326"/>
      <c r="V716" s="326"/>
      <c r="W716" s="326"/>
      <c r="X716" s="326"/>
      <c r="Y716" s="326"/>
    </row>
    <row r="717">
      <c r="A717" s="326"/>
      <c r="B717" s="326"/>
      <c r="C717" s="326"/>
      <c r="D717" s="326"/>
      <c r="E717" s="326"/>
      <c r="F717" s="326"/>
      <c r="G717" s="326"/>
      <c r="H717" s="326"/>
      <c r="I717" s="326"/>
      <c r="J717" s="326"/>
      <c r="K717" s="326"/>
      <c r="L717" s="326"/>
      <c r="M717" s="326"/>
      <c r="N717" s="326"/>
      <c r="O717" s="326"/>
      <c r="P717" s="326"/>
      <c r="Q717" s="326"/>
      <c r="R717" s="326"/>
      <c r="S717" s="326"/>
      <c r="T717" s="326"/>
      <c r="U717" s="326"/>
      <c r="V717" s="326"/>
      <c r="W717" s="326"/>
      <c r="X717" s="326"/>
      <c r="Y717" s="326"/>
    </row>
    <row r="718">
      <c r="A718" s="326"/>
      <c r="B718" s="326"/>
      <c r="C718" s="326"/>
      <c r="D718" s="326"/>
      <c r="E718" s="326"/>
      <c r="F718" s="326"/>
      <c r="G718" s="326"/>
      <c r="H718" s="326"/>
      <c r="I718" s="326"/>
      <c r="J718" s="326"/>
      <c r="K718" s="326"/>
      <c r="L718" s="326"/>
      <c r="M718" s="326"/>
      <c r="N718" s="326"/>
      <c r="O718" s="326"/>
      <c r="P718" s="326"/>
      <c r="Q718" s="326"/>
      <c r="R718" s="326"/>
      <c r="S718" s="326"/>
      <c r="T718" s="326"/>
      <c r="U718" s="326"/>
      <c r="V718" s="326"/>
      <c r="W718" s="326"/>
      <c r="X718" s="326"/>
      <c r="Y718" s="326"/>
    </row>
    <row r="719">
      <c r="A719" s="326"/>
      <c r="B719" s="326"/>
      <c r="C719" s="326"/>
      <c r="D719" s="326"/>
      <c r="E719" s="326"/>
      <c r="F719" s="326"/>
      <c r="G719" s="326"/>
      <c r="H719" s="326"/>
      <c r="I719" s="326"/>
      <c r="J719" s="326"/>
      <c r="K719" s="326"/>
      <c r="L719" s="326"/>
      <c r="M719" s="326"/>
      <c r="N719" s="326"/>
      <c r="O719" s="326"/>
      <c r="P719" s="326"/>
      <c r="Q719" s="326"/>
      <c r="R719" s="326"/>
      <c r="S719" s="326"/>
      <c r="T719" s="326"/>
      <c r="U719" s="326"/>
      <c r="V719" s="326"/>
      <c r="W719" s="326"/>
      <c r="X719" s="326"/>
      <c r="Y719" s="326"/>
    </row>
    <row r="720">
      <c r="A720" s="326"/>
      <c r="B720" s="326"/>
      <c r="C720" s="326"/>
      <c r="D720" s="326"/>
      <c r="E720" s="326"/>
      <c r="F720" s="326"/>
      <c r="G720" s="326"/>
      <c r="H720" s="326"/>
      <c r="I720" s="326"/>
      <c r="J720" s="326"/>
      <c r="K720" s="326"/>
      <c r="L720" s="326"/>
      <c r="M720" s="326"/>
      <c r="N720" s="326"/>
      <c r="O720" s="326"/>
      <c r="P720" s="326"/>
      <c r="Q720" s="326"/>
      <c r="R720" s="326"/>
      <c r="S720" s="326"/>
      <c r="T720" s="326"/>
      <c r="U720" s="326"/>
      <c r="V720" s="326"/>
      <c r="W720" s="326"/>
      <c r="X720" s="326"/>
      <c r="Y720" s="326"/>
    </row>
    <row r="721">
      <c r="A721" s="326"/>
      <c r="B721" s="326"/>
      <c r="C721" s="326"/>
      <c r="D721" s="326"/>
      <c r="E721" s="326"/>
      <c r="F721" s="326"/>
      <c r="G721" s="326"/>
      <c r="H721" s="326"/>
      <c r="I721" s="326"/>
      <c r="J721" s="326"/>
      <c r="K721" s="326"/>
      <c r="L721" s="326"/>
      <c r="M721" s="326"/>
      <c r="N721" s="326"/>
      <c r="O721" s="326"/>
      <c r="P721" s="326"/>
      <c r="Q721" s="326"/>
      <c r="R721" s="326"/>
      <c r="S721" s="326"/>
      <c r="T721" s="326"/>
      <c r="U721" s="326"/>
      <c r="V721" s="326"/>
      <c r="W721" s="326"/>
      <c r="X721" s="326"/>
      <c r="Y721" s="326"/>
    </row>
    <row r="722">
      <c r="A722" s="326"/>
      <c r="B722" s="326"/>
      <c r="C722" s="326"/>
      <c r="D722" s="326"/>
      <c r="E722" s="326"/>
      <c r="F722" s="326"/>
      <c r="G722" s="326"/>
      <c r="H722" s="326"/>
      <c r="I722" s="326"/>
      <c r="J722" s="326"/>
      <c r="K722" s="326"/>
      <c r="L722" s="326"/>
      <c r="M722" s="326"/>
      <c r="N722" s="326"/>
      <c r="O722" s="326"/>
      <c r="P722" s="326"/>
      <c r="Q722" s="326"/>
      <c r="R722" s="326"/>
      <c r="S722" s="326"/>
      <c r="T722" s="326"/>
      <c r="U722" s="326"/>
      <c r="V722" s="326"/>
      <c r="W722" s="326"/>
      <c r="X722" s="326"/>
      <c r="Y722" s="326"/>
    </row>
    <row r="723">
      <c r="A723" s="326"/>
      <c r="B723" s="326"/>
      <c r="C723" s="326"/>
      <c r="D723" s="326"/>
      <c r="E723" s="326"/>
      <c r="F723" s="326"/>
      <c r="G723" s="326"/>
      <c r="H723" s="326"/>
      <c r="I723" s="326"/>
      <c r="J723" s="326"/>
      <c r="K723" s="326"/>
      <c r="L723" s="326"/>
      <c r="M723" s="326"/>
      <c r="N723" s="326"/>
      <c r="O723" s="326"/>
      <c r="P723" s="326"/>
      <c r="Q723" s="326"/>
      <c r="R723" s="326"/>
      <c r="S723" s="326"/>
      <c r="T723" s="326"/>
      <c r="U723" s="326"/>
      <c r="V723" s="326"/>
      <c r="W723" s="326"/>
      <c r="X723" s="326"/>
      <c r="Y723" s="326"/>
    </row>
    <row r="724">
      <c r="A724" s="326"/>
      <c r="B724" s="326"/>
      <c r="C724" s="326"/>
      <c r="D724" s="326"/>
      <c r="E724" s="326"/>
      <c r="F724" s="326"/>
      <c r="G724" s="326"/>
      <c r="H724" s="326"/>
      <c r="I724" s="326"/>
      <c r="J724" s="326"/>
      <c r="K724" s="326"/>
      <c r="L724" s="326"/>
      <c r="M724" s="326"/>
      <c r="N724" s="326"/>
      <c r="O724" s="326"/>
      <c r="P724" s="326"/>
      <c r="Q724" s="326"/>
      <c r="R724" s="326"/>
      <c r="S724" s="326"/>
      <c r="T724" s="326"/>
      <c r="U724" s="326"/>
      <c r="V724" s="326"/>
      <c r="W724" s="326"/>
      <c r="X724" s="326"/>
      <c r="Y724" s="326"/>
    </row>
    <row r="725">
      <c r="A725" s="326"/>
      <c r="B725" s="326"/>
      <c r="C725" s="326"/>
      <c r="D725" s="326"/>
      <c r="E725" s="326"/>
      <c r="F725" s="326"/>
      <c r="G725" s="326"/>
      <c r="H725" s="326"/>
      <c r="I725" s="326"/>
      <c r="J725" s="326"/>
      <c r="K725" s="326"/>
      <c r="L725" s="326"/>
      <c r="M725" s="326"/>
      <c r="N725" s="326"/>
      <c r="O725" s="326"/>
      <c r="P725" s="326"/>
      <c r="Q725" s="326"/>
      <c r="R725" s="326"/>
      <c r="S725" s="326"/>
      <c r="T725" s="326"/>
      <c r="U725" s="326"/>
      <c r="V725" s="326"/>
      <c r="W725" s="326"/>
      <c r="X725" s="326"/>
      <c r="Y725" s="326"/>
    </row>
    <row r="726">
      <c r="A726" s="326"/>
      <c r="B726" s="326"/>
      <c r="C726" s="326"/>
      <c r="D726" s="326"/>
      <c r="E726" s="326"/>
      <c r="F726" s="326"/>
      <c r="G726" s="326"/>
      <c r="H726" s="326"/>
      <c r="I726" s="326"/>
      <c r="J726" s="326"/>
      <c r="K726" s="326"/>
      <c r="L726" s="326"/>
      <c r="M726" s="326"/>
      <c r="N726" s="326"/>
      <c r="O726" s="326"/>
      <c r="P726" s="326"/>
      <c r="Q726" s="326"/>
      <c r="R726" s="326"/>
      <c r="S726" s="326"/>
      <c r="T726" s="326"/>
      <c r="U726" s="326"/>
      <c r="V726" s="326"/>
      <c r="W726" s="326"/>
      <c r="X726" s="326"/>
      <c r="Y726" s="326"/>
    </row>
    <row r="727">
      <c r="A727" s="326"/>
      <c r="B727" s="326"/>
      <c r="C727" s="326"/>
      <c r="D727" s="326"/>
      <c r="E727" s="326"/>
      <c r="F727" s="326"/>
      <c r="G727" s="326"/>
      <c r="H727" s="326"/>
      <c r="I727" s="326"/>
      <c r="J727" s="326"/>
      <c r="K727" s="326"/>
      <c r="L727" s="326"/>
      <c r="M727" s="326"/>
      <c r="N727" s="326"/>
      <c r="O727" s="326"/>
      <c r="P727" s="326"/>
      <c r="Q727" s="326"/>
      <c r="R727" s="326"/>
      <c r="S727" s="326"/>
      <c r="T727" s="326"/>
      <c r="U727" s="326"/>
      <c r="V727" s="326"/>
      <c r="W727" s="326"/>
      <c r="X727" s="326"/>
      <c r="Y727" s="326"/>
    </row>
    <row r="728">
      <c r="A728" s="326"/>
      <c r="B728" s="326"/>
      <c r="C728" s="326"/>
      <c r="D728" s="326"/>
      <c r="E728" s="326"/>
      <c r="F728" s="326"/>
      <c r="G728" s="326"/>
      <c r="H728" s="326"/>
      <c r="I728" s="326"/>
      <c r="J728" s="326"/>
      <c r="K728" s="326"/>
      <c r="L728" s="326"/>
      <c r="M728" s="326"/>
      <c r="N728" s="326"/>
      <c r="O728" s="326"/>
      <c r="P728" s="326"/>
      <c r="Q728" s="326"/>
      <c r="R728" s="326"/>
      <c r="S728" s="326"/>
      <c r="T728" s="326"/>
      <c r="U728" s="326"/>
      <c r="V728" s="326"/>
      <c r="W728" s="326"/>
      <c r="X728" s="326"/>
      <c r="Y728" s="326"/>
    </row>
    <row r="729">
      <c r="A729" s="326"/>
      <c r="B729" s="326"/>
      <c r="C729" s="326"/>
      <c r="D729" s="326"/>
      <c r="E729" s="326"/>
      <c r="F729" s="326"/>
      <c r="G729" s="326"/>
      <c r="H729" s="326"/>
      <c r="I729" s="326"/>
      <c r="J729" s="326"/>
      <c r="K729" s="326"/>
      <c r="L729" s="326"/>
      <c r="M729" s="326"/>
      <c r="N729" s="326"/>
      <c r="O729" s="326"/>
      <c r="P729" s="326"/>
      <c r="Q729" s="326"/>
      <c r="R729" s="326"/>
      <c r="S729" s="326"/>
      <c r="T729" s="326"/>
      <c r="U729" s="326"/>
      <c r="V729" s="326"/>
      <c r="W729" s="326"/>
      <c r="X729" s="326"/>
      <c r="Y729" s="326"/>
    </row>
    <row r="730">
      <c r="A730" s="326"/>
      <c r="B730" s="326"/>
      <c r="C730" s="326"/>
      <c r="D730" s="326"/>
      <c r="E730" s="326"/>
      <c r="F730" s="326"/>
      <c r="G730" s="326"/>
      <c r="H730" s="326"/>
      <c r="I730" s="326"/>
      <c r="J730" s="326"/>
      <c r="K730" s="326"/>
      <c r="L730" s="326"/>
      <c r="M730" s="326"/>
      <c r="N730" s="326"/>
      <c r="O730" s="326"/>
      <c r="P730" s="326"/>
      <c r="Q730" s="326"/>
      <c r="R730" s="326"/>
      <c r="S730" s="326"/>
      <c r="T730" s="326"/>
      <c r="U730" s="326"/>
      <c r="V730" s="326"/>
      <c r="W730" s="326"/>
      <c r="X730" s="326"/>
      <c r="Y730" s="326"/>
    </row>
    <row r="731">
      <c r="A731" s="326"/>
      <c r="B731" s="326"/>
      <c r="C731" s="326"/>
      <c r="D731" s="326"/>
      <c r="E731" s="326"/>
      <c r="F731" s="326"/>
      <c r="G731" s="326"/>
      <c r="H731" s="326"/>
      <c r="I731" s="326"/>
      <c r="J731" s="326"/>
      <c r="K731" s="326"/>
      <c r="L731" s="326"/>
      <c r="M731" s="326"/>
      <c r="N731" s="326"/>
      <c r="O731" s="326"/>
      <c r="P731" s="326"/>
      <c r="Q731" s="326"/>
      <c r="R731" s="326"/>
      <c r="S731" s="326"/>
      <c r="T731" s="326"/>
      <c r="U731" s="326"/>
      <c r="V731" s="326"/>
      <c r="W731" s="326"/>
      <c r="X731" s="326"/>
      <c r="Y731" s="326"/>
    </row>
    <row r="732">
      <c r="A732" s="326"/>
      <c r="B732" s="326"/>
      <c r="C732" s="326"/>
      <c r="D732" s="326"/>
      <c r="E732" s="326"/>
      <c r="F732" s="326"/>
      <c r="G732" s="326"/>
      <c r="H732" s="326"/>
      <c r="I732" s="326"/>
      <c r="J732" s="326"/>
      <c r="K732" s="326"/>
      <c r="L732" s="326"/>
      <c r="M732" s="326"/>
      <c r="N732" s="326"/>
      <c r="O732" s="326"/>
      <c r="P732" s="326"/>
      <c r="Q732" s="326"/>
      <c r="R732" s="326"/>
      <c r="S732" s="326"/>
      <c r="T732" s="326"/>
      <c r="U732" s="326"/>
      <c r="V732" s="326"/>
      <c r="W732" s="326"/>
      <c r="X732" s="326"/>
      <c r="Y732" s="326"/>
    </row>
    <row r="733">
      <c r="A733" s="326"/>
      <c r="B733" s="326"/>
      <c r="C733" s="326"/>
      <c r="D733" s="326"/>
      <c r="E733" s="326"/>
      <c r="F733" s="326"/>
      <c r="G733" s="326"/>
      <c r="H733" s="326"/>
      <c r="I733" s="326"/>
      <c r="J733" s="326"/>
      <c r="K733" s="326"/>
      <c r="L733" s="326"/>
      <c r="M733" s="326"/>
      <c r="N733" s="326"/>
      <c r="O733" s="326"/>
      <c r="P733" s="326"/>
      <c r="Q733" s="326"/>
      <c r="R733" s="326"/>
      <c r="S733" s="326"/>
      <c r="T733" s="326"/>
      <c r="U733" s="326"/>
      <c r="V733" s="326"/>
      <c r="W733" s="326"/>
      <c r="X733" s="326"/>
      <c r="Y733" s="326"/>
    </row>
    <row r="734">
      <c r="A734" s="326"/>
      <c r="B734" s="326"/>
      <c r="C734" s="326"/>
      <c r="D734" s="326"/>
      <c r="E734" s="326"/>
      <c r="F734" s="326"/>
      <c r="G734" s="326"/>
      <c r="H734" s="326"/>
      <c r="I734" s="326"/>
      <c r="J734" s="326"/>
      <c r="K734" s="326"/>
      <c r="L734" s="326"/>
      <c r="M734" s="326"/>
      <c r="N734" s="326"/>
      <c r="O734" s="326"/>
      <c r="P734" s="326"/>
      <c r="Q734" s="326"/>
      <c r="R734" s="326"/>
      <c r="S734" s="326"/>
      <c r="T734" s="326"/>
      <c r="U734" s="326"/>
      <c r="V734" s="326"/>
      <c r="W734" s="326"/>
      <c r="X734" s="326"/>
      <c r="Y734" s="326"/>
    </row>
    <row r="735">
      <c r="A735" s="326"/>
      <c r="B735" s="326"/>
      <c r="C735" s="326"/>
      <c r="D735" s="326"/>
      <c r="E735" s="326"/>
      <c r="F735" s="326"/>
      <c r="G735" s="326"/>
      <c r="H735" s="326"/>
      <c r="I735" s="326"/>
      <c r="J735" s="326"/>
      <c r="K735" s="326"/>
      <c r="L735" s="326"/>
      <c r="M735" s="326"/>
      <c r="N735" s="326"/>
      <c r="O735" s="326"/>
      <c r="P735" s="326"/>
      <c r="Q735" s="326"/>
      <c r="R735" s="326"/>
      <c r="S735" s="326"/>
      <c r="T735" s="326"/>
      <c r="U735" s="326"/>
      <c r="V735" s="326"/>
      <c r="W735" s="326"/>
      <c r="X735" s="326"/>
      <c r="Y735" s="326"/>
    </row>
    <row r="736">
      <c r="A736" s="326"/>
      <c r="B736" s="326"/>
      <c r="C736" s="326"/>
      <c r="D736" s="326"/>
      <c r="E736" s="326"/>
      <c r="F736" s="326"/>
      <c r="G736" s="326"/>
      <c r="H736" s="326"/>
      <c r="I736" s="326"/>
      <c r="J736" s="326"/>
      <c r="K736" s="326"/>
      <c r="L736" s="326"/>
      <c r="M736" s="326"/>
      <c r="N736" s="326"/>
      <c r="O736" s="326"/>
      <c r="P736" s="326"/>
      <c r="Q736" s="326"/>
      <c r="R736" s="326"/>
      <c r="S736" s="326"/>
      <c r="T736" s="326"/>
      <c r="U736" s="326"/>
      <c r="V736" s="326"/>
      <c r="W736" s="326"/>
      <c r="X736" s="326"/>
      <c r="Y736" s="326"/>
    </row>
    <row r="737">
      <c r="A737" s="326"/>
      <c r="B737" s="326"/>
      <c r="C737" s="326"/>
      <c r="D737" s="326"/>
      <c r="E737" s="326"/>
      <c r="F737" s="326"/>
      <c r="G737" s="326"/>
      <c r="H737" s="326"/>
      <c r="I737" s="326"/>
      <c r="J737" s="326"/>
      <c r="K737" s="326"/>
      <c r="L737" s="326"/>
      <c r="M737" s="326"/>
      <c r="N737" s="326"/>
      <c r="O737" s="326"/>
      <c r="P737" s="326"/>
      <c r="Q737" s="326"/>
      <c r="R737" s="326"/>
      <c r="S737" s="326"/>
      <c r="T737" s="326"/>
      <c r="U737" s="326"/>
      <c r="V737" s="326"/>
      <c r="W737" s="326"/>
      <c r="X737" s="326"/>
      <c r="Y737" s="326"/>
    </row>
    <row r="738">
      <c r="A738" s="326"/>
      <c r="B738" s="326"/>
      <c r="C738" s="326"/>
      <c r="D738" s="326"/>
      <c r="E738" s="326"/>
      <c r="F738" s="326"/>
      <c r="G738" s="326"/>
      <c r="H738" s="326"/>
      <c r="I738" s="326"/>
      <c r="J738" s="326"/>
      <c r="K738" s="326"/>
      <c r="L738" s="326"/>
      <c r="M738" s="326"/>
      <c r="N738" s="326"/>
      <c r="O738" s="326"/>
      <c r="P738" s="326"/>
      <c r="Q738" s="326"/>
      <c r="R738" s="326"/>
      <c r="S738" s="326"/>
      <c r="T738" s="326"/>
      <c r="U738" s="326"/>
      <c r="V738" s="326"/>
      <c r="W738" s="326"/>
      <c r="X738" s="326"/>
      <c r="Y738" s="326"/>
    </row>
    <row r="739">
      <c r="A739" s="326"/>
      <c r="B739" s="326"/>
      <c r="C739" s="326"/>
      <c r="D739" s="326"/>
      <c r="E739" s="326"/>
      <c r="F739" s="326"/>
      <c r="G739" s="326"/>
      <c r="H739" s="326"/>
      <c r="I739" s="326"/>
      <c r="J739" s="326"/>
      <c r="K739" s="326"/>
      <c r="L739" s="326"/>
      <c r="M739" s="326"/>
      <c r="N739" s="326"/>
      <c r="O739" s="326"/>
      <c r="P739" s="326"/>
      <c r="Q739" s="326"/>
      <c r="R739" s="326"/>
      <c r="S739" s="326"/>
      <c r="T739" s="326"/>
      <c r="U739" s="326"/>
      <c r="V739" s="326"/>
      <c r="W739" s="326"/>
      <c r="X739" s="326"/>
      <c r="Y739" s="326"/>
    </row>
    <row r="740">
      <c r="A740" s="326"/>
      <c r="B740" s="326"/>
      <c r="C740" s="326"/>
      <c r="D740" s="326"/>
      <c r="E740" s="326"/>
      <c r="F740" s="326"/>
      <c r="G740" s="326"/>
      <c r="H740" s="326"/>
      <c r="I740" s="326"/>
      <c r="J740" s="326"/>
      <c r="K740" s="326"/>
      <c r="L740" s="326"/>
      <c r="M740" s="326"/>
      <c r="N740" s="326"/>
      <c r="O740" s="326"/>
      <c r="P740" s="326"/>
      <c r="Q740" s="326"/>
      <c r="R740" s="326"/>
      <c r="S740" s="326"/>
      <c r="T740" s="326"/>
      <c r="U740" s="326"/>
      <c r="V740" s="326"/>
      <c r="W740" s="326"/>
      <c r="X740" s="326"/>
      <c r="Y740" s="326"/>
    </row>
    <row r="741">
      <c r="A741" s="326"/>
      <c r="B741" s="326"/>
      <c r="C741" s="326"/>
      <c r="D741" s="326"/>
      <c r="E741" s="326"/>
      <c r="F741" s="326"/>
      <c r="G741" s="326"/>
      <c r="H741" s="326"/>
      <c r="I741" s="326"/>
      <c r="J741" s="326"/>
      <c r="K741" s="326"/>
      <c r="L741" s="326"/>
      <c r="M741" s="326"/>
      <c r="N741" s="326"/>
      <c r="O741" s="326"/>
      <c r="P741" s="326"/>
      <c r="Q741" s="326"/>
      <c r="R741" s="326"/>
      <c r="S741" s="326"/>
      <c r="T741" s="326"/>
      <c r="U741" s="326"/>
      <c r="V741" s="326"/>
      <c r="W741" s="326"/>
      <c r="X741" s="326"/>
      <c r="Y741" s="326"/>
    </row>
    <row r="742">
      <c r="A742" s="326"/>
      <c r="B742" s="326"/>
      <c r="C742" s="326"/>
      <c r="D742" s="326"/>
      <c r="E742" s="326"/>
      <c r="F742" s="326"/>
      <c r="G742" s="326"/>
      <c r="H742" s="326"/>
      <c r="I742" s="326"/>
      <c r="J742" s="326"/>
      <c r="K742" s="326"/>
      <c r="L742" s="326"/>
      <c r="M742" s="326"/>
      <c r="N742" s="326"/>
      <c r="O742" s="326"/>
      <c r="P742" s="326"/>
      <c r="Q742" s="326"/>
      <c r="R742" s="326"/>
      <c r="S742" s="326"/>
      <c r="T742" s="326"/>
      <c r="U742" s="326"/>
      <c r="V742" s="326"/>
      <c r="W742" s="326"/>
      <c r="X742" s="326"/>
      <c r="Y742" s="326"/>
    </row>
    <row r="743">
      <c r="A743" s="326"/>
      <c r="B743" s="326"/>
      <c r="C743" s="326"/>
      <c r="D743" s="326"/>
      <c r="E743" s="326"/>
      <c r="F743" s="326"/>
      <c r="G743" s="326"/>
      <c r="H743" s="326"/>
      <c r="I743" s="326"/>
      <c r="J743" s="326"/>
      <c r="K743" s="326"/>
      <c r="L743" s="326"/>
      <c r="M743" s="326"/>
      <c r="N743" s="326"/>
      <c r="O743" s="326"/>
      <c r="P743" s="326"/>
      <c r="Q743" s="326"/>
      <c r="R743" s="326"/>
      <c r="S743" s="326"/>
      <c r="T743" s="326"/>
      <c r="U743" s="326"/>
      <c r="V743" s="326"/>
      <c r="W743" s="326"/>
      <c r="X743" s="326"/>
      <c r="Y743" s="326"/>
    </row>
    <row r="744">
      <c r="A744" s="326"/>
      <c r="B744" s="326"/>
      <c r="C744" s="326"/>
      <c r="D744" s="326"/>
      <c r="E744" s="326"/>
      <c r="F744" s="326"/>
      <c r="G744" s="326"/>
      <c r="H744" s="326"/>
      <c r="I744" s="326"/>
      <c r="J744" s="326"/>
      <c r="K744" s="326"/>
      <c r="L744" s="326"/>
      <c r="M744" s="326"/>
      <c r="N744" s="326"/>
      <c r="O744" s="326"/>
      <c r="P744" s="326"/>
      <c r="Q744" s="326"/>
      <c r="R744" s="326"/>
      <c r="S744" s="326"/>
      <c r="T744" s="326"/>
      <c r="U744" s="326"/>
      <c r="V744" s="326"/>
      <c r="W744" s="326"/>
      <c r="X744" s="326"/>
      <c r="Y744" s="326"/>
    </row>
    <row r="745">
      <c r="A745" s="326"/>
      <c r="B745" s="326"/>
      <c r="C745" s="326"/>
      <c r="D745" s="326"/>
      <c r="E745" s="326"/>
      <c r="F745" s="326"/>
      <c r="G745" s="326"/>
      <c r="H745" s="326"/>
      <c r="I745" s="326"/>
      <c r="J745" s="326"/>
      <c r="K745" s="326"/>
      <c r="L745" s="326"/>
      <c r="M745" s="326"/>
      <c r="N745" s="326"/>
      <c r="O745" s="326"/>
      <c r="P745" s="326"/>
      <c r="Q745" s="326"/>
      <c r="R745" s="326"/>
      <c r="S745" s="326"/>
      <c r="T745" s="326"/>
      <c r="U745" s="326"/>
      <c r="V745" s="326"/>
      <c r="W745" s="326"/>
      <c r="X745" s="326"/>
      <c r="Y745" s="326"/>
    </row>
    <row r="746">
      <c r="A746" s="326"/>
      <c r="B746" s="326"/>
      <c r="C746" s="326"/>
      <c r="D746" s="326"/>
      <c r="E746" s="326"/>
      <c r="F746" s="326"/>
      <c r="G746" s="326"/>
      <c r="H746" s="326"/>
      <c r="I746" s="326"/>
      <c r="J746" s="326"/>
      <c r="K746" s="326"/>
      <c r="L746" s="326"/>
      <c r="M746" s="326"/>
      <c r="N746" s="326"/>
      <c r="O746" s="326"/>
      <c r="P746" s="326"/>
      <c r="Q746" s="326"/>
      <c r="R746" s="326"/>
      <c r="S746" s="326"/>
      <c r="T746" s="326"/>
      <c r="U746" s="326"/>
      <c r="V746" s="326"/>
      <c r="W746" s="326"/>
      <c r="X746" s="326"/>
      <c r="Y746" s="326"/>
    </row>
    <row r="747">
      <c r="A747" s="326"/>
      <c r="B747" s="326"/>
      <c r="C747" s="326"/>
      <c r="D747" s="326"/>
      <c r="E747" s="326"/>
      <c r="F747" s="326"/>
      <c r="G747" s="326"/>
      <c r="H747" s="326"/>
      <c r="I747" s="326"/>
      <c r="J747" s="326"/>
      <c r="K747" s="326"/>
      <c r="L747" s="326"/>
      <c r="M747" s="326"/>
      <c r="N747" s="326"/>
      <c r="O747" s="326"/>
      <c r="P747" s="326"/>
      <c r="Q747" s="326"/>
      <c r="R747" s="326"/>
      <c r="S747" s="326"/>
      <c r="T747" s="326"/>
      <c r="U747" s="326"/>
      <c r="V747" s="326"/>
      <c r="W747" s="326"/>
      <c r="X747" s="326"/>
      <c r="Y747" s="326"/>
    </row>
    <row r="748">
      <c r="A748" s="326"/>
      <c r="B748" s="326"/>
      <c r="C748" s="326"/>
      <c r="D748" s="326"/>
      <c r="E748" s="326"/>
      <c r="F748" s="326"/>
      <c r="G748" s="326"/>
      <c r="H748" s="326"/>
      <c r="I748" s="326"/>
      <c r="J748" s="326"/>
      <c r="K748" s="326"/>
      <c r="L748" s="326"/>
      <c r="M748" s="326"/>
      <c r="N748" s="326"/>
      <c r="O748" s="326"/>
      <c r="P748" s="326"/>
      <c r="Q748" s="326"/>
      <c r="R748" s="326"/>
      <c r="S748" s="326"/>
      <c r="T748" s="326"/>
      <c r="U748" s="326"/>
      <c r="V748" s="326"/>
      <c r="W748" s="326"/>
      <c r="X748" s="326"/>
      <c r="Y748" s="326"/>
    </row>
    <row r="749">
      <c r="A749" s="326"/>
      <c r="B749" s="326"/>
      <c r="C749" s="326"/>
      <c r="D749" s="326"/>
      <c r="E749" s="326"/>
      <c r="F749" s="326"/>
      <c r="G749" s="326"/>
      <c r="H749" s="326"/>
      <c r="I749" s="326"/>
      <c r="J749" s="326"/>
      <c r="K749" s="326"/>
      <c r="L749" s="326"/>
      <c r="M749" s="326"/>
      <c r="N749" s="326"/>
      <c r="O749" s="326"/>
      <c r="P749" s="326"/>
      <c r="Q749" s="326"/>
      <c r="R749" s="326"/>
      <c r="S749" s="326"/>
      <c r="T749" s="326"/>
      <c r="U749" s="326"/>
      <c r="V749" s="326"/>
      <c r="W749" s="326"/>
      <c r="X749" s="326"/>
      <c r="Y749" s="326"/>
    </row>
    <row r="750">
      <c r="A750" s="326"/>
      <c r="B750" s="326"/>
      <c r="C750" s="326"/>
      <c r="D750" s="326"/>
      <c r="E750" s="326"/>
      <c r="F750" s="326"/>
      <c r="G750" s="326"/>
      <c r="H750" s="326"/>
      <c r="I750" s="326"/>
      <c r="J750" s="326"/>
      <c r="K750" s="326"/>
      <c r="L750" s="326"/>
      <c r="M750" s="326"/>
      <c r="N750" s="326"/>
      <c r="O750" s="326"/>
      <c r="P750" s="326"/>
      <c r="Q750" s="326"/>
      <c r="R750" s="326"/>
      <c r="S750" s="326"/>
      <c r="T750" s="326"/>
      <c r="U750" s="326"/>
      <c r="V750" s="326"/>
      <c r="W750" s="326"/>
      <c r="X750" s="326"/>
      <c r="Y750" s="326"/>
    </row>
    <row r="751">
      <c r="A751" s="326"/>
      <c r="B751" s="326"/>
      <c r="C751" s="326"/>
      <c r="D751" s="326"/>
      <c r="E751" s="326"/>
      <c r="F751" s="326"/>
      <c r="G751" s="326"/>
      <c r="H751" s="326"/>
      <c r="I751" s="326"/>
      <c r="J751" s="326"/>
      <c r="K751" s="326"/>
      <c r="L751" s="326"/>
      <c r="M751" s="326"/>
      <c r="N751" s="326"/>
      <c r="O751" s="326"/>
      <c r="P751" s="326"/>
      <c r="Q751" s="326"/>
      <c r="R751" s="326"/>
      <c r="S751" s="326"/>
      <c r="T751" s="326"/>
      <c r="U751" s="326"/>
      <c r="V751" s="326"/>
      <c r="W751" s="326"/>
      <c r="X751" s="326"/>
      <c r="Y751" s="326"/>
    </row>
    <row r="752">
      <c r="A752" s="326"/>
      <c r="B752" s="326"/>
      <c r="C752" s="326"/>
      <c r="D752" s="326"/>
      <c r="E752" s="326"/>
      <c r="F752" s="326"/>
      <c r="G752" s="326"/>
      <c r="H752" s="326"/>
      <c r="I752" s="326"/>
      <c r="J752" s="326"/>
      <c r="K752" s="326"/>
      <c r="L752" s="326"/>
      <c r="M752" s="326"/>
      <c r="N752" s="326"/>
      <c r="O752" s="326"/>
      <c r="P752" s="326"/>
      <c r="Q752" s="326"/>
      <c r="R752" s="326"/>
      <c r="S752" s="326"/>
      <c r="T752" s="326"/>
      <c r="U752" s="326"/>
      <c r="V752" s="326"/>
      <c r="W752" s="326"/>
      <c r="X752" s="326"/>
      <c r="Y752" s="326"/>
    </row>
    <row r="753">
      <c r="A753" s="326"/>
      <c r="B753" s="326"/>
      <c r="C753" s="326"/>
      <c r="D753" s="326"/>
      <c r="E753" s="326"/>
      <c r="F753" s="326"/>
      <c r="G753" s="326"/>
      <c r="H753" s="326"/>
      <c r="I753" s="326"/>
      <c r="J753" s="326"/>
      <c r="K753" s="326"/>
      <c r="L753" s="326"/>
      <c r="M753" s="326"/>
      <c r="N753" s="326"/>
      <c r="O753" s="326"/>
      <c r="P753" s="326"/>
      <c r="Q753" s="326"/>
      <c r="R753" s="326"/>
      <c r="S753" s="326"/>
      <c r="T753" s="326"/>
      <c r="U753" s="326"/>
      <c r="V753" s="326"/>
      <c r="W753" s="326"/>
      <c r="X753" s="326"/>
      <c r="Y753" s="326"/>
    </row>
    <row r="754">
      <c r="A754" s="326"/>
      <c r="B754" s="326"/>
      <c r="C754" s="326"/>
      <c r="D754" s="326"/>
      <c r="E754" s="326"/>
      <c r="F754" s="326"/>
      <c r="G754" s="326"/>
      <c r="H754" s="326"/>
      <c r="I754" s="326"/>
      <c r="J754" s="326"/>
      <c r="K754" s="326"/>
      <c r="L754" s="326"/>
      <c r="M754" s="326"/>
      <c r="N754" s="326"/>
      <c r="O754" s="326"/>
      <c r="P754" s="326"/>
      <c r="Q754" s="326"/>
      <c r="R754" s="326"/>
      <c r="S754" s="326"/>
      <c r="T754" s="326"/>
      <c r="U754" s="326"/>
      <c r="V754" s="326"/>
      <c r="W754" s="326"/>
      <c r="X754" s="326"/>
      <c r="Y754" s="326"/>
    </row>
    <row r="755">
      <c r="A755" s="326"/>
      <c r="B755" s="326"/>
      <c r="C755" s="326"/>
      <c r="D755" s="326"/>
      <c r="E755" s="326"/>
      <c r="F755" s="326"/>
      <c r="G755" s="326"/>
      <c r="H755" s="326"/>
      <c r="I755" s="326"/>
      <c r="J755" s="326"/>
      <c r="K755" s="326"/>
      <c r="L755" s="326"/>
      <c r="M755" s="326"/>
      <c r="N755" s="326"/>
      <c r="O755" s="326"/>
      <c r="P755" s="326"/>
      <c r="Q755" s="326"/>
      <c r="R755" s="326"/>
      <c r="S755" s="326"/>
      <c r="T755" s="326"/>
      <c r="U755" s="326"/>
      <c r="V755" s="326"/>
      <c r="W755" s="326"/>
      <c r="X755" s="326"/>
      <c r="Y755" s="326"/>
    </row>
    <row r="756">
      <c r="A756" s="326"/>
      <c r="B756" s="326"/>
      <c r="C756" s="326"/>
      <c r="D756" s="326"/>
      <c r="E756" s="326"/>
      <c r="F756" s="326"/>
      <c r="G756" s="326"/>
      <c r="H756" s="326"/>
      <c r="I756" s="326"/>
      <c r="J756" s="326"/>
      <c r="K756" s="326"/>
      <c r="L756" s="326"/>
      <c r="M756" s="326"/>
      <c r="N756" s="326"/>
      <c r="O756" s="326"/>
      <c r="P756" s="326"/>
      <c r="Q756" s="326"/>
      <c r="R756" s="326"/>
      <c r="S756" s="326"/>
      <c r="T756" s="326"/>
      <c r="U756" s="326"/>
      <c r="V756" s="326"/>
      <c r="W756" s="326"/>
      <c r="X756" s="326"/>
      <c r="Y756" s="326"/>
    </row>
    <row r="757">
      <c r="A757" s="326"/>
      <c r="B757" s="326"/>
      <c r="C757" s="326"/>
      <c r="D757" s="326"/>
      <c r="E757" s="326"/>
      <c r="F757" s="326"/>
      <c r="G757" s="326"/>
      <c r="H757" s="326"/>
      <c r="I757" s="326"/>
      <c r="J757" s="326"/>
      <c r="K757" s="326"/>
      <c r="L757" s="326"/>
      <c r="M757" s="326"/>
      <c r="N757" s="326"/>
      <c r="O757" s="326"/>
      <c r="P757" s="326"/>
      <c r="Q757" s="326"/>
      <c r="R757" s="326"/>
      <c r="S757" s="326"/>
      <c r="T757" s="326"/>
      <c r="U757" s="326"/>
      <c r="V757" s="326"/>
      <c r="W757" s="326"/>
      <c r="X757" s="326"/>
      <c r="Y757" s="326"/>
    </row>
    <row r="758">
      <c r="A758" s="326"/>
      <c r="B758" s="326"/>
      <c r="C758" s="326"/>
      <c r="D758" s="326"/>
      <c r="E758" s="326"/>
      <c r="F758" s="326"/>
      <c r="G758" s="326"/>
      <c r="H758" s="326"/>
      <c r="I758" s="326"/>
      <c r="J758" s="326"/>
      <c r="K758" s="326"/>
      <c r="L758" s="326"/>
      <c r="M758" s="326"/>
      <c r="N758" s="326"/>
      <c r="O758" s="326"/>
      <c r="P758" s="326"/>
      <c r="Q758" s="326"/>
      <c r="R758" s="326"/>
      <c r="S758" s="326"/>
      <c r="T758" s="326"/>
      <c r="U758" s="326"/>
      <c r="V758" s="326"/>
      <c r="W758" s="326"/>
      <c r="X758" s="326"/>
      <c r="Y758" s="326"/>
    </row>
    <row r="759">
      <c r="A759" s="326"/>
      <c r="B759" s="326"/>
      <c r="C759" s="326"/>
      <c r="D759" s="326"/>
      <c r="E759" s="326"/>
      <c r="F759" s="326"/>
      <c r="G759" s="326"/>
      <c r="H759" s="326"/>
      <c r="I759" s="326"/>
      <c r="J759" s="326"/>
      <c r="K759" s="326"/>
      <c r="L759" s="326"/>
      <c r="M759" s="326"/>
      <c r="N759" s="326"/>
      <c r="O759" s="326"/>
      <c r="P759" s="326"/>
      <c r="Q759" s="326"/>
      <c r="R759" s="326"/>
      <c r="S759" s="326"/>
      <c r="T759" s="326"/>
      <c r="U759" s="326"/>
      <c r="V759" s="326"/>
      <c r="W759" s="326"/>
      <c r="X759" s="326"/>
      <c r="Y759" s="326"/>
    </row>
    <row r="760">
      <c r="A760" s="326"/>
      <c r="B760" s="326"/>
      <c r="C760" s="326"/>
      <c r="D760" s="326"/>
      <c r="E760" s="326"/>
      <c r="F760" s="326"/>
      <c r="G760" s="326"/>
      <c r="H760" s="326"/>
      <c r="I760" s="326"/>
      <c r="J760" s="326"/>
      <c r="K760" s="326"/>
      <c r="L760" s="326"/>
      <c r="M760" s="326"/>
      <c r="N760" s="326"/>
      <c r="O760" s="326"/>
      <c r="P760" s="326"/>
      <c r="Q760" s="326"/>
      <c r="R760" s="326"/>
      <c r="S760" s="326"/>
      <c r="T760" s="326"/>
      <c r="U760" s="326"/>
      <c r="V760" s="326"/>
      <c r="W760" s="326"/>
      <c r="X760" s="326"/>
      <c r="Y760" s="326"/>
    </row>
    <row r="761">
      <c r="A761" s="326"/>
      <c r="B761" s="326"/>
      <c r="C761" s="326"/>
      <c r="D761" s="326"/>
      <c r="E761" s="326"/>
      <c r="F761" s="326"/>
      <c r="G761" s="326"/>
      <c r="H761" s="326"/>
      <c r="I761" s="326"/>
      <c r="J761" s="326"/>
      <c r="K761" s="326"/>
      <c r="L761" s="326"/>
      <c r="M761" s="326"/>
      <c r="N761" s="326"/>
      <c r="O761" s="326"/>
      <c r="P761" s="326"/>
      <c r="Q761" s="326"/>
      <c r="R761" s="326"/>
      <c r="S761" s="326"/>
      <c r="T761" s="326"/>
      <c r="U761" s="326"/>
      <c r="V761" s="326"/>
      <c r="W761" s="326"/>
      <c r="X761" s="326"/>
      <c r="Y761" s="326"/>
    </row>
    <row r="762">
      <c r="A762" s="326"/>
      <c r="B762" s="326"/>
      <c r="C762" s="326"/>
      <c r="D762" s="326"/>
      <c r="E762" s="326"/>
      <c r="F762" s="326"/>
      <c r="G762" s="326"/>
      <c r="H762" s="326"/>
      <c r="I762" s="326"/>
      <c r="J762" s="326"/>
      <c r="K762" s="326"/>
      <c r="L762" s="326"/>
      <c r="M762" s="326"/>
      <c r="N762" s="326"/>
      <c r="O762" s="326"/>
      <c r="P762" s="326"/>
      <c r="Q762" s="326"/>
      <c r="R762" s="326"/>
      <c r="S762" s="326"/>
      <c r="T762" s="326"/>
      <c r="U762" s="326"/>
      <c r="V762" s="326"/>
      <c r="W762" s="326"/>
      <c r="X762" s="326"/>
      <c r="Y762" s="326"/>
    </row>
    <row r="763">
      <c r="A763" s="326"/>
      <c r="B763" s="326"/>
      <c r="C763" s="326"/>
      <c r="D763" s="326"/>
      <c r="E763" s="326"/>
      <c r="F763" s="326"/>
      <c r="G763" s="326"/>
      <c r="H763" s="326"/>
      <c r="I763" s="326"/>
      <c r="J763" s="326"/>
      <c r="K763" s="326"/>
      <c r="L763" s="326"/>
      <c r="M763" s="326"/>
      <c r="N763" s="326"/>
      <c r="O763" s="326"/>
      <c r="P763" s="326"/>
      <c r="Q763" s="326"/>
      <c r="R763" s="326"/>
      <c r="S763" s="326"/>
      <c r="T763" s="326"/>
      <c r="U763" s="326"/>
      <c r="V763" s="326"/>
      <c r="W763" s="326"/>
      <c r="X763" s="326"/>
      <c r="Y763" s="326"/>
    </row>
    <row r="764">
      <c r="A764" s="326"/>
      <c r="B764" s="326"/>
      <c r="C764" s="326"/>
      <c r="D764" s="326"/>
      <c r="E764" s="326"/>
      <c r="F764" s="326"/>
      <c r="G764" s="326"/>
      <c r="H764" s="326"/>
      <c r="I764" s="326"/>
      <c r="J764" s="326"/>
      <c r="K764" s="326"/>
      <c r="L764" s="326"/>
      <c r="M764" s="326"/>
      <c r="N764" s="326"/>
      <c r="O764" s="326"/>
      <c r="P764" s="326"/>
      <c r="Q764" s="326"/>
      <c r="R764" s="326"/>
      <c r="S764" s="326"/>
      <c r="T764" s="326"/>
      <c r="U764" s="326"/>
      <c r="V764" s="326"/>
      <c r="W764" s="326"/>
      <c r="X764" s="326"/>
      <c r="Y764" s="326"/>
    </row>
    <row r="765">
      <c r="A765" s="326"/>
      <c r="B765" s="326"/>
      <c r="C765" s="326"/>
      <c r="D765" s="326"/>
      <c r="E765" s="326"/>
      <c r="F765" s="326"/>
      <c r="G765" s="326"/>
      <c r="H765" s="326"/>
      <c r="I765" s="326"/>
      <c r="J765" s="326"/>
      <c r="K765" s="326"/>
      <c r="L765" s="326"/>
      <c r="M765" s="326"/>
      <c r="N765" s="326"/>
      <c r="O765" s="326"/>
      <c r="P765" s="326"/>
      <c r="Q765" s="326"/>
      <c r="R765" s="326"/>
      <c r="S765" s="326"/>
      <c r="T765" s="326"/>
      <c r="U765" s="326"/>
      <c r="V765" s="326"/>
      <c r="W765" s="326"/>
      <c r="X765" s="326"/>
      <c r="Y765" s="326"/>
    </row>
    <row r="766">
      <c r="A766" s="326"/>
      <c r="B766" s="326"/>
      <c r="C766" s="326"/>
      <c r="D766" s="326"/>
      <c r="E766" s="326"/>
      <c r="F766" s="326"/>
      <c r="G766" s="326"/>
      <c r="H766" s="326"/>
      <c r="I766" s="326"/>
      <c r="J766" s="326"/>
      <c r="K766" s="326"/>
      <c r="L766" s="326"/>
      <c r="M766" s="326"/>
      <c r="N766" s="326"/>
      <c r="O766" s="326"/>
      <c r="P766" s="326"/>
      <c r="Q766" s="326"/>
      <c r="R766" s="326"/>
      <c r="S766" s="326"/>
      <c r="T766" s="326"/>
      <c r="U766" s="326"/>
      <c r="V766" s="326"/>
      <c r="W766" s="326"/>
      <c r="X766" s="326"/>
      <c r="Y766" s="326"/>
    </row>
    <row r="767">
      <c r="A767" s="326"/>
      <c r="B767" s="326"/>
      <c r="C767" s="326"/>
      <c r="D767" s="326"/>
      <c r="E767" s="326"/>
      <c r="F767" s="326"/>
      <c r="G767" s="326"/>
      <c r="H767" s="326"/>
      <c r="I767" s="326"/>
      <c r="J767" s="326"/>
      <c r="K767" s="326"/>
      <c r="L767" s="326"/>
      <c r="M767" s="326"/>
      <c r="N767" s="326"/>
      <c r="O767" s="326"/>
      <c r="P767" s="326"/>
      <c r="Q767" s="326"/>
      <c r="R767" s="326"/>
      <c r="S767" s="326"/>
      <c r="T767" s="326"/>
      <c r="U767" s="326"/>
      <c r="V767" s="326"/>
      <c r="W767" s="326"/>
      <c r="X767" s="326"/>
      <c r="Y767" s="326"/>
    </row>
    <row r="768">
      <c r="A768" s="326"/>
      <c r="B768" s="326"/>
      <c r="C768" s="326"/>
      <c r="D768" s="326"/>
      <c r="E768" s="326"/>
      <c r="F768" s="326"/>
      <c r="G768" s="326"/>
      <c r="H768" s="326"/>
      <c r="I768" s="326"/>
      <c r="J768" s="326"/>
      <c r="K768" s="326"/>
      <c r="L768" s="326"/>
      <c r="M768" s="326"/>
      <c r="N768" s="326"/>
      <c r="O768" s="326"/>
      <c r="P768" s="326"/>
      <c r="Q768" s="326"/>
      <c r="R768" s="326"/>
      <c r="S768" s="326"/>
      <c r="T768" s="326"/>
      <c r="U768" s="326"/>
      <c r="V768" s="326"/>
      <c r="W768" s="326"/>
      <c r="X768" s="326"/>
      <c r="Y768" s="326"/>
    </row>
    <row r="769">
      <c r="A769" s="326"/>
      <c r="B769" s="326"/>
      <c r="C769" s="326"/>
      <c r="D769" s="326"/>
      <c r="E769" s="326"/>
      <c r="F769" s="326"/>
      <c r="G769" s="326"/>
      <c r="H769" s="326"/>
      <c r="I769" s="326"/>
      <c r="J769" s="326"/>
      <c r="K769" s="326"/>
      <c r="L769" s="326"/>
      <c r="M769" s="326"/>
      <c r="N769" s="326"/>
      <c r="O769" s="326"/>
      <c r="P769" s="326"/>
      <c r="Q769" s="326"/>
      <c r="R769" s="326"/>
      <c r="S769" s="326"/>
      <c r="T769" s="326"/>
      <c r="U769" s="326"/>
      <c r="V769" s="326"/>
      <c r="W769" s="326"/>
      <c r="X769" s="326"/>
      <c r="Y769" s="326"/>
    </row>
    <row r="770">
      <c r="A770" s="326"/>
      <c r="B770" s="326"/>
      <c r="C770" s="326"/>
      <c r="D770" s="326"/>
      <c r="E770" s="326"/>
      <c r="F770" s="326"/>
      <c r="G770" s="326"/>
      <c r="H770" s="326"/>
      <c r="I770" s="326"/>
      <c r="J770" s="326"/>
      <c r="K770" s="326"/>
      <c r="L770" s="326"/>
      <c r="M770" s="326"/>
      <c r="N770" s="326"/>
      <c r="O770" s="326"/>
      <c r="P770" s="326"/>
      <c r="Q770" s="326"/>
      <c r="R770" s="326"/>
      <c r="S770" s="326"/>
      <c r="T770" s="326"/>
      <c r="U770" s="326"/>
      <c r="V770" s="326"/>
      <c r="W770" s="326"/>
      <c r="X770" s="326"/>
      <c r="Y770" s="326"/>
    </row>
    <row r="771">
      <c r="A771" s="326"/>
      <c r="B771" s="326"/>
      <c r="C771" s="326"/>
      <c r="D771" s="326"/>
      <c r="E771" s="326"/>
      <c r="F771" s="326"/>
      <c r="G771" s="326"/>
      <c r="H771" s="326"/>
      <c r="I771" s="326"/>
      <c r="J771" s="326"/>
      <c r="K771" s="326"/>
      <c r="L771" s="326"/>
      <c r="M771" s="326"/>
      <c r="N771" s="326"/>
      <c r="O771" s="326"/>
      <c r="P771" s="326"/>
      <c r="Q771" s="326"/>
      <c r="R771" s="326"/>
      <c r="S771" s="326"/>
      <c r="T771" s="326"/>
      <c r="U771" s="326"/>
      <c r="V771" s="326"/>
      <c r="W771" s="326"/>
      <c r="X771" s="326"/>
      <c r="Y771" s="326"/>
    </row>
    <row r="772">
      <c r="A772" s="326"/>
      <c r="B772" s="326"/>
      <c r="C772" s="326"/>
      <c r="D772" s="326"/>
      <c r="E772" s="326"/>
      <c r="F772" s="326"/>
      <c r="G772" s="326"/>
      <c r="H772" s="326"/>
      <c r="I772" s="326"/>
      <c r="J772" s="326"/>
      <c r="K772" s="326"/>
      <c r="L772" s="326"/>
      <c r="M772" s="326"/>
      <c r="N772" s="326"/>
      <c r="O772" s="326"/>
      <c r="P772" s="326"/>
      <c r="Q772" s="326"/>
      <c r="R772" s="326"/>
      <c r="S772" s="326"/>
      <c r="T772" s="326"/>
      <c r="U772" s="326"/>
      <c r="V772" s="326"/>
      <c r="W772" s="326"/>
      <c r="X772" s="326"/>
      <c r="Y772" s="326"/>
    </row>
    <row r="773">
      <c r="A773" s="326"/>
      <c r="B773" s="326"/>
      <c r="C773" s="326"/>
      <c r="D773" s="326"/>
      <c r="E773" s="326"/>
      <c r="F773" s="326"/>
      <c r="G773" s="326"/>
      <c r="H773" s="326"/>
      <c r="I773" s="326"/>
      <c r="J773" s="326"/>
      <c r="K773" s="326"/>
      <c r="L773" s="326"/>
      <c r="M773" s="326"/>
      <c r="N773" s="326"/>
      <c r="O773" s="326"/>
      <c r="P773" s="326"/>
      <c r="Q773" s="326"/>
      <c r="R773" s="326"/>
      <c r="S773" s="326"/>
      <c r="T773" s="326"/>
      <c r="U773" s="326"/>
      <c r="V773" s="326"/>
      <c r="W773" s="326"/>
      <c r="X773" s="326"/>
      <c r="Y773" s="326"/>
    </row>
    <row r="774">
      <c r="A774" s="326"/>
      <c r="B774" s="326"/>
      <c r="C774" s="326"/>
      <c r="D774" s="326"/>
      <c r="E774" s="326"/>
      <c r="F774" s="326"/>
      <c r="G774" s="326"/>
      <c r="H774" s="326"/>
      <c r="I774" s="326"/>
      <c r="J774" s="326"/>
      <c r="K774" s="326"/>
      <c r="L774" s="326"/>
      <c r="M774" s="326"/>
      <c r="N774" s="326"/>
      <c r="O774" s="326"/>
      <c r="P774" s="326"/>
      <c r="Q774" s="326"/>
      <c r="R774" s="326"/>
      <c r="S774" s="326"/>
      <c r="T774" s="326"/>
      <c r="U774" s="326"/>
      <c r="V774" s="326"/>
      <c r="W774" s="326"/>
      <c r="X774" s="326"/>
      <c r="Y774" s="326"/>
    </row>
    <row r="775">
      <c r="A775" s="326"/>
      <c r="B775" s="326"/>
      <c r="C775" s="326"/>
      <c r="D775" s="326"/>
      <c r="E775" s="326"/>
      <c r="F775" s="326"/>
      <c r="G775" s="326"/>
      <c r="H775" s="326"/>
      <c r="I775" s="326"/>
      <c r="J775" s="326"/>
      <c r="K775" s="326"/>
      <c r="L775" s="326"/>
      <c r="M775" s="326"/>
      <c r="N775" s="326"/>
      <c r="O775" s="326"/>
      <c r="P775" s="326"/>
      <c r="Q775" s="326"/>
      <c r="R775" s="326"/>
      <c r="S775" s="326"/>
      <c r="T775" s="326"/>
      <c r="U775" s="326"/>
      <c r="V775" s="326"/>
      <c r="W775" s="326"/>
      <c r="X775" s="326"/>
      <c r="Y775" s="326"/>
    </row>
    <row r="776">
      <c r="A776" s="326"/>
      <c r="B776" s="326"/>
      <c r="C776" s="326"/>
      <c r="D776" s="326"/>
      <c r="E776" s="326"/>
      <c r="F776" s="326"/>
      <c r="G776" s="326"/>
      <c r="H776" s="326"/>
      <c r="I776" s="326"/>
      <c r="J776" s="326"/>
      <c r="K776" s="326"/>
      <c r="L776" s="326"/>
      <c r="M776" s="326"/>
      <c r="N776" s="326"/>
      <c r="O776" s="326"/>
      <c r="P776" s="326"/>
      <c r="Q776" s="326"/>
      <c r="R776" s="326"/>
      <c r="S776" s="326"/>
      <c r="T776" s="326"/>
      <c r="U776" s="326"/>
      <c r="V776" s="326"/>
      <c r="W776" s="326"/>
      <c r="X776" s="326"/>
      <c r="Y776" s="326"/>
    </row>
    <row r="777">
      <c r="A777" s="326"/>
      <c r="B777" s="326"/>
      <c r="C777" s="326"/>
      <c r="D777" s="326"/>
      <c r="E777" s="326"/>
      <c r="F777" s="326"/>
      <c r="G777" s="326"/>
      <c r="H777" s="326"/>
      <c r="I777" s="326"/>
      <c r="J777" s="326"/>
      <c r="K777" s="326"/>
      <c r="L777" s="326"/>
      <c r="M777" s="326"/>
      <c r="N777" s="326"/>
      <c r="O777" s="326"/>
      <c r="P777" s="326"/>
      <c r="Q777" s="326"/>
      <c r="R777" s="326"/>
      <c r="S777" s="326"/>
      <c r="T777" s="326"/>
      <c r="U777" s="326"/>
      <c r="V777" s="326"/>
      <c r="W777" s="326"/>
      <c r="X777" s="326"/>
      <c r="Y777" s="326"/>
    </row>
    <row r="778">
      <c r="A778" s="326"/>
      <c r="B778" s="326"/>
      <c r="C778" s="326"/>
      <c r="D778" s="326"/>
      <c r="E778" s="326"/>
      <c r="F778" s="326"/>
      <c r="G778" s="326"/>
      <c r="H778" s="326"/>
      <c r="I778" s="326"/>
      <c r="J778" s="326"/>
      <c r="K778" s="326"/>
      <c r="L778" s="326"/>
      <c r="M778" s="326"/>
      <c r="N778" s="326"/>
      <c r="O778" s="326"/>
      <c r="P778" s="326"/>
      <c r="Q778" s="326"/>
      <c r="R778" s="326"/>
      <c r="S778" s="326"/>
      <c r="T778" s="326"/>
      <c r="U778" s="326"/>
      <c r="V778" s="326"/>
      <c r="W778" s="326"/>
      <c r="X778" s="326"/>
      <c r="Y778" s="326"/>
    </row>
    <row r="779">
      <c r="A779" s="326"/>
      <c r="B779" s="326"/>
      <c r="C779" s="326"/>
      <c r="D779" s="326"/>
      <c r="E779" s="326"/>
      <c r="F779" s="326"/>
      <c r="G779" s="326"/>
      <c r="H779" s="326"/>
      <c r="I779" s="326"/>
      <c r="J779" s="326"/>
      <c r="K779" s="326"/>
      <c r="L779" s="326"/>
      <c r="M779" s="326"/>
      <c r="N779" s="326"/>
      <c r="O779" s="326"/>
      <c r="P779" s="326"/>
      <c r="Q779" s="326"/>
      <c r="R779" s="326"/>
      <c r="S779" s="326"/>
      <c r="T779" s="326"/>
      <c r="U779" s="326"/>
      <c r="V779" s="326"/>
      <c r="W779" s="326"/>
      <c r="X779" s="326"/>
      <c r="Y779" s="326"/>
    </row>
    <row r="780">
      <c r="A780" s="326"/>
      <c r="B780" s="326"/>
      <c r="C780" s="326"/>
      <c r="D780" s="326"/>
      <c r="E780" s="326"/>
      <c r="F780" s="326"/>
      <c r="G780" s="326"/>
      <c r="H780" s="326"/>
      <c r="I780" s="326"/>
      <c r="J780" s="326"/>
      <c r="K780" s="326"/>
      <c r="L780" s="326"/>
      <c r="M780" s="326"/>
      <c r="N780" s="326"/>
      <c r="O780" s="326"/>
      <c r="P780" s="326"/>
      <c r="Q780" s="326"/>
      <c r="R780" s="326"/>
      <c r="S780" s="326"/>
      <c r="T780" s="326"/>
      <c r="U780" s="326"/>
      <c r="V780" s="326"/>
      <c r="W780" s="326"/>
      <c r="X780" s="326"/>
      <c r="Y780" s="326"/>
    </row>
    <row r="781">
      <c r="A781" s="326"/>
      <c r="B781" s="326"/>
      <c r="C781" s="326"/>
      <c r="D781" s="326"/>
      <c r="E781" s="326"/>
      <c r="F781" s="326"/>
      <c r="G781" s="326"/>
      <c r="H781" s="326"/>
      <c r="I781" s="326"/>
      <c r="J781" s="326"/>
      <c r="K781" s="326"/>
      <c r="L781" s="326"/>
      <c r="M781" s="326"/>
      <c r="N781" s="326"/>
      <c r="O781" s="326"/>
      <c r="P781" s="326"/>
      <c r="Q781" s="326"/>
      <c r="R781" s="326"/>
      <c r="S781" s="326"/>
      <c r="T781" s="326"/>
      <c r="U781" s="326"/>
      <c r="V781" s="326"/>
      <c r="W781" s="326"/>
      <c r="X781" s="326"/>
      <c r="Y781" s="326"/>
    </row>
    <row r="782">
      <c r="A782" s="326"/>
      <c r="B782" s="326"/>
      <c r="C782" s="326"/>
      <c r="D782" s="326"/>
      <c r="E782" s="326"/>
      <c r="F782" s="326"/>
      <c r="G782" s="326"/>
      <c r="H782" s="326"/>
      <c r="I782" s="326"/>
      <c r="J782" s="326"/>
      <c r="K782" s="326"/>
      <c r="L782" s="326"/>
      <c r="M782" s="326"/>
      <c r="N782" s="326"/>
      <c r="O782" s="326"/>
      <c r="P782" s="326"/>
      <c r="Q782" s="326"/>
      <c r="R782" s="326"/>
      <c r="S782" s="326"/>
      <c r="T782" s="326"/>
      <c r="U782" s="326"/>
      <c r="V782" s="326"/>
      <c r="W782" s="326"/>
      <c r="X782" s="326"/>
      <c r="Y782" s="326"/>
    </row>
    <row r="783">
      <c r="A783" s="326"/>
      <c r="B783" s="326"/>
      <c r="C783" s="326"/>
      <c r="D783" s="326"/>
      <c r="E783" s="326"/>
      <c r="F783" s="326"/>
      <c r="G783" s="326"/>
      <c r="H783" s="326"/>
      <c r="I783" s="326"/>
      <c r="J783" s="326"/>
      <c r="K783" s="326"/>
      <c r="L783" s="326"/>
      <c r="M783" s="326"/>
      <c r="N783" s="326"/>
      <c r="O783" s="326"/>
      <c r="P783" s="326"/>
      <c r="Q783" s="326"/>
      <c r="R783" s="326"/>
      <c r="S783" s="326"/>
      <c r="T783" s="326"/>
      <c r="U783" s="326"/>
      <c r="V783" s="326"/>
      <c r="W783" s="326"/>
      <c r="X783" s="326"/>
      <c r="Y783" s="326"/>
    </row>
    <row r="784">
      <c r="A784" s="326"/>
      <c r="B784" s="326"/>
      <c r="C784" s="326"/>
      <c r="D784" s="326"/>
      <c r="E784" s="326"/>
      <c r="F784" s="326"/>
      <c r="G784" s="326"/>
      <c r="H784" s="326"/>
      <c r="I784" s="326"/>
      <c r="J784" s="326"/>
      <c r="K784" s="326"/>
      <c r="L784" s="326"/>
      <c r="M784" s="326"/>
      <c r="N784" s="326"/>
      <c r="O784" s="326"/>
      <c r="P784" s="326"/>
      <c r="Q784" s="326"/>
      <c r="R784" s="326"/>
      <c r="S784" s="326"/>
      <c r="T784" s="326"/>
      <c r="U784" s="326"/>
      <c r="V784" s="326"/>
      <c r="W784" s="326"/>
      <c r="X784" s="326"/>
      <c r="Y784" s="326"/>
    </row>
    <row r="785">
      <c r="A785" s="326"/>
      <c r="B785" s="326"/>
      <c r="C785" s="326"/>
      <c r="D785" s="326"/>
      <c r="E785" s="326"/>
      <c r="F785" s="326"/>
      <c r="G785" s="326"/>
      <c r="H785" s="326"/>
      <c r="I785" s="326"/>
      <c r="J785" s="326"/>
      <c r="K785" s="326"/>
      <c r="L785" s="326"/>
      <c r="M785" s="326"/>
      <c r="N785" s="326"/>
      <c r="O785" s="326"/>
      <c r="P785" s="326"/>
      <c r="Q785" s="326"/>
      <c r="R785" s="326"/>
      <c r="S785" s="326"/>
      <c r="T785" s="326"/>
      <c r="U785" s="326"/>
      <c r="V785" s="326"/>
      <c r="W785" s="326"/>
      <c r="X785" s="326"/>
      <c r="Y785" s="326"/>
    </row>
    <row r="786">
      <c r="A786" s="326"/>
      <c r="B786" s="326"/>
      <c r="C786" s="326"/>
      <c r="D786" s="326"/>
      <c r="E786" s="326"/>
      <c r="F786" s="326"/>
      <c r="G786" s="326"/>
      <c r="H786" s="326"/>
      <c r="I786" s="326"/>
      <c r="J786" s="326"/>
      <c r="K786" s="326"/>
      <c r="L786" s="326"/>
      <c r="M786" s="326"/>
      <c r="N786" s="326"/>
      <c r="O786" s="326"/>
      <c r="P786" s="326"/>
      <c r="Q786" s="326"/>
      <c r="R786" s="326"/>
      <c r="S786" s="326"/>
      <c r="T786" s="326"/>
      <c r="U786" s="326"/>
      <c r="V786" s="326"/>
      <c r="W786" s="326"/>
      <c r="X786" s="326"/>
      <c r="Y786" s="326"/>
    </row>
    <row r="787">
      <c r="A787" s="326"/>
      <c r="B787" s="326"/>
      <c r="C787" s="326"/>
      <c r="D787" s="326"/>
      <c r="E787" s="326"/>
      <c r="F787" s="326"/>
      <c r="G787" s="326"/>
      <c r="H787" s="326"/>
      <c r="I787" s="326"/>
      <c r="J787" s="326"/>
      <c r="K787" s="326"/>
      <c r="L787" s="326"/>
      <c r="M787" s="326"/>
      <c r="N787" s="326"/>
      <c r="O787" s="326"/>
      <c r="P787" s="326"/>
      <c r="Q787" s="326"/>
      <c r="R787" s="326"/>
      <c r="S787" s="326"/>
      <c r="T787" s="326"/>
      <c r="U787" s="326"/>
      <c r="V787" s="326"/>
      <c r="W787" s="326"/>
      <c r="X787" s="326"/>
      <c r="Y787" s="326"/>
    </row>
    <row r="788">
      <c r="A788" s="326"/>
      <c r="B788" s="326"/>
      <c r="C788" s="326"/>
      <c r="D788" s="326"/>
      <c r="E788" s="326"/>
      <c r="F788" s="326"/>
      <c r="G788" s="326"/>
      <c r="H788" s="326"/>
      <c r="I788" s="326"/>
      <c r="J788" s="326"/>
      <c r="K788" s="326"/>
      <c r="L788" s="326"/>
      <c r="M788" s="326"/>
      <c r="N788" s="326"/>
      <c r="O788" s="326"/>
      <c r="P788" s="326"/>
      <c r="Q788" s="326"/>
      <c r="R788" s="326"/>
      <c r="S788" s="326"/>
      <c r="T788" s="326"/>
      <c r="U788" s="326"/>
      <c r="V788" s="326"/>
      <c r="W788" s="326"/>
      <c r="X788" s="326"/>
      <c r="Y788" s="326"/>
    </row>
    <row r="789">
      <c r="A789" s="326"/>
      <c r="B789" s="326"/>
      <c r="C789" s="326"/>
      <c r="D789" s="326"/>
      <c r="E789" s="326"/>
      <c r="F789" s="326"/>
      <c r="G789" s="326"/>
      <c r="H789" s="326"/>
      <c r="I789" s="326"/>
      <c r="J789" s="326"/>
      <c r="K789" s="326"/>
      <c r="L789" s="326"/>
      <c r="M789" s="326"/>
      <c r="N789" s="326"/>
      <c r="O789" s="326"/>
      <c r="P789" s="326"/>
      <c r="Q789" s="326"/>
      <c r="R789" s="326"/>
      <c r="S789" s="326"/>
      <c r="T789" s="326"/>
      <c r="U789" s="326"/>
      <c r="V789" s="326"/>
      <c r="W789" s="326"/>
      <c r="X789" s="326"/>
      <c r="Y789" s="326"/>
    </row>
    <row r="790">
      <c r="A790" s="326"/>
      <c r="B790" s="326"/>
      <c r="C790" s="326"/>
      <c r="D790" s="326"/>
      <c r="E790" s="326"/>
      <c r="F790" s="326"/>
      <c r="G790" s="326"/>
      <c r="H790" s="326"/>
      <c r="I790" s="326"/>
      <c r="J790" s="326"/>
      <c r="K790" s="326"/>
      <c r="L790" s="326"/>
      <c r="M790" s="326"/>
      <c r="N790" s="326"/>
      <c r="O790" s="326"/>
      <c r="P790" s="326"/>
      <c r="Q790" s="326"/>
      <c r="R790" s="326"/>
      <c r="S790" s="326"/>
      <c r="T790" s="326"/>
      <c r="U790" s="326"/>
      <c r="V790" s="326"/>
      <c r="W790" s="326"/>
      <c r="X790" s="326"/>
      <c r="Y790" s="326"/>
    </row>
    <row r="791">
      <c r="A791" s="326"/>
      <c r="B791" s="326"/>
      <c r="C791" s="326"/>
      <c r="D791" s="326"/>
      <c r="E791" s="326"/>
      <c r="F791" s="326"/>
      <c r="G791" s="326"/>
      <c r="H791" s="326"/>
      <c r="I791" s="326"/>
      <c r="J791" s="326"/>
      <c r="K791" s="326"/>
      <c r="L791" s="326"/>
      <c r="M791" s="326"/>
      <c r="N791" s="326"/>
      <c r="O791" s="326"/>
      <c r="P791" s="326"/>
      <c r="Q791" s="326"/>
      <c r="R791" s="326"/>
      <c r="S791" s="326"/>
      <c r="T791" s="326"/>
      <c r="U791" s="326"/>
      <c r="V791" s="326"/>
      <c r="W791" s="326"/>
      <c r="X791" s="326"/>
      <c r="Y791" s="326"/>
    </row>
    <row r="792">
      <c r="A792" s="326"/>
      <c r="B792" s="326"/>
      <c r="C792" s="326"/>
      <c r="D792" s="326"/>
      <c r="E792" s="326"/>
      <c r="F792" s="326"/>
      <c r="G792" s="326"/>
      <c r="H792" s="326"/>
      <c r="I792" s="326"/>
      <c r="J792" s="326"/>
      <c r="K792" s="326"/>
      <c r="L792" s="326"/>
      <c r="M792" s="326"/>
      <c r="N792" s="326"/>
      <c r="O792" s="326"/>
      <c r="P792" s="326"/>
      <c r="Q792" s="326"/>
      <c r="R792" s="326"/>
      <c r="S792" s="326"/>
      <c r="T792" s="326"/>
      <c r="U792" s="326"/>
      <c r="V792" s="326"/>
      <c r="W792" s="326"/>
      <c r="X792" s="326"/>
      <c r="Y792" s="326"/>
    </row>
    <row r="793">
      <c r="A793" s="326"/>
      <c r="B793" s="326"/>
      <c r="C793" s="326"/>
      <c r="D793" s="326"/>
      <c r="E793" s="326"/>
      <c r="F793" s="326"/>
      <c r="G793" s="326"/>
      <c r="H793" s="326"/>
      <c r="I793" s="326"/>
      <c r="J793" s="326"/>
      <c r="K793" s="326"/>
      <c r="L793" s="326"/>
      <c r="M793" s="326"/>
      <c r="N793" s="326"/>
      <c r="O793" s="326"/>
      <c r="P793" s="326"/>
      <c r="Q793" s="326"/>
      <c r="R793" s="326"/>
      <c r="S793" s="326"/>
      <c r="T793" s="326"/>
      <c r="U793" s="326"/>
      <c r="V793" s="326"/>
      <c r="W793" s="326"/>
      <c r="X793" s="326"/>
      <c r="Y793" s="326"/>
    </row>
    <row r="794">
      <c r="A794" s="326"/>
      <c r="B794" s="326"/>
      <c r="C794" s="326"/>
      <c r="D794" s="326"/>
      <c r="E794" s="326"/>
      <c r="F794" s="326"/>
      <c r="G794" s="326"/>
      <c r="H794" s="326"/>
      <c r="I794" s="326"/>
      <c r="J794" s="326"/>
      <c r="K794" s="326"/>
      <c r="L794" s="326"/>
      <c r="M794" s="326"/>
      <c r="N794" s="326"/>
      <c r="O794" s="326"/>
      <c r="P794" s="326"/>
      <c r="Q794" s="326"/>
      <c r="R794" s="326"/>
      <c r="S794" s="326"/>
      <c r="T794" s="326"/>
      <c r="U794" s="326"/>
      <c r="V794" s="326"/>
      <c r="W794" s="326"/>
      <c r="X794" s="326"/>
      <c r="Y794" s="326"/>
    </row>
    <row r="795">
      <c r="A795" s="326"/>
      <c r="B795" s="326"/>
      <c r="C795" s="326"/>
      <c r="D795" s="326"/>
      <c r="E795" s="326"/>
      <c r="F795" s="326"/>
      <c r="G795" s="326"/>
      <c r="H795" s="326"/>
      <c r="I795" s="326"/>
      <c r="J795" s="326"/>
      <c r="K795" s="326"/>
      <c r="L795" s="326"/>
      <c r="M795" s="326"/>
      <c r="N795" s="326"/>
      <c r="O795" s="326"/>
      <c r="P795" s="326"/>
      <c r="Q795" s="326"/>
      <c r="R795" s="326"/>
      <c r="S795" s="326"/>
      <c r="T795" s="326"/>
      <c r="U795" s="326"/>
      <c r="V795" s="326"/>
      <c r="W795" s="326"/>
      <c r="X795" s="326"/>
      <c r="Y795" s="326"/>
    </row>
    <row r="796">
      <c r="A796" s="326"/>
      <c r="B796" s="326"/>
      <c r="C796" s="326"/>
      <c r="D796" s="326"/>
      <c r="E796" s="326"/>
      <c r="F796" s="326"/>
      <c r="G796" s="326"/>
      <c r="H796" s="326"/>
      <c r="I796" s="326"/>
      <c r="J796" s="326"/>
      <c r="K796" s="326"/>
      <c r="L796" s="326"/>
      <c r="M796" s="326"/>
      <c r="N796" s="326"/>
      <c r="O796" s="326"/>
      <c r="P796" s="326"/>
      <c r="Q796" s="326"/>
      <c r="R796" s="326"/>
      <c r="S796" s="326"/>
      <c r="T796" s="326"/>
      <c r="U796" s="326"/>
      <c r="V796" s="326"/>
      <c r="W796" s="326"/>
      <c r="X796" s="326"/>
      <c r="Y796" s="326"/>
    </row>
    <row r="797">
      <c r="A797" s="326"/>
      <c r="B797" s="326"/>
      <c r="C797" s="326"/>
      <c r="D797" s="326"/>
      <c r="E797" s="326"/>
      <c r="F797" s="326"/>
      <c r="G797" s="326"/>
      <c r="H797" s="326"/>
      <c r="I797" s="326"/>
      <c r="J797" s="326"/>
      <c r="K797" s="326"/>
      <c r="L797" s="326"/>
      <c r="M797" s="326"/>
      <c r="N797" s="326"/>
      <c r="O797" s="326"/>
      <c r="P797" s="326"/>
      <c r="Q797" s="326"/>
      <c r="R797" s="326"/>
      <c r="S797" s="326"/>
      <c r="T797" s="326"/>
      <c r="U797" s="326"/>
      <c r="V797" s="326"/>
      <c r="W797" s="326"/>
      <c r="X797" s="326"/>
      <c r="Y797" s="326"/>
    </row>
    <row r="798">
      <c r="A798" s="326"/>
      <c r="B798" s="326"/>
      <c r="C798" s="326"/>
      <c r="D798" s="326"/>
      <c r="E798" s="326"/>
      <c r="F798" s="326"/>
      <c r="G798" s="326"/>
      <c r="H798" s="326"/>
      <c r="I798" s="326"/>
      <c r="J798" s="326"/>
      <c r="K798" s="326"/>
      <c r="L798" s="326"/>
      <c r="M798" s="326"/>
      <c r="N798" s="326"/>
      <c r="O798" s="326"/>
      <c r="P798" s="326"/>
      <c r="Q798" s="326"/>
      <c r="R798" s="326"/>
      <c r="S798" s="326"/>
      <c r="T798" s="326"/>
      <c r="U798" s="326"/>
      <c r="V798" s="326"/>
      <c r="W798" s="326"/>
      <c r="X798" s="326"/>
      <c r="Y798" s="326"/>
    </row>
    <row r="799">
      <c r="A799" s="326"/>
      <c r="B799" s="326"/>
      <c r="C799" s="326"/>
      <c r="D799" s="326"/>
      <c r="E799" s="326"/>
      <c r="F799" s="326"/>
      <c r="G799" s="326"/>
      <c r="H799" s="326"/>
      <c r="I799" s="326"/>
      <c r="J799" s="326"/>
      <c r="K799" s="326"/>
      <c r="L799" s="326"/>
      <c r="M799" s="326"/>
      <c r="N799" s="326"/>
      <c r="O799" s="326"/>
      <c r="P799" s="326"/>
      <c r="Q799" s="326"/>
      <c r="R799" s="326"/>
      <c r="S799" s="326"/>
      <c r="T799" s="326"/>
      <c r="U799" s="326"/>
      <c r="V799" s="326"/>
      <c r="W799" s="326"/>
      <c r="X799" s="326"/>
      <c r="Y799" s="326"/>
    </row>
    <row r="800">
      <c r="A800" s="326"/>
      <c r="B800" s="326"/>
      <c r="C800" s="326"/>
      <c r="D800" s="326"/>
      <c r="E800" s="326"/>
      <c r="F800" s="326"/>
      <c r="G800" s="326"/>
      <c r="H800" s="326"/>
      <c r="I800" s="326"/>
      <c r="J800" s="326"/>
      <c r="K800" s="326"/>
      <c r="L800" s="326"/>
      <c r="M800" s="326"/>
      <c r="N800" s="326"/>
      <c r="O800" s="326"/>
      <c r="P800" s="326"/>
      <c r="Q800" s="326"/>
      <c r="R800" s="326"/>
      <c r="S800" s="326"/>
      <c r="T800" s="326"/>
      <c r="U800" s="326"/>
      <c r="V800" s="326"/>
      <c r="W800" s="326"/>
      <c r="X800" s="326"/>
      <c r="Y800" s="326"/>
    </row>
    <row r="801">
      <c r="A801" s="326"/>
      <c r="B801" s="326"/>
      <c r="C801" s="326"/>
      <c r="D801" s="326"/>
      <c r="E801" s="326"/>
      <c r="F801" s="326"/>
      <c r="G801" s="326"/>
      <c r="H801" s="326"/>
      <c r="I801" s="326"/>
      <c r="J801" s="326"/>
      <c r="K801" s="326"/>
      <c r="L801" s="326"/>
      <c r="M801" s="326"/>
      <c r="N801" s="326"/>
      <c r="O801" s="326"/>
      <c r="P801" s="326"/>
      <c r="Q801" s="326"/>
      <c r="R801" s="326"/>
      <c r="S801" s="326"/>
      <c r="T801" s="326"/>
      <c r="U801" s="326"/>
      <c r="V801" s="326"/>
      <c r="W801" s="326"/>
      <c r="X801" s="326"/>
      <c r="Y801" s="326"/>
    </row>
    <row r="802">
      <c r="A802" s="326"/>
      <c r="B802" s="326"/>
      <c r="C802" s="326"/>
      <c r="D802" s="326"/>
      <c r="E802" s="326"/>
      <c r="F802" s="326"/>
      <c r="G802" s="326"/>
      <c r="H802" s="326"/>
      <c r="I802" s="326"/>
      <c r="J802" s="326"/>
      <c r="K802" s="326"/>
      <c r="L802" s="326"/>
      <c r="M802" s="326"/>
      <c r="N802" s="326"/>
      <c r="O802" s="326"/>
      <c r="P802" s="326"/>
      <c r="Q802" s="326"/>
      <c r="R802" s="326"/>
      <c r="S802" s="326"/>
      <c r="T802" s="326"/>
      <c r="U802" s="326"/>
      <c r="V802" s="326"/>
      <c r="W802" s="326"/>
      <c r="X802" s="326"/>
      <c r="Y802" s="326"/>
    </row>
    <row r="803">
      <c r="A803" s="326"/>
      <c r="B803" s="326"/>
      <c r="C803" s="326"/>
      <c r="D803" s="326"/>
      <c r="E803" s="326"/>
      <c r="F803" s="326"/>
      <c r="G803" s="326"/>
      <c r="H803" s="326"/>
      <c r="I803" s="326"/>
      <c r="J803" s="326"/>
      <c r="K803" s="326"/>
      <c r="L803" s="326"/>
      <c r="M803" s="326"/>
      <c r="N803" s="326"/>
      <c r="O803" s="326"/>
      <c r="P803" s="326"/>
      <c r="Q803" s="326"/>
      <c r="R803" s="326"/>
      <c r="S803" s="326"/>
      <c r="T803" s="326"/>
      <c r="U803" s="326"/>
      <c r="V803" s="326"/>
      <c r="W803" s="326"/>
      <c r="X803" s="326"/>
      <c r="Y803" s="326"/>
    </row>
    <row r="804">
      <c r="A804" s="326"/>
      <c r="B804" s="326"/>
      <c r="C804" s="326"/>
      <c r="D804" s="326"/>
      <c r="E804" s="326"/>
      <c r="F804" s="326"/>
      <c r="G804" s="326"/>
      <c r="H804" s="326"/>
      <c r="I804" s="326"/>
      <c r="J804" s="326"/>
      <c r="K804" s="326"/>
      <c r="L804" s="326"/>
      <c r="M804" s="326"/>
      <c r="N804" s="326"/>
      <c r="O804" s="326"/>
      <c r="P804" s="326"/>
      <c r="Q804" s="326"/>
      <c r="R804" s="326"/>
      <c r="S804" s="326"/>
      <c r="T804" s="326"/>
      <c r="U804" s="326"/>
      <c r="V804" s="326"/>
      <c r="W804" s="326"/>
      <c r="X804" s="326"/>
      <c r="Y804" s="326"/>
    </row>
    <row r="805">
      <c r="A805" s="326"/>
      <c r="B805" s="326"/>
      <c r="C805" s="326"/>
      <c r="D805" s="326"/>
      <c r="E805" s="326"/>
      <c r="F805" s="326"/>
      <c r="G805" s="326"/>
      <c r="H805" s="326"/>
      <c r="I805" s="326"/>
      <c r="J805" s="326"/>
      <c r="K805" s="326"/>
      <c r="L805" s="326"/>
      <c r="M805" s="326"/>
      <c r="N805" s="326"/>
      <c r="O805" s="326"/>
      <c r="P805" s="326"/>
      <c r="Q805" s="326"/>
      <c r="R805" s="326"/>
      <c r="S805" s="326"/>
      <c r="T805" s="326"/>
      <c r="U805" s="326"/>
      <c r="V805" s="326"/>
      <c r="W805" s="326"/>
      <c r="X805" s="326"/>
      <c r="Y805" s="326"/>
    </row>
    <row r="806">
      <c r="A806" s="326"/>
      <c r="B806" s="326"/>
      <c r="C806" s="326"/>
      <c r="D806" s="326"/>
      <c r="E806" s="326"/>
      <c r="F806" s="326"/>
      <c r="G806" s="326"/>
      <c r="H806" s="326"/>
      <c r="I806" s="326"/>
      <c r="J806" s="326"/>
      <c r="K806" s="326"/>
      <c r="L806" s="326"/>
      <c r="M806" s="326"/>
      <c r="N806" s="326"/>
      <c r="O806" s="326"/>
      <c r="P806" s="326"/>
      <c r="Q806" s="326"/>
      <c r="R806" s="326"/>
      <c r="S806" s="326"/>
      <c r="T806" s="326"/>
      <c r="U806" s="326"/>
      <c r="V806" s="326"/>
      <c r="W806" s="326"/>
      <c r="X806" s="326"/>
      <c r="Y806" s="326"/>
    </row>
    <row r="807">
      <c r="A807" s="326"/>
      <c r="B807" s="326"/>
      <c r="C807" s="326"/>
      <c r="D807" s="326"/>
      <c r="E807" s="326"/>
      <c r="F807" s="326"/>
      <c r="G807" s="326"/>
      <c r="H807" s="326"/>
      <c r="I807" s="326"/>
      <c r="J807" s="326"/>
      <c r="K807" s="326"/>
      <c r="L807" s="326"/>
      <c r="M807" s="326"/>
      <c r="N807" s="326"/>
      <c r="O807" s="326"/>
      <c r="P807" s="326"/>
      <c r="Q807" s="326"/>
      <c r="R807" s="326"/>
      <c r="S807" s="326"/>
      <c r="T807" s="326"/>
      <c r="U807" s="326"/>
      <c r="V807" s="326"/>
      <c r="W807" s="326"/>
      <c r="X807" s="326"/>
      <c r="Y807" s="326"/>
    </row>
    <row r="808">
      <c r="A808" s="326"/>
      <c r="B808" s="326"/>
      <c r="C808" s="326"/>
      <c r="D808" s="326"/>
      <c r="E808" s="326"/>
      <c r="F808" s="326"/>
      <c r="G808" s="326"/>
      <c r="H808" s="326"/>
      <c r="I808" s="326"/>
      <c r="J808" s="326"/>
      <c r="K808" s="326"/>
      <c r="L808" s="326"/>
      <c r="M808" s="326"/>
      <c r="N808" s="326"/>
      <c r="O808" s="326"/>
      <c r="P808" s="326"/>
      <c r="Q808" s="326"/>
      <c r="R808" s="326"/>
      <c r="S808" s="326"/>
      <c r="T808" s="326"/>
      <c r="U808" s="326"/>
      <c r="V808" s="326"/>
      <c r="W808" s="326"/>
      <c r="X808" s="326"/>
      <c r="Y808" s="326"/>
    </row>
    <row r="809">
      <c r="A809" s="326"/>
      <c r="B809" s="326"/>
      <c r="C809" s="326"/>
      <c r="D809" s="326"/>
      <c r="E809" s="326"/>
      <c r="F809" s="326"/>
      <c r="G809" s="326"/>
      <c r="H809" s="326"/>
      <c r="I809" s="326"/>
      <c r="J809" s="326"/>
      <c r="K809" s="326"/>
      <c r="L809" s="326"/>
      <c r="M809" s="326"/>
      <c r="N809" s="326"/>
      <c r="O809" s="326"/>
      <c r="P809" s="326"/>
      <c r="Q809" s="326"/>
      <c r="R809" s="326"/>
      <c r="S809" s="326"/>
      <c r="T809" s="326"/>
      <c r="U809" s="326"/>
      <c r="V809" s="326"/>
      <c r="W809" s="326"/>
      <c r="X809" s="326"/>
      <c r="Y809" s="326"/>
    </row>
    <row r="810">
      <c r="A810" s="326"/>
      <c r="B810" s="326"/>
      <c r="C810" s="326"/>
      <c r="D810" s="326"/>
      <c r="E810" s="326"/>
      <c r="F810" s="326"/>
      <c r="G810" s="326"/>
      <c r="H810" s="326"/>
      <c r="I810" s="326"/>
      <c r="J810" s="326"/>
      <c r="K810" s="326"/>
      <c r="L810" s="326"/>
      <c r="M810" s="326"/>
      <c r="N810" s="326"/>
      <c r="O810" s="326"/>
      <c r="P810" s="326"/>
      <c r="Q810" s="326"/>
      <c r="R810" s="326"/>
      <c r="S810" s="326"/>
      <c r="T810" s="326"/>
      <c r="U810" s="326"/>
      <c r="V810" s="326"/>
      <c r="W810" s="326"/>
      <c r="X810" s="326"/>
      <c r="Y810" s="326"/>
    </row>
    <row r="811">
      <c r="A811" s="326"/>
      <c r="B811" s="326"/>
      <c r="C811" s="326"/>
      <c r="D811" s="326"/>
      <c r="E811" s="326"/>
      <c r="F811" s="326"/>
      <c r="G811" s="326"/>
      <c r="H811" s="326"/>
      <c r="I811" s="326"/>
      <c r="J811" s="326"/>
      <c r="K811" s="326"/>
      <c r="L811" s="326"/>
      <c r="M811" s="326"/>
      <c r="N811" s="326"/>
      <c r="O811" s="326"/>
      <c r="P811" s="326"/>
      <c r="Q811" s="326"/>
      <c r="R811" s="326"/>
      <c r="S811" s="326"/>
      <c r="T811" s="326"/>
      <c r="U811" s="326"/>
      <c r="V811" s="326"/>
      <c r="W811" s="326"/>
      <c r="X811" s="326"/>
      <c r="Y811" s="326"/>
    </row>
    <row r="812">
      <c r="A812" s="326"/>
      <c r="B812" s="326"/>
      <c r="C812" s="326"/>
      <c r="D812" s="326"/>
      <c r="E812" s="326"/>
      <c r="F812" s="326"/>
      <c r="G812" s="326"/>
      <c r="H812" s="326"/>
      <c r="I812" s="326"/>
      <c r="J812" s="326"/>
      <c r="K812" s="326"/>
      <c r="L812" s="326"/>
      <c r="M812" s="326"/>
      <c r="N812" s="326"/>
      <c r="O812" s="326"/>
      <c r="P812" s="326"/>
      <c r="Q812" s="326"/>
      <c r="R812" s="326"/>
      <c r="S812" s="326"/>
      <c r="T812" s="326"/>
      <c r="U812" s="326"/>
      <c r="V812" s="326"/>
      <c r="W812" s="326"/>
      <c r="X812" s="326"/>
      <c r="Y812" s="326"/>
    </row>
    <row r="813">
      <c r="A813" s="326"/>
      <c r="B813" s="326"/>
      <c r="C813" s="326"/>
      <c r="D813" s="326"/>
      <c r="E813" s="326"/>
      <c r="F813" s="326"/>
      <c r="G813" s="326"/>
      <c r="H813" s="326"/>
      <c r="I813" s="326"/>
      <c r="J813" s="326"/>
      <c r="K813" s="326"/>
      <c r="L813" s="326"/>
      <c r="M813" s="326"/>
      <c r="N813" s="326"/>
      <c r="O813" s="326"/>
      <c r="P813" s="326"/>
      <c r="Q813" s="326"/>
      <c r="R813" s="326"/>
      <c r="S813" s="326"/>
      <c r="T813" s="326"/>
      <c r="U813" s="326"/>
      <c r="V813" s="326"/>
      <c r="W813" s="326"/>
      <c r="X813" s="326"/>
      <c r="Y813" s="326"/>
    </row>
    <row r="814">
      <c r="A814" s="326"/>
      <c r="B814" s="326"/>
      <c r="C814" s="326"/>
      <c r="D814" s="326"/>
      <c r="E814" s="326"/>
      <c r="F814" s="326"/>
      <c r="G814" s="326"/>
      <c r="H814" s="326"/>
      <c r="I814" s="326"/>
      <c r="J814" s="326"/>
      <c r="K814" s="326"/>
      <c r="L814" s="326"/>
      <c r="M814" s="326"/>
      <c r="N814" s="326"/>
      <c r="O814" s="326"/>
      <c r="P814" s="326"/>
      <c r="Q814" s="326"/>
      <c r="R814" s="326"/>
      <c r="S814" s="326"/>
      <c r="T814" s="326"/>
      <c r="U814" s="326"/>
      <c r="V814" s="326"/>
      <c r="W814" s="326"/>
      <c r="X814" s="326"/>
      <c r="Y814" s="326"/>
    </row>
    <row r="815">
      <c r="A815" s="326"/>
      <c r="B815" s="326"/>
      <c r="C815" s="326"/>
      <c r="D815" s="326"/>
      <c r="E815" s="326"/>
      <c r="F815" s="326"/>
      <c r="G815" s="326"/>
      <c r="H815" s="326"/>
      <c r="I815" s="326"/>
      <c r="J815" s="326"/>
      <c r="K815" s="326"/>
      <c r="L815" s="326"/>
      <c r="M815" s="326"/>
      <c r="N815" s="326"/>
      <c r="O815" s="326"/>
      <c r="P815" s="326"/>
      <c r="Q815" s="326"/>
      <c r="R815" s="326"/>
      <c r="S815" s="326"/>
      <c r="T815" s="326"/>
      <c r="U815" s="326"/>
      <c r="V815" s="326"/>
      <c r="W815" s="326"/>
      <c r="X815" s="326"/>
      <c r="Y815" s="326"/>
    </row>
    <row r="816">
      <c r="A816" s="326"/>
      <c r="B816" s="326"/>
      <c r="C816" s="326"/>
      <c r="D816" s="326"/>
      <c r="E816" s="326"/>
      <c r="F816" s="326"/>
      <c r="G816" s="326"/>
      <c r="H816" s="326"/>
      <c r="I816" s="326"/>
      <c r="J816" s="326"/>
      <c r="K816" s="326"/>
      <c r="L816" s="326"/>
      <c r="M816" s="326"/>
      <c r="N816" s="326"/>
      <c r="O816" s="326"/>
      <c r="P816" s="326"/>
      <c r="Q816" s="326"/>
      <c r="R816" s="326"/>
      <c r="S816" s="326"/>
      <c r="T816" s="326"/>
      <c r="U816" s="326"/>
      <c r="V816" s="326"/>
      <c r="W816" s="326"/>
      <c r="X816" s="326"/>
      <c r="Y816" s="326"/>
    </row>
    <row r="817">
      <c r="A817" s="326"/>
      <c r="B817" s="326"/>
      <c r="C817" s="326"/>
      <c r="D817" s="326"/>
      <c r="E817" s="326"/>
      <c r="F817" s="326"/>
      <c r="G817" s="326"/>
      <c r="H817" s="326"/>
      <c r="I817" s="326"/>
      <c r="J817" s="326"/>
      <c r="K817" s="326"/>
      <c r="L817" s="326"/>
      <c r="M817" s="326"/>
      <c r="N817" s="326"/>
      <c r="O817" s="326"/>
      <c r="P817" s="326"/>
      <c r="Q817" s="326"/>
      <c r="R817" s="326"/>
      <c r="S817" s="326"/>
      <c r="T817" s="326"/>
      <c r="U817" s="326"/>
      <c r="V817" s="326"/>
      <c r="W817" s="326"/>
      <c r="X817" s="326"/>
      <c r="Y817" s="326"/>
    </row>
    <row r="818">
      <c r="A818" s="326"/>
      <c r="B818" s="326"/>
      <c r="C818" s="326"/>
      <c r="D818" s="326"/>
      <c r="E818" s="326"/>
      <c r="F818" s="326"/>
      <c r="G818" s="326"/>
      <c r="H818" s="326"/>
      <c r="I818" s="326"/>
      <c r="J818" s="326"/>
      <c r="K818" s="326"/>
      <c r="L818" s="326"/>
      <c r="M818" s="326"/>
      <c r="N818" s="326"/>
      <c r="O818" s="326"/>
      <c r="P818" s="326"/>
      <c r="Q818" s="326"/>
      <c r="R818" s="326"/>
      <c r="S818" s="326"/>
      <c r="T818" s="326"/>
      <c r="U818" s="326"/>
      <c r="V818" s="326"/>
      <c r="W818" s="326"/>
      <c r="X818" s="326"/>
      <c r="Y818" s="326"/>
    </row>
    <row r="819">
      <c r="A819" s="326"/>
      <c r="B819" s="326"/>
      <c r="C819" s="326"/>
      <c r="D819" s="326"/>
      <c r="E819" s="326"/>
      <c r="F819" s="326"/>
      <c r="G819" s="326"/>
      <c r="H819" s="326"/>
      <c r="I819" s="326"/>
      <c r="J819" s="326"/>
      <c r="K819" s="326"/>
      <c r="L819" s="326"/>
      <c r="M819" s="326"/>
      <c r="N819" s="326"/>
      <c r="O819" s="326"/>
      <c r="P819" s="326"/>
      <c r="Q819" s="326"/>
      <c r="R819" s="326"/>
      <c r="S819" s="326"/>
      <c r="T819" s="326"/>
      <c r="U819" s="326"/>
      <c r="V819" s="326"/>
      <c r="W819" s="326"/>
      <c r="X819" s="326"/>
      <c r="Y819" s="326"/>
    </row>
    <row r="820">
      <c r="A820" s="326"/>
      <c r="B820" s="326"/>
      <c r="C820" s="326"/>
      <c r="D820" s="326"/>
      <c r="E820" s="326"/>
      <c r="F820" s="326"/>
      <c r="G820" s="326"/>
      <c r="H820" s="326"/>
      <c r="I820" s="326"/>
      <c r="J820" s="326"/>
      <c r="K820" s="326"/>
      <c r="L820" s="326"/>
      <c r="M820" s="326"/>
      <c r="N820" s="326"/>
      <c r="O820" s="326"/>
      <c r="P820" s="326"/>
      <c r="Q820" s="326"/>
      <c r="R820" s="326"/>
      <c r="S820" s="326"/>
      <c r="T820" s="326"/>
      <c r="U820" s="326"/>
      <c r="V820" s="326"/>
      <c r="W820" s="326"/>
      <c r="X820" s="326"/>
      <c r="Y820" s="326"/>
    </row>
    <row r="821">
      <c r="A821" s="326"/>
      <c r="B821" s="326"/>
      <c r="C821" s="326"/>
      <c r="D821" s="326"/>
      <c r="E821" s="326"/>
      <c r="F821" s="326"/>
      <c r="G821" s="326"/>
      <c r="H821" s="326"/>
      <c r="I821" s="326"/>
      <c r="J821" s="326"/>
      <c r="K821" s="326"/>
      <c r="L821" s="326"/>
      <c r="M821" s="326"/>
      <c r="N821" s="326"/>
      <c r="O821" s="326"/>
      <c r="P821" s="326"/>
      <c r="Q821" s="326"/>
      <c r="R821" s="326"/>
      <c r="S821" s="326"/>
      <c r="T821" s="326"/>
      <c r="U821" s="326"/>
      <c r="V821" s="326"/>
      <c r="W821" s="326"/>
      <c r="X821" s="326"/>
      <c r="Y821" s="326"/>
    </row>
    <row r="822">
      <c r="A822" s="326"/>
      <c r="B822" s="326"/>
      <c r="C822" s="326"/>
      <c r="D822" s="326"/>
      <c r="E822" s="326"/>
      <c r="F822" s="326"/>
      <c r="G822" s="326"/>
      <c r="H822" s="326"/>
      <c r="I822" s="326"/>
      <c r="J822" s="326"/>
      <c r="K822" s="326"/>
      <c r="L822" s="326"/>
      <c r="M822" s="326"/>
      <c r="N822" s="326"/>
      <c r="O822" s="326"/>
      <c r="P822" s="326"/>
      <c r="Q822" s="326"/>
      <c r="R822" s="326"/>
      <c r="S822" s="326"/>
      <c r="T822" s="326"/>
      <c r="U822" s="326"/>
      <c r="V822" s="326"/>
      <c r="W822" s="326"/>
      <c r="X822" s="326"/>
      <c r="Y822" s="326"/>
    </row>
    <row r="823">
      <c r="A823" s="326"/>
      <c r="B823" s="326"/>
      <c r="C823" s="326"/>
      <c r="D823" s="326"/>
      <c r="E823" s="326"/>
      <c r="F823" s="326"/>
      <c r="G823" s="326"/>
      <c r="H823" s="326"/>
      <c r="I823" s="326"/>
      <c r="J823" s="326"/>
      <c r="K823" s="326"/>
      <c r="L823" s="326"/>
      <c r="M823" s="326"/>
      <c r="N823" s="326"/>
      <c r="O823" s="326"/>
      <c r="P823" s="326"/>
      <c r="Q823" s="326"/>
      <c r="R823" s="326"/>
      <c r="S823" s="326"/>
      <c r="T823" s="326"/>
      <c r="U823" s="326"/>
      <c r="V823" s="326"/>
      <c r="W823" s="326"/>
      <c r="X823" s="326"/>
      <c r="Y823" s="326"/>
    </row>
    <row r="824">
      <c r="A824" s="326"/>
      <c r="B824" s="326"/>
      <c r="C824" s="326"/>
      <c r="D824" s="326"/>
      <c r="E824" s="326"/>
      <c r="F824" s="326"/>
      <c r="G824" s="326"/>
      <c r="H824" s="326"/>
      <c r="I824" s="326"/>
      <c r="J824" s="326"/>
      <c r="K824" s="326"/>
      <c r="L824" s="326"/>
      <c r="M824" s="326"/>
      <c r="N824" s="326"/>
      <c r="O824" s="326"/>
      <c r="P824" s="326"/>
      <c r="Q824" s="326"/>
      <c r="R824" s="326"/>
      <c r="S824" s="326"/>
      <c r="T824" s="326"/>
      <c r="U824" s="326"/>
      <c r="V824" s="326"/>
      <c r="W824" s="326"/>
      <c r="X824" s="326"/>
      <c r="Y824" s="326"/>
    </row>
    <row r="825">
      <c r="A825" s="326"/>
      <c r="B825" s="326"/>
      <c r="C825" s="326"/>
      <c r="D825" s="326"/>
      <c r="E825" s="326"/>
      <c r="F825" s="326"/>
      <c r="G825" s="326"/>
      <c r="H825" s="326"/>
      <c r="I825" s="326"/>
      <c r="J825" s="326"/>
      <c r="K825" s="326"/>
      <c r="L825" s="326"/>
      <c r="M825" s="326"/>
      <c r="N825" s="326"/>
      <c r="O825" s="326"/>
      <c r="P825" s="326"/>
      <c r="Q825" s="326"/>
      <c r="R825" s="326"/>
      <c r="S825" s="326"/>
      <c r="T825" s="326"/>
      <c r="U825" s="326"/>
      <c r="V825" s="326"/>
      <c r="W825" s="326"/>
      <c r="X825" s="326"/>
      <c r="Y825" s="326"/>
    </row>
    <row r="826">
      <c r="A826" s="326"/>
      <c r="B826" s="326"/>
      <c r="C826" s="326"/>
      <c r="D826" s="326"/>
      <c r="E826" s="326"/>
      <c r="F826" s="326"/>
      <c r="G826" s="326"/>
      <c r="H826" s="326"/>
      <c r="I826" s="326"/>
      <c r="J826" s="326"/>
      <c r="K826" s="326"/>
      <c r="L826" s="326"/>
      <c r="M826" s="326"/>
      <c r="N826" s="326"/>
      <c r="O826" s="326"/>
      <c r="P826" s="326"/>
      <c r="Q826" s="326"/>
      <c r="R826" s="326"/>
      <c r="S826" s="326"/>
      <c r="T826" s="326"/>
      <c r="U826" s="326"/>
      <c r="V826" s="326"/>
      <c r="W826" s="326"/>
      <c r="X826" s="326"/>
      <c r="Y826" s="326"/>
    </row>
    <row r="827">
      <c r="A827" s="326"/>
      <c r="B827" s="326"/>
      <c r="C827" s="326"/>
      <c r="D827" s="326"/>
      <c r="E827" s="326"/>
      <c r="F827" s="326"/>
      <c r="G827" s="326"/>
      <c r="H827" s="326"/>
      <c r="I827" s="326"/>
      <c r="J827" s="326"/>
      <c r="K827" s="326"/>
      <c r="L827" s="326"/>
      <c r="M827" s="326"/>
      <c r="N827" s="326"/>
      <c r="O827" s="326"/>
      <c r="P827" s="326"/>
      <c r="Q827" s="326"/>
      <c r="R827" s="326"/>
      <c r="S827" s="326"/>
      <c r="T827" s="326"/>
      <c r="U827" s="326"/>
      <c r="V827" s="326"/>
      <c r="W827" s="326"/>
      <c r="X827" s="326"/>
      <c r="Y827" s="326"/>
    </row>
    <row r="828">
      <c r="A828" s="326"/>
      <c r="B828" s="326"/>
      <c r="C828" s="326"/>
      <c r="D828" s="326"/>
      <c r="E828" s="326"/>
      <c r="F828" s="326"/>
      <c r="G828" s="326"/>
      <c r="H828" s="326"/>
      <c r="I828" s="326"/>
      <c r="J828" s="326"/>
      <c r="K828" s="326"/>
      <c r="L828" s="326"/>
      <c r="M828" s="326"/>
      <c r="N828" s="326"/>
      <c r="O828" s="326"/>
      <c r="P828" s="326"/>
      <c r="Q828" s="326"/>
      <c r="R828" s="326"/>
      <c r="S828" s="326"/>
      <c r="T828" s="326"/>
      <c r="U828" s="326"/>
      <c r="V828" s="326"/>
      <c r="W828" s="326"/>
      <c r="X828" s="326"/>
      <c r="Y828" s="326"/>
    </row>
    <row r="829">
      <c r="A829" s="326"/>
      <c r="B829" s="326"/>
      <c r="C829" s="326"/>
      <c r="D829" s="326"/>
      <c r="E829" s="326"/>
      <c r="F829" s="326"/>
      <c r="G829" s="326"/>
      <c r="H829" s="326"/>
      <c r="I829" s="326"/>
      <c r="J829" s="326"/>
      <c r="K829" s="326"/>
      <c r="L829" s="326"/>
      <c r="M829" s="326"/>
      <c r="N829" s="326"/>
      <c r="O829" s="326"/>
      <c r="P829" s="326"/>
      <c r="Q829" s="326"/>
      <c r="R829" s="326"/>
      <c r="S829" s="326"/>
      <c r="T829" s="326"/>
      <c r="U829" s="326"/>
      <c r="V829" s="326"/>
      <c r="W829" s="326"/>
      <c r="X829" s="326"/>
      <c r="Y829" s="326"/>
    </row>
    <row r="830">
      <c r="A830" s="326"/>
      <c r="B830" s="326"/>
      <c r="C830" s="326"/>
      <c r="D830" s="326"/>
      <c r="E830" s="326"/>
      <c r="F830" s="326"/>
      <c r="G830" s="326"/>
      <c r="H830" s="326"/>
      <c r="I830" s="326"/>
      <c r="J830" s="326"/>
      <c r="K830" s="326"/>
      <c r="L830" s="326"/>
      <c r="M830" s="326"/>
      <c r="N830" s="326"/>
      <c r="O830" s="326"/>
      <c r="P830" s="326"/>
      <c r="Q830" s="326"/>
      <c r="R830" s="326"/>
      <c r="S830" s="326"/>
      <c r="T830" s="326"/>
      <c r="U830" s="326"/>
      <c r="V830" s="326"/>
      <c r="W830" s="326"/>
      <c r="X830" s="326"/>
      <c r="Y830" s="326"/>
    </row>
    <row r="831">
      <c r="A831" s="326"/>
      <c r="B831" s="326"/>
      <c r="C831" s="326"/>
      <c r="D831" s="326"/>
      <c r="E831" s="326"/>
      <c r="F831" s="326"/>
      <c r="G831" s="326"/>
      <c r="H831" s="326"/>
      <c r="I831" s="326"/>
      <c r="J831" s="326"/>
      <c r="K831" s="326"/>
      <c r="L831" s="326"/>
      <c r="M831" s="326"/>
      <c r="N831" s="326"/>
      <c r="O831" s="326"/>
      <c r="P831" s="326"/>
      <c r="Q831" s="326"/>
      <c r="R831" s="326"/>
      <c r="S831" s="326"/>
      <c r="T831" s="326"/>
      <c r="U831" s="326"/>
      <c r="V831" s="326"/>
      <c r="W831" s="326"/>
      <c r="X831" s="326"/>
      <c r="Y831" s="326"/>
    </row>
    <row r="832">
      <c r="A832" s="326"/>
      <c r="B832" s="326"/>
      <c r="C832" s="326"/>
      <c r="D832" s="326"/>
      <c r="E832" s="326"/>
      <c r="F832" s="326"/>
      <c r="G832" s="326"/>
      <c r="H832" s="326"/>
      <c r="I832" s="326"/>
      <c r="J832" s="326"/>
      <c r="K832" s="326"/>
      <c r="L832" s="326"/>
      <c r="M832" s="326"/>
      <c r="N832" s="326"/>
      <c r="O832" s="326"/>
      <c r="P832" s="326"/>
      <c r="Q832" s="326"/>
      <c r="R832" s="326"/>
      <c r="S832" s="326"/>
      <c r="T832" s="326"/>
      <c r="U832" s="326"/>
      <c r="V832" s="326"/>
      <c r="W832" s="326"/>
      <c r="X832" s="326"/>
      <c r="Y832" s="326"/>
    </row>
    <row r="833">
      <c r="A833" s="326"/>
      <c r="B833" s="326"/>
      <c r="C833" s="326"/>
      <c r="D833" s="326"/>
      <c r="E833" s="326"/>
      <c r="F833" s="326"/>
      <c r="G833" s="326"/>
      <c r="H833" s="326"/>
      <c r="I833" s="326"/>
      <c r="J833" s="326"/>
      <c r="K833" s="326"/>
      <c r="L833" s="326"/>
      <c r="M833" s="326"/>
      <c r="N833" s="326"/>
      <c r="O833" s="326"/>
      <c r="P833" s="326"/>
      <c r="Q833" s="326"/>
      <c r="R833" s="326"/>
      <c r="S833" s="326"/>
      <c r="T833" s="326"/>
      <c r="U833" s="326"/>
      <c r="V833" s="326"/>
      <c r="W833" s="326"/>
      <c r="X833" s="326"/>
      <c r="Y833" s="326"/>
    </row>
    <row r="834">
      <c r="A834" s="326"/>
      <c r="B834" s="326"/>
      <c r="C834" s="326"/>
      <c r="D834" s="326"/>
      <c r="E834" s="326"/>
      <c r="F834" s="326"/>
      <c r="G834" s="326"/>
      <c r="H834" s="326"/>
      <c r="I834" s="326"/>
      <c r="J834" s="326"/>
      <c r="K834" s="326"/>
      <c r="L834" s="326"/>
      <c r="M834" s="326"/>
      <c r="N834" s="326"/>
      <c r="O834" s="326"/>
      <c r="P834" s="326"/>
      <c r="Q834" s="326"/>
      <c r="R834" s="326"/>
      <c r="S834" s="326"/>
      <c r="T834" s="326"/>
      <c r="U834" s="326"/>
      <c r="V834" s="326"/>
      <c r="W834" s="326"/>
      <c r="X834" s="326"/>
      <c r="Y834" s="326"/>
    </row>
    <row r="835">
      <c r="A835" s="326"/>
      <c r="B835" s="326"/>
      <c r="C835" s="326"/>
      <c r="D835" s="326"/>
      <c r="E835" s="326"/>
      <c r="F835" s="326"/>
      <c r="G835" s="326"/>
      <c r="H835" s="326"/>
      <c r="I835" s="326"/>
      <c r="J835" s="326"/>
      <c r="K835" s="326"/>
      <c r="L835" s="326"/>
      <c r="M835" s="326"/>
      <c r="N835" s="326"/>
      <c r="O835" s="326"/>
      <c r="P835" s="326"/>
      <c r="Q835" s="326"/>
      <c r="R835" s="326"/>
      <c r="S835" s="326"/>
      <c r="T835" s="326"/>
      <c r="U835" s="326"/>
      <c r="V835" s="326"/>
      <c r="W835" s="326"/>
      <c r="X835" s="326"/>
      <c r="Y835" s="326"/>
    </row>
    <row r="836">
      <c r="A836" s="326"/>
      <c r="B836" s="326"/>
      <c r="C836" s="326"/>
      <c r="D836" s="326"/>
      <c r="E836" s="326"/>
      <c r="F836" s="326"/>
      <c r="G836" s="326"/>
      <c r="H836" s="326"/>
      <c r="I836" s="326"/>
      <c r="J836" s="326"/>
      <c r="K836" s="326"/>
      <c r="L836" s="326"/>
      <c r="M836" s="326"/>
      <c r="N836" s="326"/>
      <c r="O836" s="326"/>
      <c r="P836" s="326"/>
      <c r="Q836" s="326"/>
      <c r="R836" s="326"/>
      <c r="S836" s="326"/>
      <c r="T836" s="326"/>
      <c r="U836" s="326"/>
      <c r="V836" s="326"/>
      <c r="W836" s="326"/>
      <c r="X836" s="326"/>
      <c r="Y836" s="326"/>
    </row>
    <row r="837">
      <c r="A837" s="326"/>
      <c r="B837" s="326"/>
      <c r="C837" s="326"/>
      <c r="D837" s="326"/>
      <c r="E837" s="326"/>
      <c r="F837" s="326"/>
      <c r="G837" s="326"/>
      <c r="H837" s="326"/>
      <c r="I837" s="326"/>
      <c r="J837" s="326"/>
      <c r="K837" s="326"/>
      <c r="L837" s="326"/>
      <c r="M837" s="326"/>
      <c r="N837" s="326"/>
      <c r="O837" s="326"/>
      <c r="P837" s="326"/>
      <c r="Q837" s="326"/>
      <c r="R837" s="326"/>
      <c r="S837" s="326"/>
      <c r="T837" s="326"/>
      <c r="U837" s="326"/>
      <c r="V837" s="326"/>
      <c r="W837" s="326"/>
      <c r="X837" s="326"/>
      <c r="Y837" s="326"/>
    </row>
    <row r="838">
      <c r="A838" s="326"/>
      <c r="B838" s="326"/>
      <c r="C838" s="326"/>
      <c r="D838" s="326"/>
      <c r="E838" s="326"/>
      <c r="F838" s="326"/>
      <c r="G838" s="326"/>
      <c r="H838" s="326"/>
      <c r="I838" s="326"/>
      <c r="J838" s="326"/>
      <c r="K838" s="326"/>
      <c r="L838" s="326"/>
      <c r="M838" s="326"/>
      <c r="N838" s="326"/>
      <c r="O838" s="326"/>
      <c r="P838" s="326"/>
      <c r="Q838" s="326"/>
      <c r="R838" s="326"/>
      <c r="S838" s="326"/>
      <c r="T838" s="326"/>
      <c r="U838" s="326"/>
      <c r="V838" s="326"/>
      <c r="W838" s="326"/>
      <c r="X838" s="326"/>
      <c r="Y838" s="326"/>
    </row>
    <row r="839">
      <c r="A839" s="326"/>
      <c r="B839" s="326"/>
      <c r="C839" s="326"/>
      <c r="D839" s="326"/>
      <c r="E839" s="326"/>
      <c r="F839" s="326"/>
      <c r="G839" s="326"/>
      <c r="H839" s="326"/>
      <c r="I839" s="326"/>
      <c r="J839" s="326"/>
      <c r="K839" s="326"/>
      <c r="L839" s="326"/>
      <c r="M839" s="326"/>
      <c r="N839" s="326"/>
      <c r="O839" s="326"/>
      <c r="P839" s="326"/>
      <c r="Q839" s="326"/>
      <c r="R839" s="326"/>
      <c r="S839" s="326"/>
      <c r="T839" s="326"/>
      <c r="U839" s="326"/>
      <c r="V839" s="326"/>
      <c r="W839" s="326"/>
      <c r="X839" s="326"/>
      <c r="Y839" s="326"/>
    </row>
    <row r="840">
      <c r="A840" s="326"/>
      <c r="B840" s="326"/>
      <c r="C840" s="326"/>
      <c r="D840" s="326"/>
      <c r="E840" s="326"/>
      <c r="F840" s="326"/>
      <c r="G840" s="326"/>
      <c r="H840" s="326"/>
      <c r="I840" s="326"/>
      <c r="J840" s="326"/>
      <c r="K840" s="326"/>
      <c r="L840" s="326"/>
      <c r="M840" s="326"/>
      <c r="N840" s="326"/>
      <c r="O840" s="326"/>
      <c r="P840" s="326"/>
      <c r="Q840" s="326"/>
      <c r="R840" s="326"/>
      <c r="S840" s="326"/>
      <c r="T840" s="326"/>
      <c r="U840" s="326"/>
      <c r="V840" s="326"/>
      <c r="W840" s="326"/>
      <c r="X840" s="326"/>
      <c r="Y840" s="326"/>
    </row>
    <row r="841">
      <c r="A841" s="326"/>
      <c r="B841" s="326"/>
      <c r="C841" s="326"/>
      <c r="D841" s="326"/>
      <c r="E841" s="326"/>
      <c r="F841" s="326"/>
      <c r="G841" s="326"/>
      <c r="H841" s="326"/>
      <c r="I841" s="326"/>
      <c r="J841" s="326"/>
      <c r="K841" s="326"/>
      <c r="L841" s="326"/>
      <c r="M841" s="326"/>
      <c r="N841" s="326"/>
      <c r="O841" s="326"/>
      <c r="P841" s="326"/>
      <c r="Q841" s="326"/>
      <c r="R841" s="326"/>
      <c r="S841" s="326"/>
      <c r="T841" s="326"/>
      <c r="U841" s="326"/>
      <c r="V841" s="326"/>
      <c r="W841" s="326"/>
      <c r="X841" s="326"/>
      <c r="Y841" s="326"/>
    </row>
    <row r="842">
      <c r="A842" s="326"/>
      <c r="B842" s="326"/>
      <c r="C842" s="326"/>
      <c r="D842" s="326"/>
      <c r="E842" s="326"/>
      <c r="F842" s="326"/>
      <c r="G842" s="326"/>
      <c r="H842" s="326"/>
      <c r="I842" s="326"/>
      <c r="J842" s="326"/>
      <c r="K842" s="326"/>
      <c r="L842" s="326"/>
      <c r="M842" s="326"/>
      <c r="N842" s="326"/>
      <c r="O842" s="326"/>
      <c r="P842" s="326"/>
      <c r="Q842" s="326"/>
      <c r="R842" s="326"/>
      <c r="S842" s="326"/>
      <c r="T842" s="326"/>
      <c r="U842" s="326"/>
      <c r="V842" s="326"/>
      <c r="W842" s="326"/>
      <c r="X842" s="326"/>
      <c r="Y842" s="326"/>
    </row>
    <row r="843">
      <c r="A843" s="326"/>
      <c r="B843" s="326"/>
      <c r="C843" s="326"/>
      <c r="D843" s="326"/>
      <c r="E843" s="326"/>
      <c r="F843" s="326"/>
      <c r="G843" s="326"/>
      <c r="H843" s="326"/>
      <c r="I843" s="326"/>
      <c r="J843" s="326"/>
      <c r="K843" s="326"/>
      <c r="L843" s="326"/>
      <c r="M843" s="326"/>
      <c r="N843" s="326"/>
      <c r="O843" s="326"/>
      <c r="P843" s="326"/>
      <c r="Q843" s="326"/>
      <c r="R843" s="326"/>
      <c r="S843" s="326"/>
      <c r="T843" s="326"/>
      <c r="U843" s="326"/>
      <c r="V843" s="326"/>
      <c r="W843" s="326"/>
      <c r="X843" s="326"/>
      <c r="Y843" s="326"/>
    </row>
    <row r="844">
      <c r="A844" s="326"/>
      <c r="B844" s="326"/>
      <c r="C844" s="326"/>
      <c r="D844" s="326"/>
      <c r="E844" s="326"/>
      <c r="F844" s="326"/>
      <c r="G844" s="326"/>
      <c r="H844" s="326"/>
      <c r="I844" s="326"/>
      <c r="J844" s="326"/>
      <c r="K844" s="326"/>
      <c r="L844" s="326"/>
      <c r="M844" s="326"/>
      <c r="N844" s="326"/>
      <c r="O844" s="326"/>
      <c r="P844" s="326"/>
      <c r="Q844" s="326"/>
      <c r="R844" s="326"/>
      <c r="S844" s="326"/>
      <c r="T844" s="326"/>
      <c r="U844" s="326"/>
      <c r="V844" s="326"/>
      <c r="W844" s="326"/>
      <c r="X844" s="326"/>
      <c r="Y844" s="326"/>
    </row>
    <row r="845">
      <c r="A845" s="326"/>
      <c r="B845" s="326"/>
      <c r="C845" s="326"/>
      <c r="D845" s="326"/>
      <c r="E845" s="326"/>
      <c r="F845" s="326"/>
      <c r="G845" s="326"/>
      <c r="H845" s="326"/>
      <c r="I845" s="326"/>
      <c r="J845" s="326"/>
      <c r="K845" s="326"/>
      <c r="L845" s="326"/>
      <c r="M845" s="326"/>
      <c r="N845" s="326"/>
      <c r="O845" s="326"/>
      <c r="P845" s="326"/>
      <c r="Q845" s="326"/>
      <c r="R845" s="326"/>
      <c r="S845" s="326"/>
      <c r="T845" s="326"/>
      <c r="U845" s="326"/>
      <c r="V845" s="326"/>
      <c r="W845" s="326"/>
      <c r="X845" s="326"/>
      <c r="Y845" s="326"/>
    </row>
    <row r="846">
      <c r="A846" s="326"/>
      <c r="B846" s="326"/>
      <c r="C846" s="326"/>
      <c r="D846" s="326"/>
      <c r="E846" s="326"/>
      <c r="F846" s="326"/>
      <c r="G846" s="326"/>
      <c r="H846" s="326"/>
      <c r="I846" s="326"/>
      <c r="J846" s="326"/>
      <c r="K846" s="326"/>
      <c r="L846" s="326"/>
      <c r="M846" s="326"/>
      <c r="N846" s="326"/>
      <c r="O846" s="326"/>
      <c r="P846" s="326"/>
      <c r="Q846" s="326"/>
      <c r="R846" s="326"/>
      <c r="S846" s="326"/>
      <c r="T846" s="326"/>
      <c r="U846" s="326"/>
      <c r="V846" s="326"/>
      <c r="W846" s="326"/>
      <c r="X846" s="326"/>
      <c r="Y846" s="326"/>
    </row>
    <row r="847">
      <c r="A847" s="326"/>
      <c r="B847" s="326"/>
      <c r="C847" s="326"/>
      <c r="D847" s="326"/>
      <c r="E847" s="326"/>
      <c r="F847" s="326"/>
      <c r="G847" s="326"/>
      <c r="H847" s="326"/>
      <c r="I847" s="326"/>
      <c r="J847" s="326"/>
      <c r="K847" s="326"/>
      <c r="L847" s="326"/>
      <c r="M847" s="326"/>
      <c r="N847" s="326"/>
      <c r="O847" s="326"/>
      <c r="P847" s="326"/>
      <c r="Q847" s="326"/>
      <c r="R847" s="326"/>
      <c r="S847" s="326"/>
      <c r="T847" s="326"/>
      <c r="U847" s="326"/>
      <c r="V847" s="326"/>
      <c r="W847" s="326"/>
      <c r="X847" s="326"/>
      <c r="Y847" s="326"/>
    </row>
    <row r="848">
      <c r="A848" s="326"/>
      <c r="B848" s="326"/>
      <c r="C848" s="326"/>
      <c r="D848" s="326"/>
      <c r="E848" s="326"/>
      <c r="F848" s="326"/>
      <c r="G848" s="326"/>
      <c r="H848" s="326"/>
      <c r="I848" s="326"/>
      <c r="J848" s="326"/>
      <c r="K848" s="326"/>
      <c r="L848" s="326"/>
      <c r="M848" s="326"/>
      <c r="N848" s="326"/>
      <c r="O848" s="326"/>
      <c r="P848" s="326"/>
      <c r="Q848" s="326"/>
      <c r="R848" s="326"/>
      <c r="S848" s="326"/>
      <c r="T848" s="326"/>
      <c r="U848" s="326"/>
      <c r="V848" s="326"/>
      <c r="W848" s="326"/>
      <c r="X848" s="326"/>
      <c r="Y848" s="326"/>
    </row>
    <row r="849">
      <c r="A849" s="326"/>
      <c r="B849" s="326"/>
      <c r="C849" s="326"/>
      <c r="D849" s="326"/>
      <c r="E849" s="326"/>
      <c r="F849" s="326"/>
      <c r="G849" s="326"/>
      <c r="H849" s="326"/>
      <c r="I849" s="326"/>
      <c r="J849" s="326"/>
      <c r="K849" s="326"/>
      <c r="L849" s="326"/>
      <c r="M849" s="326"/>
      <c r="N849" s="326"/>
      <c r="O849" s="326"/>
      <c r="P849" s="326"/>
      <c r="Q849" s="326"/>
      <c r="R849" s="326"/>
      <c r="S849" s="326"/>
      <c r="T849" s="326"/>
      <c r="U849" s="326"/>
      <c r="V849" s="326"/>
      <c r="W849" s="326"/>
      <c r="X849" s="326"/>
      <c r="Y849" s="326"/>
    </row>
    <row r="850">
      <c r="A850" s="326"/>
      <c r="B850" s="326"/>
      <c r="C850" s="326"/>
      <c r="D850" s="326"/>
      <c r="E850" s="326"/>
      <c r="F850" s="326"/>
      <c r="G850" s="326"/>
      <c r="H850" s="326"/>
      <c r="I850" s="326"/>
      <c r="J850" s="326"/>
      <c r="K850" s="326"/>
      <c r="L850" s="326"/>
      <c r="M850" s="326"/>
      <c r="N850" s="326"/>
      <c r="O850" s="326"/>
      <c r="P850" s="326"/>
      <c r="Q850" s="326"/>
      <c r="R850" s="326"/>
      <c r="S850" s="326"/>
      <c r="T850" s="326"/>
      <c r="U850" s="326"/>
      <c r="V850" s="326"/>
      <c r="W850" s="326"/>
      <c r="X850" s="326"/>
      <c r="Y850" s="326"/>
    </row>
    <row r="851">
      <c r="A851" s="326"/>
      <c r="B851" s="326"/>
      <c r="C851" s="326"/>
      <c r="D851" s="326"/>
      <c r="E851" s="326"/>
      <c r="F851" s="326"/>
      <c r="G851" s="326"/>
      <c r="H851" s="326"/>
      <c r="I851" s="326"/>
      <c r="J851" s="326"/>
      <c r="K851" s="326"/>
      <c r="L851" s="326"/>
      <c r="M851" s="326"/>
      <c r="N851" s="326"/>
      <c r="O851" s="326"/>
      <c r="P851" s="326"/>
      <c r="Q851" s="326"/>
      <c r="R851" s="326"/>
      <c r="S851" s="326"/>
      <c r="T851" s="326"/>
      <c r="U851" s="326"/>
      <c r="V851" s="326"/>
      <c r="W851" s="326"/>
      <c r="X851" s="326"/>
      <c r="Y851" s="326"/>
    </row>
    <row r="852">
      <c r="A852" s="326"/>
      <c r="B852" s="326"/>
      <c r="C852" s="326"/>
      <c r="D852" s="326"/>
      <c r="E852" s="326"/>
      <c r="F852" s="326"/>
      <c r="G852" s="326"/>
      <c r="H852" s="326"/>
      <c r="I852" s="326"/>
      <c r="J852" s="326"/>
      <c r="K852" s="326"/>
      <c r="L852" s="326"/>
      <c r="M852" s="326"/>
      <c r="N852" s="326"/>
      <c r="O852" s="326"/>
      <c r="P852" s="326"/>
      <c r="Q852" s="326"/>
      <c r="R852" s="326"/>
      <c r="S852" s="326"/>
      <c r="T852" s="326"/>
      <c r="U852" s="326"/>
      <c r="V852" s="326"/>
      <c r="W852" s="326"/>
      <c r="X852" s="326"/>
      <c r="Y852" s="326"/>
    </row>
    <row r="853">
      <c r="A853" s="326"/>
      <c r="B853" s="326"/>
      <c r="C853" s="326"/>
      <c r="D853" s="326"/>
      <c r="E853" s="326"/>
      <c r="F853" s="326"/>
      <c r="G853" s="326"/>
      <c r="H853" s="326"/>
      <c r="I853" s="326"/>
      <c r="J853" s="326"/>
      <c r="K853" s="326"/>
      <c r="L853" s="326"/>
      <c r="M853" s="326"/>
      <c r="N853" s="326"/>
      <c r="O853" s="326"/>
      <c r="P853" s="326"/>
      <c r="Q853" s="326"/>
      <c r="R853" s="326"/>
      <c r="S853" s="326"/>
      <c r="T853" s="326"/>
      <c r="U853" s="326"/>
      <c r="V853" s="326"/>
      <c r="W853" s="326"/>
      <c r="X853" s="326"/>
      <c r="Y853" s="326"/>
    </row>
    <row r="854">
      <c r="A854" s="326"/>
      <c r="B854" s="326"/>
      <c r="C854" s="326"/>
      <c r="D854" s="326"/>
      <c r="E854" s="326"/>
      <c r="F854" s="326"/>
      <c r="G854" s="326"/>
      <c r="H854" s="326"/>
      <c r="I854" s="326"/>
      <c r="J854" s="326"/>
      <c r="K854" s="326"/>
      <c r="L854" s="326"/>
      <c r="M854" s="326"/>
      <c r="N854" s="326"/>
      <c r="O854" s="326"/>
      <c r="P854" s="326"/>
      <c r="Q854" s="326"/>
      <c r="R854" s="326"/>
      <c r="S854" s="326"/>
      <c r="T854" s="326"/>
      <c r="U854" s="326"/>
      <c r="V854" s="326"/>
      <c r="W854" s="326"/>
      <c r="X854" s="326"/>
      <c r="Y854" s="326"/>
    </row>
    <row r="855">
      <c r="A855" s="326"/>
      <c r="B855" s="326"/>
      <c r="C855" s="326"/>
      <c r="D855" s="326"/>
      <c r="E855" s="326"/>
      <c r="F855" s="326"/>
      <c r="G855" s="326"/>
      <c r="H855" s="326"/>
      <c r="I855" s="326"/>
      <c r="J855" s="326"/>
      <c r="K855" s="326"/>
      <c r="L855" s="326"/>
      <c r="M855" s="326"/>
      <c r="N855" s="326"/>
      <c r="O855" s="326"/>
      <c r="P855" s="326"/>
      <c r="Q855" s="326"/>
      <c r="R855" s="326"/>
      <c r="S855" s="326"/>
      <c r="T855" s="326"/>
      <c r="U855" s="326"/>
      <c r="V855" s="326"/>
      <c r="W855" s="326"/>
      <c r="X855" s="326"/>
      <c r="Y855" s="326"/>
    </row>
    <row r="856">
      <c r="A856" s="326"/>
      <c r="B856" s="326"/>
      <c r="C856" s="326"/>
      <c r="D856" s="326"/>
      <c r="E856" s="326"/>
      <c r="F856" s="326"/>
      <c r="G856" s="326"/>
      <c r="H856" s="326"/>
      <c r="I856" s="326"/>
      <c r="J856" s="326"/>
      <c r="K856" s="326"/>
      <c r="L856" s="326"/>
      <c r="M856" s="326"/>
      <c r="N856" s="326"/>
      <c r="O856" s="326"/>
      <c r="P856" s="326"/>
      <c r="Q856" s="326"/>
      <c r="R856" s="326"/>
      <c r="S856" s="326"/>
      <c r="T856" s="326"/>
      <c r="U856" s="326"/>
      <c r="V856" s="326"/>
      <c r="W856" s="326"/>
      <c r="X856" s="326"/>
      <c r="Y856" s="326"/>
    </row>
    <row r="857">
      <c r="A857" s="326"/>
      <c r="B857" s="326"/>
      <c r="C857" s="326"/>
      <c r="D857" s="326"/>
      <c r="E857" s="326"/>
      <c r="F857" s="326"/>
      <c r="G857" s="326"/>
      <c r="H857" s="326"/>
      <c r="I857" s="326"/>
      <c r="J857" s="326"/>
      <c r="K857" s="326"/>
      <c r="L857" s="326"/>
      <c r="M857" s="326"/>
      <c r="N857" s="326"/>
      <c r="O857" s="326"/>
      <c r="P857" s="326"/>
      <c r="Q857" s="326"/>
      <c r="R857" s="326"/>
      <c r="S857" s="326"/>
      <c r="T857" s="326"/>
      <c r="U857" s="326"/>
      <c r="V857" s="326"/>
      <c r="W857" s="326"/>
      <c r="X857" s="326"/>
      <c r="Y857" s="326"/>
    </row>
    <row r="858">
      <c r="A858" s="326"/>
      <c r="B858" s="326"/>
      <c r="C858" s="326"/>
      <c r="D858" s="326"/>
      <c r="E858" s="326"/>
      <c r="F858" s="326"/>
      <c r="G858" s="326"/>
      <c r="H858" s="326"/>
      <c r="I858" s="326"/>
      <c r="J858" s="326"/>
      <c r="K858" s="326"/>
      <c r="L858" s="326"/>
      <c r="M858" s="326"/>
      <c r="N858" s="326"/>
      <c r="O858" s="326"/>
      <c r="P858" s="326"/>
      <c r="Q858" s="326"/>
      <c r="R858" s="326"/>
      <c r="S858" s="326"/>
      <c r="T858" s="326"/>
      <c r="U858" s="326"/>
      <c r="V858" s="326"/>
      <c r="W858" s="326"/>
      <c r="X858" s="326"/>
      <c r="Y858" s="326"/>
    </row>
    <row r="859">
      <c r="A859" s="326"/>
      <c r="B859" s="326"/>
      <c r="C859" s="326"/>
      <c r="D859" s="326"/>
      <c r="E859" s="326"/>
      <c r="F859" s="326"/>
      <c r="G859" s="326"/>
      <c r="H859" s="326"/>
      <c r="I859" s="326"/>
      <c r="J859" s="326"/>
      <c r="K859" s="326"/>
      <c r="L859" s="326"/>
      <c r="M859" s="326"/>
      <c r="N859" s="326"/>
      <c r="O859" s="326"/>
      <c r="P859" s="326"/>
      <c r="Q859" s="326"/>
      <c r="R859" s="326"/>
      <c r="S859" s="326"/>
      <c r="T859" s="326"/>
      <c r="U859" s="326"/>
      <c r="V859" s="326"/>
      <c r="W859" s="326"/>
      <c r="X859" s="326"/>
      <c r="Y859" s="326"/>
    </row>
    <row r="860">
      <c r="A860" s="326"/>
      <c r="B860" s="326"/>
      <c r="C860" s="326"/>
      <c r="D860" s="326"/>
      <c r="E860" s="326"/>
      <c r="F860" s="326"/>
      <c r="G860" s="326"/>
      <c r="H860" s="326"/>
      <c r="I860" s="326"/>
      <c r="J860" s="326"/>
      <c r="K860" s="326"/>
      <c r="L860" s="326"/>
      <c r="M860" s="326"/>
      <c r="N860" s="326"/>
      <c r="O860" s="326"/>
      <c r="P860" s="326"/>
      <c r="Q860" s="326"/>
      <c r="R860" s="326"/>
      <c r="S860" s="326"/>
      <c r="T860" s="326"/>
      <c r="U860" s="326"/>
      <c r="V860" s="326"/>
      <c r="W860" s="326"/>
      <c r="X860" s="326"/>
      <c r="Y860" s="326"/>
    </row>
    <row r="861">
      <c r="A861" s="326"/>
      <c r="B861" s="326"/>
      <c r="C861" s="326"/>
      <c r="D861" s="326"/>
      <c r="E861" s="326"/>
      <c r="F861" s="326"/>
      <c r="G861" s="326"/>
      <c r="H861" s="326"/>
      <c r="I861" s="326"/>
      <c r="J861" s="326"/>
      <c r="K861" s="326"/>
      <c r="L861" s="326"/>
      <c r="M861" s="326"/>
      <c r="N861" s="326"/>
      <c r="O861" s="326"/>
      <c r="P861" s="326"/>
      <c r="Q861" s="326"/>
      <c r="R861" s="326"/>
      <c r="S861" s="326"/>
      <c r="T861" s="326"/>
      <c r="U861" s="326"/>
      <c r="V861" s="326"/>
      <c r="W861" s="326"/>
      <c r="X861" s="326"/>
      <c r="Y861" s="326"/>
    </row>
    <row r="862">
      <c r="A862" s="326"/>
      <c r="B862" s="326"/>
      <c r="C862" s="326"/>
      <c r="D862" s="326"/>
      <c r="E862" s="326"/>
      <c r="F862" s="326"/>
      <c r="G862" s="326"/>
      <c r="H862" s="326"/>
      <c r="I862" s="326"/>
      <c r="J862" s="326"/>
      <c r="K862" s="326"/>
      <c r="L862" s="326"/>
      <c r="M862" s="326"/>
      <c r="N862" s="326"/>
      <c r="O862" s="326"/>
      <c r="P862" s="326"/>
      <c r="Q862" s="326"/>
      <c r="R862" s="326"/>
      <c r="S862" s="326"/>
      <c r="T862" s="326"/>
      <c r="U862" s="326"/>
      <c r="V862" s="326"/>
      <c r="W862" s="326"/>
      <c r="X862" s="326"/>
      <c r="Y862" s="326"/>
    </row>
    <row r="863">
      <c r="A863" s="326"/>
      <c r="B863" s="326"/>
      <c r="C863" s="326"/>
      <c r="D863" s="326"/>
      <c r="E863" s="326"/>
      <c r="F863" s="326"/>
      <c r="G863" s="326"/>
      <c r="H863" s="326"/>
      <c r="I863" s="326"/>
      <c r="J863" s="326"/>
      <c r="K863" s="326"/>
      <c r="L863" s="326"/>
      <c r="M863" s="326"/>
      <c r="N863" s="326"/>
      <c r="O863" s="326"/>
      <c r="P863" s="326"/>
      <c r="Q863" s="326"/>
      <c r="R863" s="326"/>
      <c r="S863" s="326"/>
      <c r="T863" s="326"/>
      <c r="U863" s="326"/>
      <c r="V863" s="326"/>
      <c r="W863" s="326"/>
      <c r="X863" s="326"/>
      <c r="Y863" s="326"/>
    </row>
    <row r="864">
      <c r="A864" s="326"/>
      <c r="B864" s="326"/>
      <c r="C864" s="326"/>
      <c r="D864" s="326"/>
      <c r="E864" s="326"/>
      <c r="F864" s="326"/>
      <c r="G864" s="326"/>
      <c r="H864" s="326"/>
      <c r="I864" s="326"/>
      <c r="J864" s="326"/>
      <c r="K864" s="326"/>
      <c r="L864" s="326"/>
      <c r="M864" s="326"/>
      <c r="N864" s="326"/>
      <c r="O864" s="326"/>
      <c r="P864" s="326"/>
      <c r="Q864" s="326"/>
      <c r="R864" s="326"/>
      <c r="S864" s="326"/>
      <c r="T864" s="326"/>
      <c r="U864" s="326"/>
      <c r="V864" s="326"/>
      <c r="W864" s="326"/>
      <c r="X864" s="326"/>
      <c r="Y864" s="326"/>
    </row>
    <row r="865">
      <c r="A865" s="326"/>
      <c r="B865" s="326"/>
      <c r="C865" s="326"/>
      <c r="D865" s="326"/>
      <c r="E865" s="326"/>
      <c r="F865" s="326"/>
      <c r="G865" s="326"/>
      <c r="H865" s="326"/>
      <c r="I865" s="326"/>
      <c r="J865" s="326"/>
      <c r="K865" s="326"/>
      <c r="L865" s="326"/>
      <c r="M865" s="326"/>
      <c r="N865" s="326"/>
      <c r="O865" s="326"/>
      <c r="P865" s="326"/>
      <c r="Q865" s="326"/>
      <c r="R865" s="326"/>
      <c r="S865" s="326"/>
      <c r="T865" s="326"/>
      <c r="U865" s="326"/>
      <c r="V865" s="326"/>
      <c r="W865" s="326"/>
      <c r="X865" s="326"/>
      <c r="Y865" s="326"/>
    </row>
    <row r="866">
      <c r="A866" s="326"/>
      <c r="B866" s="326"/>
      <c r="C866" s="326"/>
      <c r="D866" s="326"/>
      <c r="E866" s="326"/>
      <c r="F866" s="326"/>
      <c r="G866" s="326"/>
      <c r="H866" s="326"/>
      <c r="I866" s="326"/>
      <c r="J866" s="326"/>
      <c r="K866" s="326"/>
      <c r="L866" s="326"/>
      <c r="M866" s="326"/>
      <c r="N866" s="326"/>
      <c r="O866" s="326"/>
      <c r="P866" s="326"/>
      <c r="Q866" s="326"/>
      <c r="R866" s="326"/>
      <c r="S866" s="326"/>
      <c r="T866" s="326"/>
      <c r="U866" s="326"/>
      <c r="V866" s="326"/>
      <c r="W866" s="326"/>
      <c r="X866" s="326"/>
      <c r="Y866" s="326"/>
    </row>
    <row r="867">
      <c r="A867" s="326"/>
      <c r="B867" s="326"/>
      <c r="C867" s="326"/>
      <c r="D867" s="326"/>
      <c r="E867" s="326"/>
      <c r="F867" s="326"/>
      <c r="G867" s="326"/>
      <c r="H867" s="326"/>
      <c r="I867" s="326"/>
      <c r="J867" s="326"/>
      <c r="K867" s="326"/>
      <c r="L867" s="326"/>
      <c r="M867" s="326"/>
      <c r="N867" s="326"/>
      <c r="O867" s="326"/>
      <c r="P867" s="326"/>
      <c r="Q867" s="326"/>
      <c r="R867" s="326"/>
      <c r="S867" s="326"/>
      <c r="T867" s="326"/>
      <c r="U867" s="326"/>
      <c r="V867" s="326"/>
      <c r="W867" s="326"/>
      <c r="X867" s="326"/>
      <c r="Y867" s="326"/>
    </row>
    <row r="868">
      <c r="A868" s="326"/>
      <c r="B868" s="326"/>
      <c r="C868" s="326"/>
      <c r="D868" s="326"/>
      <c r="E868" s="326"/>
      <c r="F868" s="326"/>
      <c r="G868" s="326"/>
      <c r="H868" s="326"/>
      <c r="I868" s="326"/>
      <c r="J868" s="326"/>
      <c r="K868" s="326"/>
      <c r="L868" s="326"/>
      <c r="M868" s="326"/>
      <c r="N868" s="326"/>
      <c r="O868" s="326"/>
      <c r="P868" s="326"/>
      <c r="Q868" s="326"/>
      <c r="R868" s="326"/>
      <c r="S868" s="326"/>
      <c r="T868" s="326"/>
      <c r="U868" s="326"/>
      <c r="V868" s="326"/>
      <c r="W868" s="326"/>
      <c r="X868" s="326"/>
      <c r="Y868" s="326"/>
    </row>
    <row r="869">
      <c r="A869" s="326"/>
      <c r="B869" s="326"/>
      <c r="C869" s="326"/>
      <c r="D869" s="326"/>
      <c r="E869" s="326"/>
      <c r="F869" s="326"/>
      <c r="G869" s="326"/>
      <c r="H869" s="326"/>
      <c r="I869" s="326"/>
      <c r="J869" s="326"/>
      <c r="K869" s="326"/>
      <c r="L869" s="326"/>
      <c r="M869" s="326"/>
      <c r="N869" s="326"/>
      <c r="O869" s="326"/>
      <c r="P869" s="326"/>
      <c r="Q869" s="326"/>
      <c r="R869" s="326"/>
      <c r="S869" s="326"/>
      <c r="T869" s="326"/>
      <c r="U869" s="326"/>
      <c r="V869" s="326"/>
      <c r="W869" s="326"/>
      <c r="X869" s="326"/>
      <c r="Y869" s="326"/>
    </row>
    <row r="870">
      <c r="A870" s="326"/>
      <c r="B870" s="326"/>
      <c r="C870" s="326"/>
      <c r="D870" s="326"/>
      <c r="E870" s="326"/>
      <c r="F870" s="326"/>
      <c r="G870" s="326"/>
      <c r="H870" s="326"/>
      <c r="I870" s="326"/>
      <c r="J870" s="326"/>
      <c r="K870" s="326"/>
      <c r="L870" s="326"/>
      <c r="M870" s="326"/>
      <c r="N870" s="326"/>
      <c r="O870" s="326"/>
      <c r="P870" s="326"/>
      <c r="Q870" s="326"/>
      <c r="R870" s="326"/>
      <c r="S870" s="326"/>
      <c r="T870" s="326"/>
      <c r="U870" s="326"/>
      <c r="V870" s="326"/>
      <c r="W870" s="326"/>
      <c r="X870" s="326"/>
      <c r="Y870" s="326"/>
    </row>
    <row r="871">
      <c r="A871" s="326"/>
      <c r="B871" s="326"/>
      <c r="C871" s="326"/>
      <c r="D871" s="326"/>
      <c r="E871" s="326"/>
      <c r="F871" s="326"/>
      <c r="G871" s="326"/>
      <c r="H871" s="326"/>
      <c r="I871" s="326"/>
      <c r="J871" s="326"/>
      <c r="K871" s="326"/>
      <c r="L871" s="326"/>
      <c r="M871" s="326"/>
      <c r="N871" s="326"/>
      <c r="O871" s="326"/>
      <c r="P871" s="326"/>
      <c r="Q871" s="326"/>
      <c r="R871" s="326"/>
      <c r="S871" s="326"/>
      <c r="T871" s="326"/>
      <c r="U871" s="326"/>
      <c r="V871" s="326"/>
      <c r="W871" s="326"/>
      <c r="X871" s="326"/>
      <c r="Y871" s="326"/>
    </row>
    <row r="872">
      <c r="A872" s="326"/>
      <c r="B872" s="326"/>
      <c r="C872" s="326"/>
      <c r="D872" s="326"/>
      <c r="E872" s="326"/>
      <c r="F872" s="326"/>
      <c r="G872" s="326"/>
      <c r="H872" s="326"/>
      <c r="I872" s="326"/>
      <c r="J872" s="326"/>
      <c r="K872" s="326"/>
      <c r="L872" s="326"/>
      <c r="M872" s="326"/>
      <c r="N872" s="326"/>
      <c r="O872" s="326"/>
      <c r="P872" s="326"/>
      <c r="Q872" s="326"/>
      <c r="R872" s="326"/>
      <c r="S872" s="326"/>
      <c r="T872" s="326"/>
      <c r="U872" s="326"/>
      <c r="V872" s="326"/>
      <c r="W872" s="326"/>
      <c r="X872" s="326"/>
      <c r="Y872" s="326"/>
    </row>
    <row r="873">
      <c r="A873" s="326"/>
      <c r="B873" s="326"/>
      <c r="C873" s="326"/>
      <c r="D873" s="326"/>
      <c r="E873" s="326"/>
      <c r="F873" s="326"/>
      <c r="G873" s="326"/>
      <c r="H873" s="326"/>
      <c r="I873" s="326"/>
      <c r="J873" s="326"/>
      <c r="K873" s="326"/>
      <c r="L873" s="326"/>
      <c r="M873" s="326"/>
      <c r="N873" s="326"/>
      <c r="O873" s="326"/>
      <c r="P873" s="326"/>
      <c r="Q873" s="326"/>
      <c r="R873" s="326"/>
      <c r="S873" s="326"/>
      <c r="T873" s="326"/>
      <c r="U873" s="326"/>
      <c r="V873" s="326"/>
      <c r="W873" s="326"/>
      <c r="X873" s="326"/>
      <c r="Y873" s="326"/>
    </row>
    <row r="874">
      <c r="A874" s="326"/>
      <c r="B874" s="326"/>
      <c r="C874" s="326"/>
      <c r="D874" s="326"/>
      <c r="E874" s="326"/>
      <c r="F874" s="326"/>
      <c r="G874" s="326"/>
      <c r="H874" s="326"/>
      <c r="I874" s="326"/>
      <c r="J874" s="326"/>
      <c r="K874" s="326"/>
      <c r="L874" s="326"/>
      <c r="M874" s="326"/>
      <c r="N874" s="326"/>
      <c r="O874" s="326"/>
      <c r="P874" s="326"/>
      <c r="Q874" s="326"/>
      <c r="R874" s="326"/>
      <c r="S874" s="326"/>
      <c r="T874" s="326"/>
      <c r="U874" s="326"/>
      <c r="V874" s="326"/>
      <c r="W874" s="326"/>
      <c r="X874" s="326"/>
      <c r="Y874" s="326"/>
    </row>
    <row r="875">
      <c r="A875" s="326"/>
      <c r="B875" s="326"/>
      <c r="C875" s="326"/>
      <c r="D875" s="326"/>
      <c r="E875" s="326"/>
      <c r="F875" s="326"/>
      <c r="G875" s="326"/>
      <c r="H875" s="326"/>
      <c r="I875" s="326"/>
      <c r="J875" s="326"/>
      <c r="K875" s="326"/>
      <c r="L875" s="326"/>
      <c r="M875" s="326"/>
      <c r="N875" s="326"/>
      <c r="O875" s="326"/>
      <c r="P875" s="326"/>
      <c r="Q875" s="326"/>
      <c r="R875" s="326"/>
      <c r="S875" s="326"/>
      <c r="T875" s="326"/>
      <c r="U875" s="326"/>
      <c r="V875" s="326"/>
      <c r="W875" s="326"/>
      <c r="X875" s="326"/>
      <c r="Y875" s="326"/>
    </row>
    <row r="876">
      <c r="A876" s="326"/>
      <c r="B876" s="326"/>
      <c r="C876" s="326"/>
      <c r="D876" s="326"/>
      <c r="E876" s="326"/>
      <c r="F876" s="326"/>
      <c r="G876" s="326"/>
      <c r="H876" s="326"/>
      <c r="I876" s="326"/>
      <c r="J876" s="326"/>
      <c r="K876" s="326"/>
      <c r="L876" s="326"/>
      <c r="M876" s="326"/>
      <c r="N876" s="326"/>
      <c r="O876" s="326"/>
      <c r="P876" s="326"/>
      <c r="Q876" s="326"/>
      <c r="R876" s="326"/>
      <c r="S876" s="326"/>
      <c r="T876" s="326"/>
      <c r="U876" s="326"/>
      <c r="V876" s="326"/>
      <c r="W876" s="326"/>
      <c r="X876" s="326"/>
      <c r="Y876" s="326"/>
    </row>
    <row r="877">
      <c r="A877" s="326"/>
      <c r="B877" s="326"/>
      <c r="C877" s="326"/>
      <c r="D877" s="326"/>
      <c r="E877" s="326"/>
      <c r="F877" s="326"/>
      <c r="G877" s="326"/>
      <c r="H877" s="326"/>
      <c r="I877" s="326"/>
      <c r="J877" s="326"/>
      <c r="K877" s="326"/>
      <c r="L877" s="326"/>
      <c r="M877" s="326"/>
      <c r="N877" s="326"/>
      <c r="O877" s="326"/>
      <c r="P877" s="326"/>
      <c r="Q877" s="326"/>
      <c r="R877" s="326"/>
      <c r="S877" s="326"/>
      <c r="T877" s="326"/>
      <c r="U877" s="326"/>
      <c r="V877" s="326"/>
      <c r="W877" s="326"/>
      <c r="X877" s="326"/>
      <c r="Y877" s="326"/>
    </row>
    <row r="878">
      <c r="A878" s="326"/>
      <c r="B878" s="326"/>
      <c r="C878" s="326"/>
      <c r="D878" s="326"/>
      <c r="E878" s="326"/>
      <c r="F878" s="326"/>
      <c r="G878" s="326"/>
      <c r="H878" s="326"/>
      <c r="I878" s="326"/>
      <c r="J878" s="326"/>
      <c r="K878" s="326"/>
      <c r="L878" s="326"/>
      <c r="M878" s="326"/>
      <c r="N878" s="326"/>
      <c r="O878" s="326"/>
      <c r="P878" s="326"/>
      <c r="Q878" s="326"/>
      <c r="R878" s="326"/>
      <c r="S878" s="326"/>
      <c r="T878" s="326"/>
      <c r="U878" s="326"/>
      <c r="V878" s="326"/>
      <c r="W878" s="326"/>
      <c r="X878" s="326"/>
      <c r="Y878" s="326"/>
    </row>
    <row r="879">
      <c r="A879" s="326"/>
      <c r="B879" s="326"/>
      <c r="C879" s="326"/>
      <c r="D879" s="326"/>
      <c r="E879" s="326"/>
      <c r="F879" s="326"/>
      <c r="G879" s="326"/>
      <c r="H879" s="326"/>
      <c r="I879" s="326"/>
      <c r="J879" s="326"/>
      <c r="K879" s="326"/>
      <c r="L879" s="326"/>
      <c r="M879" s="326"/>
      <c r="N879" s="326"/>
      <c r="O879" s="326"/>
      <c r="P879" s="326"/>
      <c r="Q879" s="326"/>
      <c r="R879" s="326"/>
      <c r="S879" s="326"/>
      <c r="T879" s="326"/>
      <c r="U879" s="326"/>
      <c r="V879" s="326"/>
      <c r="W879" s="326"/>
      <c r="X879" s="326"/>
      <c r="Y879" s="326"/>
    </row>
    <row r="880">
      <c r="A880" s="326"/>
      <c r="B880" s="326"/>
      <c r="C880" s="326"/>
      <c r="D880" s="326"/>
      <c r="E880" s="326"/>
      <c r="F880" s="326"/>
      <c r="G880" s="326"/>
      <c r="H880" s="326"/>
      <c r="I880" s="326"/>
      <c r="J880" s="326"/>
      <c r="K880" s="326"/>
      <c r="L880" s="326"/>
      <c r="M880" s="326"/>
      <c r="N880" s="326"/>
      <c r="O880" s="326"/>
      <c r="P880" s="326"/>
      <c r="Q880" s="326"/>
      <c r="R880" s="326"/>
      <c r="S880" s="326"/>
      <c r="T880" s="326"/>
      <c r="U880" s="326"/>
      <c r="V880" s="326"/>
      <c r="W880" s="326"/>
      <c r="X880" s="326"/>
      <c r="Y880" s="326"/>
    </row>
    <row r="881">
      <c r="A881" s="326"/>
      <c r="B881" s="326"/>
      <c r="C881" s="326"/>
      <c r="D881" s="326"/>
      <c r="E881" s="326"/>
      <c r="F881" s="326"/>
      <c r="G881" s="326"/>
      <c r="H881" s="326"/>
      <c r="I881" s="326"/>
      <c r="J881" s="326"/>
      <c r="K881" s="326"/>
      <c r="L881" s="326"/>
      <c r="M881" s="326"/>
      <c r="N881" s="326"/>
      <c r="O881" s="326"/>
      <c r="P881" s="326"/>
      <c r="Q881" s="326"/>
      <c r="R881" s="326"/>
      <c r="S881" s="326"/>
      <c r="T881" s="326"/>
      <c r="U881" s="326"/>
      <c r="V881" s="326"/>
      <c r="W881" s="326"/>
      <c r="X881" s="326"/>
      <c r="Y881" s="326"/>
    </row>
    <row r="882">
      <c r="A882" s="326"/>
      <c r="B882" s="326"/>
      <c r="C882" s="326"/>
      <c r="D882" s="326"/>
      <c r="E882" s="326"/>
      <c r="F882" s="326"/>
      <c r="G882" s="326"/>
      <c r="H882" s="326"/>
      <c r="I882" s="326"/>
      <c r="J882" s="326"/>
      <c r="K882" s="326"/>
      <c r="L882" s="326"/>
      <c r="M882" s="326"/>
      <c r="N882" s="326"/>
      <c r="O882" s="326"/>
      <c r="P882" s="326"/>
      <c r="Q882" s="326"/>
      <c r="R882" s="326"/>
      <c r="S882" s="326"/>
      <c r="T882" s="326"/>
      <c r="U882" s="326"/>
      <c r="V882" s="326"/>
      <c r="W882" s="326"/>
      <c r="X882" s="326"/>
      <c r="Y882" s="326"/>
    </row>
    <row r="883">
      <c r="A883" s="326"/>
      <c r="B883" s="326"/>
      <c r="C883" s="326"/>
      <c r="D883" s="326"/>
      <c r="E883" s="326"/>
      <c r="F883" s="326"/>
      <c r="G883" s="326"/>
      <c r="H883" s="326"/>
      <c r="I883" s="326"/>
      <c r="J883" s="326"/>
      <c r="K883" s="326"/>
      <c r="L883" s="326"/>
      <c r="M883" s="326"/>
      <c r="N883" s="326"/>
      <c r="O883" s="326"/>
      <c r="P883" s="326"/>
      <c r="Q883" s="326"/>
      <c r="R883" s="326"/>
      <c r="S883" s="326"/>
      <c r="T883" s="326"/>
      <c r="U883" s="326"/>
      <c r="V883" s="326"/>
      <c r="W883" s="326"/>
      <c r="X883" s="326"/>
      <c r="Y883" s="326"/>
    </row>
    <row r="884">
      <c r="A884" s="326"/>
      <c r="B884" s="326"/>
      <c r="C884" s="326"/>
      <c r="D884" s="326"/>
      <c r="E884" s="326"/>
      <c r="F884" s="326"/>
      <c r="G884" s="326"/>
      <c r="H884" s="326"/>
      <c r="I884" s="326"/>
      <c r="J884" s="326"/>
      <c r="K884" s="326"/>
      <c r="L884" s="326"/>
      <c r="M884" s="326"/>
      <c r="N884" s="326"/>
      <c r="O884" s="326"/>
      <c r="P884" s="326"/>
      <c r="Q884" s="326"/>
      <c r="R884" s="326"/>
      <c r="S884" s="326"/>
      <c r="T884" s="326"/>
      <c r="U884" s="326"/>
      <c r="V884" s="326"/>
      <c r="W884" s="326"/>
      <c r="X884" s="326"/>
      <c r="Y884" s="326"/>
    </row>
    <row r="885">
      <c r="A885" s="326"/>
      <c r="B885" s="326"/>
      <c r="C885" s="326"/>
      <c r="D885" s="326"/>
      <c r="E885" s="326"/>
      <c r="F885" s="326"/>
      <c r="G885" s="326"/>
      <c r="H885" s="326"/>
      <c r="I885" s="326"/>
      <c r="J885" s="326"/>
      <c r="K885" s="326"/>
      <c r="L885" s="326"/>
      <c r="M885" s="326"/>
      <c r="N885" s="326"/>
      <c r="O885" s="326"/>
      <c r="P885" s="326"/>
      <c r="Q885" s="326"/>
      <c r="R885" s="326"/>
      <c r="S885" s="326"/>
      <c r="T885" s="326"/>
      <c r="U885" s="326"/>
      <c r="V885" s="326"/>
      <c r="W885" s="326"/>
      <c r="X885" s="326"/>
      <c r="Y885" s="326"/>
    </row>
    <row r="886">
      <c r="A886" s="326"/>
      <c r="B886" s="326"/>
      <c r="C886" s="326"/>
      <c r="D886" s="326"/>
      <c r="E886" s="326"/>
      <c r="F886" s="326"/>
      <c r="G886" s="326"/>
      <c r="H886" s="326"/>
      <c r="I886" s="326"/>
      <c r="J886" s="326"/>
      <c r="K886" s="326"/>
      <c r="L886" s="326"/>
      <c r="M886" s="326"/>
      <c r="N886" s="326"/>
      <c r="O886" s="326"/>
      <c r="P886" s="326"/>
      <c r="Q886" s="326"/>
      <c r="R886" s="326"/>
      <c r="S886" s="326"/>
      <c r="T886" s="326"/>
      <c r="U886" s="326"/>
      <c r="V886" s="326"/>
      <c r="W886" s="326"/>
      <c r="X886" s="326"/>
      <c r="Y886" s="326"/>
    </row>
    <row r="887">
      <c r="A887" s="326"/>
      <c r="B887" s="326"/>
      <c r="C887" s="326"/>
      <c r="D887" s="326"/>
      <c r="E887" s="326"/>
      <c r="F887" s="326"/>
      <c r="G887" s="326"/>
      <c r="H887" s="326"/>
      <c r="I887" s="326"/>
      <c r="J887" s="326"/>
      <c r="K887" s="326"/>
      <c r="L887" s="326"/>
      <c r="M887" s="326"/>
      <c r="N887" s="326"/>
      <c r="O887" s="326"/>
      <c r="P887" s="326"/>
      <c r="Q887" s="326"/>
      <c r="R887" s="326"/>
      <c r="S887" s="326"/>
      <c r="T887" s="326"/>
      <c r="U887" s="326"/>
      <c r="V887" s="326"/>
      <c r="W887" s="326"/>
      <c r="X887" s="326"/>
      <c r="Y887" s="326"/>
    </row>
    <row r="888">
      <c r="A888" s="326"/>
      <c r="B888" s="326"/>
      <c r="C888" s="326"/>
      <c r="D888" s="326"/>
      <c r="E888" s="326"/>
      <c r="F888" s="326"/>
      <c r="G888" s="326"/>
      <c r="H888" s="326"/>
      <c r="I888" s="326"/>
      <c r="J888" s="326"/>
      <c r="K888" s="326"/>
      <c r="L888" s="326"/>
      <c r="M888" s="326"/>
      <c r="N888" s="326"/>
      <c r="O888" s="326"/>
      <c r="P888" s="326"/>
      <c r="Q888" s="326"/>
      <c r="R888" s="326"/>
      <c r="S888" s="326"/>
      <c r="T888" s="326"/>
      <c r="U888" s="326"/>
      <c r="V888" s="326"/>
      <c r="W888" s="326"/>
      <c r="X888" s="326"/>
      <c r="Y888" s="326"/>
    </row>
    <row r="889">
      <c r="A889" s="326"/>
      <c r="B889" s="326"/>
      <c r="C889" s="326"/>
      <c r="D889" s="326"/>
      <c r="E889" s="326"/>
      <c r="F889" s="326"/>
      <c r="G889" s="326"/>
      <c r="H889" s="326"/>
      <c r="I889" s="326"/>
      <c r="J889" s="326"/>
      <c r="K889" s="326"/>
      <c r="L889" s="326"/>
      <c r="M889" s="326"/>
      <c r="N889" s="326"/>
      <c r="O889" s="326"/>
      <c r="P889" s="326"/>
      <c r="Q889" s="326"/>
      <c r="R889" s="326"/>
      <c r="S889" s="326"/>
      <c r="T889" s="326"/>
      <c r="U889" s="326"/>
      <c r="V889" s="326"/>
      <c r="W889" s="326"/>
      <c r="X889" s="326"/>
      <c r="Y889" s="326"/>
    </row>
    <row r="890">
      <c r="A890" s="326"/>
      <c r="B890" s="326"/>
      <c r="C890" s="326"/>
      <c r="D890" s="326"/>
      <c r="E890" s="326"/>
      <c r="F890" s="326"/>
      <c r="G890" s="326"/>
      <c r="H890" s="326"/>
      <c r="I890" s="326"/>
      <c r="J890" s="326"/>
      <c r="K890" s="326"/>
      <c r="L890" s="326"/>
      <c r="M890" s="326"/>
      <c r="N890" s="326"/>
      <c r="O890" s="326"/>
      <c r="P890" s="326"/>
      <c r="Q890" s="326"/>
      <c r="R890" s="326"/>
      <c r="S890" s="326"/>
      <c r="T890" s="326"/>
      <c r="U890" s="326"/>
      <c r="V890" s="326"/>
      <c r="W890" s="326"/>
      <c r="X890" s="326"/>
      <c r="Y890" s="326"/>
    </row>
    <row r="891">
      <c r="A891" s="326"/>
      <c r="B891" s="326"/>
      <c r="C891" s="326"/>
      <c r="D891" s="326"/>
      <c r="E891" s="326"/>
      <c r="F891" s="326"/>
      <c r="G891" s="326"/>
      <c r="H891" s="326"/>
      <c r="I891" s="326"/>
      <c r="J891" s="326"/>
      <c r="K891" s="326"/>
      <c r="L891" s="326"/>
      <c r="M891" s="326"/>
      <c r="N891" s="326"/>
      <c r="O891" s="326"/>
      <c r="P891" s="326"/>
      <c r="Q891" s="326"/>
      <c r="R891" s="326"/>
      <c r="S891" s="326"/>
      <c r="T891" s="326"/>
      <c r="U891" s="326"/>
      <c r="V891" s="326"/>
      <c r="W891" s="326"/>
      <c r="X891" s="326"/>
      <c r="Y891" s="326"/>
    </row>
    <row r="892">
      <c r="A892" s="326"/>
      <c r="B892" s="326"/>
      <c r="C892" s="326"/>
      <c r="D892" s="326"/>
      <c r="E892" s="326"/>
      <c r="F892" s="326"/>
      <c r="G892" s="326"/>
      <c r="H892" s="326"/>
      <c r="I892" s="326"/>
      <c r="J892" s="326"/>
      <c r="K892" s="326"/>
      <c r="L892" s="326"/>
      <c r="M892" s="326"/>
      <c r="N892" s="326"/>
      <c r="O892" s="326"/>
      <c r="P892" s="326"/>
      <c r="Q892" s="326"/>
      <c r="R892" s="326"/>
      <c r="S892" s="326"/>
      <c r="T892" s="326"/>
      <c r="U892" s="326"/>
      <c r="V892" s="326"/>
      <c r="W892" s="326"/>
      <c r="X892" s="326"/>
      <c r="Y892" s="326"/>
    </row>
    <row r="893">
      <c r="A893" s="326"/>
      <c r="B893" s="326"/>
      <c r="C893" s="326"/>
      <c r="D893" s="326"/>
      <c r="E893" s="326"/>
      <c r="F893" s="326"/>
      <c r="G893" s="326"/>
      <c r="H893" s="326"/>
      <c r="I893" s="326"/>
      <c r="J893" s="326"/>
      <c r="K893" s="326"/>
      <c r="L893" s="326"/>
      <c r="M893" s="326"/>
      <c r="N893" s="326"/>
      <c r="O893" s="326"/>
      <c r="P893" s="326"/>
      <c r="Q893" s="326"/>
      <c r="R893" s="326"/>
      <c r="S893" s="326"/>
      <c r="T893" s="326"/>
      <c r="U893" s="326"/>
      <c r="V893" s="326"/>
      <c r="W893" s="326"/>
      <c r="X893" s="326"/>
      <c r="Y893" s="326"/>
    </row>
    <row r="894">
      <c r="A894" s="326"/>
      <c r="B894" s="326"/>
      <c r="C894" s="326"/>
      <c r="D894" s="326"/>
      <c r="E894" s="326"/>
      <c r="F894" s="326"/>
      <c r="G894" s="326"/>
      <c r="H894" s="326"/>
      <c r="I894" s="326"/>
      <c r="J894" s="326"/>
      <c r="K894" s="326"/>
      <c r="L894" s="326"/>
      <c r="M894" s="326"/>
      <c r="N894" s="326"/>
      <c r="O894" s="326"/>
      <c r="P894" s="326"/>
      <c r="Q894" s="326"/>
      <c r="R894" s="326"/>
      <c r="S894" s="326"/>
      <c r="T894" s="326"/>
      <c r="U894" s="326"/>
      <c r="V894" s="326"/>
      <c r="W894" s="326"/>
      <c r="X894" s="326"/>
      <c r="Y894" s="326"/>
    </row>
    <row r="895">
      <c r="A895" s="326"/>
      <c r="B895" s="326"/>
      <c r="C895" s="326"/>
      <c r="D895" s="326"/>
      <c r="E895" s="326"/>
      <c r="F895" s="326"/>
      <c r="G895" s="326"/>
      <c r="H895" s="326"/>
      <c r="I895" s="326"/>
      <c r="J895" s="326"/>
      <c r="K895" s="326"/>
      <c r="L895" s="326"/>
      <c r="M895" s="326"/>
      <c r="N895" s="326"/>
      <c r="O895" s="326"/>
      <c r="P895" s="326"/>
      <c r="Q895" s="326"/>
      <c r="R895" s="326"/>
      <c r="S895" s="326"/>
      <c r="T895" s="326"/>
      <c r="U895" s="326"/>
      <c r="V895" s="326"/>
      <c r="W895" s="326"/>
      <c r="X895" s="326"/>
      <c r="Y895" s="326"/>
    </row>
    <row r="896">
      <c r="A896" s="326"/>
      <c r="B896" s="326"/>
      <c r="C896" s="326"/>
      <c r="D896" s="326"/>
      <c r="E896" s="326"/>
      <c r="F896" s="326"/>
      <c r="G896" s="326"/>
      <c r="H896" s="326"/>
      <c r="I896" s="326"/>
      <c r="J896" s="326"/>
      <c r="K896" s="326"/>
      <c r="L896" s="326"/>
      <c r="M896" s="326"/>
      <c r="N896" s="326"/>
      <c r="O896" s="326"/>
      <c r="P896" s="326"/>
      <c r="Q896" s="326"/>
      <c r="R896" s="326"/>
      <c r="S896" s="326"/>
      <c r="T896" s="326"/>
      <c r="U896" s="326"/>
      <c r="V896" s="326"/>
      <c r="W896" s="326"/>
      <c r="X896" s="326"/>
      <c r="Y896" s="326"/>
    </row>
    <row r="897">
      <c r="A897" s="326"/>
      <c r="B897" s="326"/>
      <c r="C897" s="326"/>
      <c r="D897" s="326"/>
      <c r="E897" s="326"/>
      <c r="F897" s="326"/>
      <c r="G897" s="326"/>
      <c r="H897" s="326"/>
      <c r="I897" s="326"/>
      <c r="J897" s="326"/>
      <c r="K897" s="326"/>
      <c r="L897" s="326"/>
      <c r="M897" s="326"/>
      <c r="N897" s="326"/>
      <c r="O897" s="326"/>
      <c r="P897" s="326"/>
      <c r="Q897" s="326"/>
      <c r="R897" s="326"/>
      <c r="S897" s="326"/>
      <c r="T897" s="326"/>
      <c r="U897" s="326"/>
      <c r="V897" s="326"/>
      <c r="W897" s="326"/>
      <c r="X897" s="326"/>
      <c r="Y897" s="326"/>
    </row>
    <row r="898">
      <c r="A898" s="326"/>
      <c r="B898" s="326"/>
      <c r="C898" s="326"/>
      <c r="D898" s="326"/>
      <c r="E898" s="326"/>
      <c r="F898" s="326"/>
      <c r="G898" s="326"/>
      <c r="H898" s="326"/>
      <c r="I898" s="326"/>
      <c r="J898" s="326"/>
      <c r="K898" s="326"/>
      <c r="L898" s="326"/>
      <c r="M898" s="326"/>
      <c r="N898" s="326"/>
      <c r="O898" s="326"/>
      <c r="P898" s="326"/>
      <c r="Q898" s="326"/>
      <c r="R898" s="326"/>
      <c r="S898" s="326"/>
      <c r="T898" s="326"/>
      <c r="U898" s="326"/>
      <c r="V898" s="326"/>
      <c r="W898" s="326"/>
      <c r="X898" s="326"/>
      <c r="Y898" s="326"/>
    </row>
    <row r="899">
      <c r="A899" s="326"/>
      <c r="B899" s="326"/>
      <c r="C899" s="326"/>
      <c r="D899" s="326"/>
      <c r="E899" s="326"/>
      <c r="F899" s="326"/>
      <c r="G899" s="326"/>
      <c r="H899" s="326"/>
      <c r="I899" s="326"/>
      <c r="J899" s="326"/>
      <c r="K899" s="326"/>
      <c r="L899" s="326"/>
      <c r="M899" s="326"/>
      <c r="N899" s="326"/>
      <c r="O899" s="326"/>
      <c r="P899" s="326"/>
      <c r="Q899" s="326"/>
      <c r="R899" s="326"/>
      <c r="S899" s="326"/>
      <c r="T899" s="326"/>
      <c r="U899" s="326"/>
      <c r="V899" s="326"/>
      <c r="W899" s="326"/>
      <c r="X899" s="326"/>
      <c r="Y899" s="326"/>
    </row>
    <row r="900">
      <c r="A900" s="326"/>
      <c r="B900" s="326"/>
      <c r="C900" s="326"/>
      <c r="D900" s="326"/>
      <c r="E900" s="326"/>
      <c r="F900" s="326"/>
      <c r="G900" s="326"/>
      <c r="H900" s="326"/>
      <c r="I900" s="326"/>
      <c r="J900" s="326"/>
      <c r="K900" s="326"/>
      <c r="L900" s="326"/>
      <c r="M900" s="326"/>
      <c r="N900" s="326"/>
      <c r="O900" s="326"/>
      <c r="P900" s="326"/>
      <c r="Q900" s="326"/>
      <c r="R900" s="326"/>
      <c r="S900" s="326"/>
      <c r="T900" s="326"/>
      <c r="U900" s="326"/>
      <c r="V900" s="326"/>
      <c r="W900" s="326"/>
      <c r="X900" s="326"/>
      <c r="Y900" s="326"/>
    </row>
    <row r="901">
      <c r="A901" s="326"/>
      <c r="B901" s="326"/>
      <c r="C901" s="326"/>
      <c r="D901" s="326"/>
      <c r="E901" s="326"/>
      <c r="F901" s="326"/>
      <c r="G901" s="326"/>
      <c r="H901" s="326"/>
      <c r="I901" s="326"/>
      <c r="J901" s="326"/>
      <c r="K901" s="326"/>
      <c r="L901" s="326"/>
      <c r="M901" s="326"/>
      <c r="N901" s="326"/>
      <c r="O901" s="326"/>
      <c r="P901" s="326"/>
      <c r="Q901" s="326"/>
      <c r="R901" s="326"/>
      <c r="S901" s="326"/>
      <c r="T901" s="326"/>
      <c r="U901" s="326"/>
      <c r="V901" s="326"/>
      <c r="W901" s="326"/>
      <c r="X901" s="326"/>
      <c r="Y901" s="326"/>
    </row>
    <row r="902">
      <c r="A902" s="326"/>
      <c r="B902" s="326"/>
      <c r="C902" s="326"/>
      <c r="D902" s="326"/>
      <c r="E902" s="326"/>
      <c r="F902" s="326"/>
      <c r="G902" s="326"/>
      <c r="H902" s="326"/>
      <c r="I902" s="326"/>
      <c r="J902" s="326"/>
      <c r="K902" s="326"/>
      <c r="L902" s="326"/>
      <c r="M902" s="326"/>
      <c r="N902" s="326"/>
      <c r="O902" s="326"/>
      <c r="P902" s="326"/>
      <c r="Q902" s="326"/>
      <c r="R902" s="326"/>
      <c r="S902" s="326"/>
      <c r="T902" s="326"/>
      <c r="U902" s="326"/>
      <c r="V902" s="326"/>
      <c r="W902" s="326"/>
      <c r="X902" s="326"/>
      <c r="Y902" s="326"/>
    </row>
    <row r="903">
      <c r="A903" s="326"/>
      <c r="B903" s="326"/>
      <c r="C903" s="326"/>
      <c r="D903" s="326"/>
      <c r="E903" s="326"/>
      <c r="F903" s="326"/>
      <c r="G903" s="326"/>
      <c r="H903" s="326"/>
      <c r="I903" s="326"/>
      <c r="J903" s="326"/>
      <c r="K903" s="326"/>
      <c r="L903" s="326"/>
      <c r="M903" s="326"/>
      <c r="N903" s="326"/>
      <c r="O903" s="326"/>
      <c r="P903" s="326"/>
      <c r="Q903" s="326"/>
      <c r="R903" s="326"/>
      <c r="S903" s="326"/>
      <c r="T903" s="326"/>
      <c r="U903" s="326"/>
      <c r="V903" s="326"/>
      <c r="W903" s="326"/>
      <c r="X903" s="326"/>
      <c r="Y903" s="326"/>
    </row>
    <row r="904">
      <c r="A904" s="326"/>
      <c r="B904" s="326"/>
      <c r="C904" s="326"/>
      <c r="D904" s="326"/>
      <c r="E904" s="326"/>
      <c r="F904" s="326"/>
      <c r="G904" s="326"/>
      <c r="H904" s="326"/>
      <c r="I904" s="326"/>
      <c r="J904" s="326"/>
      <c r="K904" s="326"/>
      <c r="L904" s="326"/>
      <c r="M904" s="326"/>
      <c r="N904" s="326"/>
      <c r="O904" s="326"/>
      <c r="P904" s="326"/>
      <c r="Q904" s="326"/>
      <c r="R904" s="326"/>
      <c r="S904" s="326"/>
      <c r="T904" s="326"/>
      <c r="U904" s="326"/>
      <c r="V904" s="326"/>
      <c r="W904" s="326"/>
      <c r="X904" s="326"/>
      <c r="Y904" s="326"/>
    </row>
    <row r="905">
      <c r="A905" s="326"/>
      <c r="B905" s="326"/>
      <c r="C905" s="326"/>
      <c r="D905" s="326"/>
      <c r="E905" s="326"/>
      <c r="F905" s="326"/>
      <c r="G905" s="326"/>
      <c r="H905" s="326"/>
      <c r="I905" s="326"/>
      <c r="J905" s="326"/>
      <c r="K905" s="326"/>
      <c r="L905" s="326"/>
      <c r="M905" s="326"/>
      <c r="N905" s="326"/>
      <c r="O905" s="326"/>
      <c r="P905" s="326"/>
      <c r="Q905" s="326"/>
      <c r="R905" s="326"/>
      <c r="S905" s="326"/>
      <c r="T905" s="326"/>
      <c r="U905" s="326"/>
      <c r="V905" s="326"/>
      <c r="W905" s="326"/>
      <c r="X905" s="326"/>
      <c r="Y905" s="326"/>
    </row>
    <row r="906">
      <c r="A906" s="326"/>
      <c r="B906" s="326"/>
      <c r="C906" s="326"/>
      <c r="D906" s="326"/>
      <c r="E906" s="326"/>
      <c r="F906" s="326"/>
      <c r="G906" s="326"/>
      <c r="H906" s="326"/>
      <c r="I906" s="326"/>
      <c r="J906" s="326"/>
      <c r="K906" s="326"/>
      <c r="L906" s="326"/>
      <c r="M906" s="326"/>
      <c r="N906" s="326"/>
      <c r="O906" s="326"/>
      <c r="P906" s="326"/>
      <c r="Q906" s="326"/>
      <c r="R906" s="326"/>
      <c r="S906" s="326"/>
      <c r="T906" s="326"/>
      <c r="U906" s="326"/>
      <c r="V906" s="326"/>
      <c r="W906" s="326"/>
      <c r="X906" s="326"/>
      <c r="Y906" s="326"/>
    </row>
    <row r="907">
      <c r="A907" s="326"/>
      <c r="B907" s="326"/>
      <c r="C907" s="326"/>
      <c r="D907" s="326"/>
      <c r="E907" s="326"/>
      <c r="F907" s="326"/>
      <c r="G907" s="326"/>
      <c r="H907" s="326"/>
      <c r="I907" s="326"/>
      <c r="J907" s="326"/>
      <c r="K907" s="326"/>
      <c r="L907" s="326"/>
      <c r="M907" s="326"/>
      <c r="N907" s="326"/>
      <c r="O907" s="326"/>
      <c r="P907" s="326"/>
      <c r="Q907" s="326"/>
      <c r="R907" s="326"/>
      <c r="S907" s="326"/>
      <c r="T907" s="326"/>
      <c r="U907" s="326"/>
      <c r="V907" s="326"/>
      <c r="W907" s="326"/>
      <c r="X907" s="326"/>
      <c r="Y907" s="326"/>
    </row>
    <row r="908">
      <c r="A908" s="326"/>
      <c r="B908" s="326"/>
      <c r="C908" s="326"/>
      <c r="D908" s="326"/>
      <c r="E908" s="326"/>
      <c r="F908" s="326"/>
      <c r="G908" s="326"/>
      <c r="H908" s="326"/>
      <c r="I908" s="326"/>
      <c r="J908" s="326"/>
      <c r="K908" s="326"/>
      <c r="L908" s="326"/>
      <c r="M908" s="326"/>
      <c r="N908" s="326"/>
      <c r="O908" s="326"/>
      <c r="P908" s="326"/>
      <c r="Q908" s="326"/>
      <c r="R908" s="326"/>
      <c r="S908" s="326"/>
      <c r="T908" s="326"/>
      <c r="U908" s="326"/>
      <c r="V908" s="326"/>
      <c r="W908" s="326"/>
      <c r="X908" s="326"/>
      <c r="Y908" s="326"/>
    </row>
    <row r="909">
      <c r="A909" s="326"/>
      <c r="B909" s="326"/>
      <c r="C909" s="326"/>
      <c r="D909" s="326"/>
      <c r="E909" s="326"/>
      <c r="F909" s="326"/>
      <c r="G909" s="326"/>
      <c r="H909" s="326"/>
      <c r="I909" s="326"/>
      <c r="J909" s="326"/>
      <c r="K909" s="326"/>
      <c r="L909" s="326"/>
      <c r="M909" s="326"/>
      <c r="N909" s="326"/>
      <c r="O909" s="326"/>
      <c r="P909" s="326"/>
      <c r="Q909" s="326"/>
      <c r="R909" s="326"/>
      <c r="S909" s="326"/>
      <c r="T909" s="326"/>
      <c r="U909" s="326"/>
      <c r="V909" s="326"/>
      <c r="W909" s="326"/>
      <c r="X909" s="326"/>
      <c r="Y909" s="326"/>
    </row>
    <row r="910">
      <c r="A910" s="326"/>
      <c r="B910" s="326"/>
      <c r="C910" s="326"/>
      <c r="D910" s="326"/>
      <c r="E910" s="326"/>
      <c r="F910" s="326"/>
      <c r="G910" s="326"/>
      <c r="H910" s="326"/>
      <c r="I910" s="326"/>
      <c r="J910" s="326"/>
      <c r="K910" s="326"/>
      <c r="L910" s="326"/>
      <c r="M910" s="326"/>
      <c r="N910" s="326"/>
      <c r="O910" s="326"/>
      <c r="P910" s="326"/>
      <c r="Q910" s="326"/>
      <c r="R910" s="326"/>
      <c r="S910" s="326"/>
      <c r="T910" s="326"/>
      <c r="U910" s="326"/>
      <c r="V910" s="326"/>
      <c r="W910" s="326"/>
      <c r="X910" s="326"/>
      <c r="Y910" s="326"/>
    </row>
    <row r="911">
      <c r="A911" s="326"/>
      <c r="B911" s="326"/>
      <c r="C911" s="326"/>
      <c r="D911" s="326"/>
      <c r="E911" s="326"/>
      <c r="F911" s="326"/>
      <c r="G911" s="326"/>
      <c r="H911" s="326"/>
      <c r="I911" s="326"/>
      <c r="J911" s="326"/>
      <c r="K911" s="326"/>
      <c r="L911" s="326"/>
      <c r="M911" s="326"/>
      <c r="N911" s="326"/>
      <c r="O911" s="326"/>
      <c r="P911" s="326"/>
      <c r="Q911" s="326"/>
      <c r="R911" s="326"/>
      <c r="S911" s="326"/>
      <c r="T911" s="326"/>
      <c r="U911" s="326"/>
      <c r="V911" s="326"/>
      <c r="W911" s="326"/>
      <c r="X911" s="326"/>
      <c r="Y911" s="326"/>
    </row>
    <row r="912">
      <c r="A912" s="326"/>
      <c r="B912" s="326"/>
      <c r="C912" s="326"/>
      <c r="D912" s="326"/>
      <c r="E912" s="326"/>
      <c r="F912" s="326"/>
      <c r="G912" s="326"/>
      <c r="H912" s="326"/>
      <c r="I912" s="326"/>
      <c r="J912" s="326"/>
      <c r="K912" s="326"/>
      <c r="L912" s="326"/>
      <c r="M912" s="326"/>
      <c r="N912" s="326"/>
      <c r="O912" s="326"/>
      <c r="P912" s="326"/>
      <c r="Q912" s="326"/>
      <c r="R912" s="326"/>
      <c r="S912" s="326"/>
      <c r="T912" s="326"/>
      <c r="U912" s="326"/>
      <c r="V912" s="326"/>
      <c r="W912" s="326"/>
      <c r="X912" s="326"/>
      <c r="Y912" s="326"/>
    </row>
    <row r="913">
      <c r="A913" s="326"/>
      <c r="B913" s="326"/>
      <c r="C913" s="326"/>
      <c r="D913" s="326"/>
      <c r="E913" s="326"/>
      <c r="F913" s="326"/>
      <c r="G913" s="326"/>
      <c r="H913" s="326"/>
      <c r="I913" s="326"/>
      <c r="J913" s="326"/>
      <c r="K913" s="326"/>
      <c r="L913" s="326"/>
      <c r="M913" s="326"/>
      <c r="N913" s="326"/>
      <c r="O913" s="326"/>
      <c r="P913" s="326"/>
      <c r="Q913" s="326"/>
      <c r="R913" s="326"/>
      <c r="S913" s="326"/>
      <c r="T913" s="326"/>
      <c r="U913" s="326"/>
      <c r="V913" s="326"/>
      <c r="W913" s="326"/>
      <c r="X913" s="326"/>
      <c r="Y913" s="326"/>
    </row>
    <row r="914">
      <c r="A914" s="326"/>
      <c r="B914" s="326"/>
      <c r="C914" s="326"/>
      <c r="D914" s="326"/>
      <c r="E914" s="326"/>
      <c r="F914" s="326"/>
      <c r="G914" s="326"/>
      <c r="H914" s="326"/>
      <c r="I914" s="326"/>
      <c r="J914" s="326"/>
      <c r="K914" s="326"/>
      <c r="L914" s="326"/>
      <c r="M914" s="326"/>
      <c r="N914" s="326"/>
      <c r="O914" s="326"/>
      <c r="P914" s="326"/>
      <c r="Q914" s="326"/>
      <c r="R914" s="326"/>
      <c r="S914" s="326"/>
      <c r="T914" s="326"/>
      <c r="U914" s="326"/>
      <c r="V914" s="326"/>
      <c r="W914" s="326"/>
      <c r="X914" s="326"/>
      <c r="Y914" s="326"/>
    </row>
    <row r="915">
      <c r="A915" s="326"/>
      <c r="B915" s="326"/>
      <c r="C915" s="326"/>
      <c r="D915" s="326"/>
      <c r="E915" s="326"/>
      <c r="F915" s="326"/>
      <c r="G915" s="326"/>
      <c r="H915" s="326"/>
      <c r="I915" s="326"/>
      <c r="J915" s="326"/>
      <c r="K915" s="326"/>
      <c r="L915" s="326"/>
      <c r="M915" s="326"/>
      <c r="N915" s="326"/>
      <c r="O915" s="326"/>
      <c r="P915" s="326"/>
      <c r="Q915" s="326"/>
      <c r="R915" s="326"/>
      <c r="S915" s="326"/>
      <c r="T915" s="326"/>
      <c r="U915" s="326"/>
      <c r="V915" s="326"/>
      <c r="W915" s="326"/>
      <c r="X915" s="326"/>
      <c r="Y915" s="326"/>
    </row>
    <row r="916">
      <c r="A916" s="326"/>
      <c r="B916" s="326"/>
      <c r="C916" s="326"/>
      <c r="D916" s="326"/>
      <c r="E916" s="326"/>
      <c r="F916" s="326"/>
      <c r="G916" s="326"/>
      <c r="H916" s="326"/>
      <c r="I916" s="326"/>
      <c r="J916" s="326"/>
      <c r="K916" s="326"/>
      <c r="L916" s="326"/>
      <c r="M916" s="326"/>
      <c r="N916" s="326"/>
      <c r="O916" s="326"/>
      <c r="P916" s="326"/>
      <c r="Q916" s="326"/>
      <c r="R916" s="326"/>
      <c r="S916" s="326"/>
      <c r="T916" s="326"/>
      <c r="U916" s="326"/>
      <c r="V916" s="326"/>
      <c r="W916" s="326"/>
      <c r="X916" s="326"/>
      <c r="Y916" s="326"/>
    </row>
    <row r="917">
      <c r="A917" s="326"/>
      <c r="B917" s="326"/>
      <c r="C917" s="326"/>
      <c r="D917" s="326"/>
      <c r="E917" s="326"/>
      <c r="F917" s="326"/>
      <c r="G917" s="326"/>
      <c r="H917" s="326"/>
      <c r="I917" s="326"/>
      <c r="J917" s="326"/>
      <c r="K917" s="326"/>
      <c r="L917" s="326"/>
      <c r="M917" s="326"/>
      <c r="N917" s="326"/>
      <c r="O917" s="326"/>
      <c r="P917" s="326"/>
      <c r="Q917" s="326"/>
      <c r="R917" s="326"/>
      <c r="S917" s="326"/>
      <c r="T917" s="326"/>
      <c r="U917" s="326"/>
      <c r="V917" s="326"/>
      <c r="W917" s="326"/>
      <c r="X917" s="326"/>
      <c r="Y917" s="326"/>
    </row>
    <row r="918">
      <c r="A918" s="326"/>
      <c r="B918" s="326"/>
      <c r="C918" s="326"/>
      <c r="D918" s="326"/>
      <c r="E918" s="326"/>
      <c r="F918" s="326"/>
      <c r="G918" s="326"/>
      <c r="H918" s="326"/>
      <c r="I918" s="326"/>
      <c r="J918" s="326"/>
      <c r="K918" s="326"/>
      <c r="L918" s="326"/>
      <c r="M918" s="326"/>
      <c r="N918" s="326"/>
      <c r="O918" s="326"/>
      <c r="P918" s="326"/>
      <c r="Q918" s="326"/>
      <c r="R918" s="326"/>
      <c r="S918" s="326"/>
      <c r="T918" s="326"/>
      <c r="U918" s="326"/>
      <c r="V918" s="326"/>
      <c r="W918" s="326"/>
      <c r="X918" s="326"/>
      <c r="Y918" s="326"/>
    </row>
    <row r="919">
      <c r="A919" s="326"/>
      <c r="B919" s="326"/>
      <c r="C919" s="326"/>
      <c r="D919" s="326"/>
      <c r="E919" s="326"/>
      <c r="F919" s="326"/>
      <c r="G919" s="326"/>
      <c r="H919" s="326"/>
      <c r="I919" s="326"/>
      <c r="J919" s="326"/>
      <c r="K919" s="326"/>
      <c r="L919" s="326"/>
      <c r="M919" s="326"/>
      <c r="N919" s="326"/>
      <c r="O919" s="326"/>
      <c r="P919" s="326"/>
      <c r="Q919" s="326"/>
      <c r="R919" s="326"/>
      <c r="S919" s="326"/>
      <c r="T919" s="326"/>
      <c r="U919" s="326"/>
      <c r="V919" s="326"/>
      <c r="W919" s="326"/>
      <c r="X919" s="326"/>
      <c r="Y919" s="326"/>
    </row>
    <row r="920">
      <c r="A920" s="326"/>
      <c r="B920" s="326"/>
      <c r="C920" s="326"/>
      <c r="D920" s="326"/>
      <c r="E920" s="326"/>
      <c r="F920" s="326"/>
      <c r="G920" s="326"/>
      <c r="H920" s="326"/>
      <c r="I920" s="326"/>
      <c r="J920" s="326"/>
      <c r="K920" s="326"/>
      <c r="L920" s="326"/>
      <c r="M920" s="326"/>
      <c r="N920" s="326"/>
      <c r="O920" s="326"/>
      <c r="P920" s="326"/>
      <c r="Q920" s="326"/>
      <c r="R920" s="326"/>
      <c r="S920" s="326"/>
      <c r="T920" s="326"/>
      <c r="U920" s="326"/>
      <c r="V920" s="326"/>
      <c r="W920" s="326"/>
      <c r="X920" s="326"/>
      <c r="Y920" s="326"/>
    </row>
    <row r="921">
      <c r="A921" s="326"/>
      <c r="B921" s="326"/>
      <c r="C921" s="326"/>
      <c r="D921" s="326"/>
      <c r="E921" s="326"/>
      <c r="F921" s="326"/>
      <c r="G921" s="326"/>
      <c r="H921" s="326"/>
      <c r="I921" s="326"/>
      <c r="J921" s="326"/>
      <c r="K921" s="326"/>
      <c r="L921" s="326"/>
      <c r="M921" s="326"/>
      <c r="N921" s="326"/>
      <c r="O921" s="326"/>
      <c r="P921" s="326"/>
      <c r="Q921" s="326"/>
      <c r="R921" s="326"/>
      <c r="S921" s="326"/>
      <c r="T921" s="326"/>
      <c r="U921" s="326"/>
      <c r="V921" s="326"/>
      <c r="W921" s="326"/>
      <c r="X921" s="326"/>
      <c r="Y921" s="326"/>
    </row>
    <row r="922">
      <c r="A922" s="326"/>
      <c r="B922" s="326"/>
      <c r="C922" s="326"/>
      <c r="D922" s="326"/>
      <c r="E922" s="326"/>
      <c r="F922" s="326"/>
      <c r="G922" s="326"/>
      <c r="H922" s="326"/>
      <c r="I922" s="326"/>
      <c r="J922" s="326"/>
      <c r="K922" s="326"/>
      <c r="L922" s="326"/>
      <c r="M922" s="326"/>
      <c r="N922" s="326"/>
      <c r="O922" s="326"/>
      <c r="P922" s="326"/>
      <c r="Q922" s="326"/>
      <c r="R922" s="326"/>
      <c r="S922" s="326"/>
      <c r="T922" s="326"/>
      <c r="U922" s="326"/>
      <c r="V922" s="326"/>
      <c r="W922" s="326"/>
      <c r="X922" s="326"/>
      <c r="Y922" s="326"/>
    </row>
    <row r="923">
      <c r="A923" s="326"/>
      <c r="B923" s="326"/>
      <c r="C923" s="326"/>
      <c r="D923" s="326"/>
      <c r="E923" s="326"/>
      <c r="F923" s="326"/>
      <c r="G923" s="326"/>
      <c r="H923" s="326"/>
      <c r="I923" s="326"/>
      <c r="J923" s="326"/>
      <c r="K923" s="326"/>
      <c r="L923" s="326"/>
      <c r="M923" s="326"/>
      <c r="N923" s="326"/>
      <c r="O923" s="326"/>
      <c r="P923" s="326"/>
      <c r="Q923" s="326"/>
      <c r="R923" s="326"/>
      <c r="S923" s="326"/>
      <c r="T923" s="326"/>
      <c r="U923" s="326"/>
      <c r="V923" s="326"/>
      <c r="W923" s="326"/>
      <c r="X923" s="326"/>
      <c r="Y923" s="326"/>
    </row>
    <row r="924">
      <c r="A924" s="326"/>
      <c r="B924" s="326"/>
      <c r="C924" s="326"/>
      <c r="D924" s="326"/>
      <c r="E924" s="326"/>
      <c r="F924" s="326"/>
      <c r="G924" s="326"/>
      <c r="H924" s="326"/>
      <c r="I924" s="326"/>
      <c r="J924" s="326"/>
      <c r="K924" s="326"/>
      <c r="L924" s="326"/>
      <c r="M924" s="326"/>
      <c r="N924" s="326"/>
      <c r="O924" s="326"/>
      <c r="P924" s="326"/>
      <c r="Q924" s="326"/>
      <c r="R924" s="326"/>
      <c r="S924" s="326"/>
      <c r="T924" s="326"/>
      <c r="U924" s="326"/>
      <c r="V924" s="326"/>
      <c r="W924" s="326"/>
      <c r="X924" s="326"/>
      <c r="Y924" s="326"/>
    </row>
    <row r="925">
      <c r="A925" s="326"/>
      <c r="B925" s="326"/>
      <c r="C925" s="326"/>
      <c r="D925" s="326"/>
      <c r="E925" s="326"/>
      <c r="F925" s="326"/>
      <c r="G925" s="326"/>
      <c r="H925" s="326"/>
      <c r="I925" s="326"/>
      <c r="J925" s="326"/>
      <c r="K925" s="326"/>
      <c r="L925" s="326"/>
      <c r="M925" s="326"/>
      <c r="N925" s="326"/>
      <c r="O925" s="326"/>
      <c r="P925" s="326"/>
      <c r="Q925" s="326"/>
      <c r="R925" s="326"/>
      <c r="S925" s="326"/>
      <c r="T925" s="326"/>
      <c r="U925" s="326"/>
      <c r="V925" s="326"/>
      <c r="W925" s="326"/>
      <c r="X925" s="326"/>
      <c r="Y925" s="326"/>
    </row>
    <row r="926">
      <c r="A926" s="326"/>
      <c r="B926" s="326"/>
      <c r="C926" s="326"/>
      <c r="D926" s="326"/>
      <c r="E926" s="326"/>
      <c r="F926" s="326"/>
      <c r="G926" s="326"/>
      <c r="H926" s="326"/>
      <c r="I926" s="326"/>
      <c r="J926" s="326"/>
      <c r="K926" s="326"/>
      <c r="L926" s="326"/>
      <c r="M926" s="326"/>
      <c r="N926" s="326"/>
      <c r="O926" s="326"/>
      <c r="P926" s="326"/>
      <c r="Q926" s="326"/>
      <c r="R926" s="326"/>
      <c r="S926" s="326"/>
      <c r="T926" s="326"/>
      <c r="U926" s="326"/>
      <c r="V926" s="326"/>
      <c r="W926" s="326"/>
      <c r="X926" s="326"/>
      <c r="Y926" s="326"/>
    </row>
    <row r="927">
      <c r="A927" s="326"/>
      <c r="B927" s="326"/>
      <c r="C927" s="326"/>
      <c r="D927" s="326"/>
      <c r="E927" s="326"/>
      <c r="F927" s="326"/>
      <c r="G927" s="326"/>
      <c r="H927" s="326"/>
      <c r="I927" s="326"/>
      <c r="J927" s="326"/>
      <c r="K927" s="326"/>
      <c r="L927" s="326"/>
      <c r="M927" s="326"/>
      <c r="N927" s="326"/>
      <c r="O927" s="326"/>
      <c r="P927" s="326"/>
      <c r="Q927" s="326"/>
      <c r="R927" s="326"/>
      <c r="S927" s="326"/>
      <c r="T927" s="326"/>
      <c r="U927" s="326"/>
      <c r="V927" s="326"/>
      <c r="W927" s="326"/>
      <c r="X927" s="326"/>
      <c r="Y927" s="326"/>
    </row>
    <row r="928">
      <c r="A928" s="326"/>
      <c r="B928" s="326"/>
      <c r="C928" s="326"/>
      <c r="D928" s="326"/>
      <c r="E928" s="326"/>
      <c r="F928" s="326"/>
      <c r="G928" s="326"/>
      <c r="H928" s="326"/>
      <c r="I928" s="326"/>
      <c r="J928" s="326"/>
      <c r="K928" s="326"/>
      <c r="L928" s="326"/>
      <c r="M928" s="326"/>
      <c r="N928" s="326"/>
      <c r="O928" s="326"/>
      <c r="P928" s="326"/>
      <c r="Q928" s="326"/>
      <c r="R928" s="326"/>
      <c r="S928" s="326"/>
      <c r="T928" s="326"/>
      <c r="U928" s="326"/>
      <c r="V928" s="326"/>
      <c r="W928" s="326"/>
      <c r="X928" s="326"/>
      <c r="Y928" s="326"/>
    </row>
    <row r="929">
      <c r="A929" s="326"/>
      <c r="B929" s="326"/>
      <c r="C929" s="326"/>
      <c r="D929" s="326"/>
      <c r="E929" s="326"/>
      <c r="F929" s="326"/>
      <c r="G929" s="326"/>
      <c r="H929" s="326"/>
      <c r="I929" s="326"/>
      <c r="J929" s="326"/>
      <c r="K929" s="326"/>
      <c r="L929" s="326"/>
      <c r="M929" s="326"/>
      <c r="N929" s="326"/>
      <c r="O929" s="326"/>
      <c r="P929" s="326"/>
      <c r="Q929" s="326"/>
      <c r="R929" s="326"/>
      <c r="S929" s="326"/>
      <c r="T929" s="326"/>
      <c r="U929" s="326"/>
      <c r="V929" s="326"/>
      <c r="W929" s="326"/>
      <c r="X929" s="326"/>
      <c r="Y929" s="326"/>
    </row>
    <row r="930">
      <c r="A930" s="326"/>
      <c r="B930" s="326"/>
      <c r="C930" s="326"/>
      <c r="D930" s="326"/>
      <c r="E930" s="326"/>
      <c r="F930" s="326"/>
      <c r="G930" s="326"/>
      <c r="H930" s="326"/>
      <c r="I930" s="326"/>
      <c r="J930" s="326"/>
      <c r="K930" s="326"/>
      <c r="L930" s="326"/>
      <c r="M930" s="326"/>
      <c r="N930" s="326"/>
      <c r="O930" s="326"/>
      <c r="P930" s="326"/>
      <c r="Q930" s="326"/>
      <c r="R930" s="326"/>
      <c r="S930" s="326"/>
      <c r="T930" s="326"/>
      <c r="U930" s="326"/>
      <c r="V930" s="326"/>
      <c r="W930" s="326"/>
      <c r="X930" s="326"/>
      <c r="Y930" s="326"/>
    </row>
    <row r="931">
      <c r="A931" s="326"/>
      <c r="B931" s="326"/>
      <c r="C931" s="326"/>
      <c r="D931" s="326"/>
      <c r="E931" s="326"/>
      <c r="F931" s="326"/>
      <c r="G931" s="326"/>
      <c r="H931" s="326"/>
      <c r="I931" s="326"/>
      <c r="J931" s="326"/>
      <c r="K931" s="326"/>
      <c r="L931" s="326"/>
      <c r="M931" s="326"/>
      <c r="N931" s="326"/>
      <c r="O931" s="326"/>
      <c r="P931" s="326"/>
      <c r="Q931" s="326"/>
      <c r="R931" s="326"/>
      <c r="S931" s="326"/>
      <c r="T931" s="326"/>
      <c r="U931" s="326"/>
      <c r="V931" s="326"/>
      <c r="W931" s="326"/>
      <c r="X931" s="326"/>
      <c r="Y931" s="326"/>
    </row>
    <row r="932">
      <c r="A932" s="326"/>
      <c r="B932" s="326"/>
      <c r="C932" s="326"/>
      <c r="D932" s="326"/>
      <c r="E932" s="326"/>
      <c r="F932" s="326"/>
      <c r="G932" s="326"/>
      <c r="H932" s="326"/>
      <c r="I932" s="326"/>
      <c r="J932" s="326"/>
      <c r="K932" s="326"/>
      <c r="L932" s="326"/>
      <c r="M932" s="326"/>
      <c r="N932" s="326"/>
      <c r="O932" s="326"/>
      <c r="P932" s="326"/>
      <c r="Q932" s="326"/>
      <c r="R932" s="326"/>
      <c r="S932" s="326"/>
      <c r="T932" s="326"/>
      <c r="U932" s="326"/>
      <c r="V932" s="326"/>
      <c r="W932" s="326"/>
      <c r="X932" s="326"/>
      <c r="Y932" s="326"/>
    </row>
    <row r="933">
      <c r="A933" s="326"/>
      <c r="B933" s="326"/>
      <c r="C933" s="326"/>
      <c r="D933" s="326"/>
      <c r="E933" s="326"/>
      <c r="F933" s="326"/>
      <c r="G933" s="326"/>
      <c r="H933" s="326"/>
      <c r="I933" s="326"/>
      <c r="J933" s="326"/>
      <c r="K933" s="326"/>
      <c r="L933" s="326"/>
      <c r="M933" s="326"/>
      <c r="N933" s="326"/>
      <c r="O933" s="326"/>
      <c r="P933" s="326"/>
      <c r="Q933" s="326"/>
      <c r="R933" s="326"/>
      <c r="S933" s="326"/>
      <c r="T933" s="326"/>
      <c r="U933" s="326"/>
      <c r="V933" s="326"/>
      <c r="W933" s="326"/>
      <c r="X933" s="326"/>
      <c r="Y933" s="326"/>
    </row>
    <row r="934">
      <c r="A934" s="326"/>
      <c r="B934" s="326"/>
      <c r="C934" s="326"/>
      <c r="D934" s="326"/>
      <c r="E934" s="326"/>
      <c r="F934" s="326"/>
      <c r="G934" s="326"/>
      <c r="H934" s="326"/>
      <c r="I934" s="326"/>
      <c r="J934" s="326"/>
      <c r="K934" s="326"/>
      <c r="L934" s="326"/>
      <c r="M934" s="326"/>
      <c r="N934" s="326"/>
      <c r="O934" s="326"/>
      <c r="P934" s="326"/>
      <c r="Q934" s="326"/>
      <c r="R934" s="326"/>
      <c r="S934" s="326"/>
      <c r="T934" s="326"/>
      <c r="U934" s="326"/>
      <c r="V934" s="326"/>
      <c r="W934" s="326"/>
      <c r="X934" s="326"/>
      <c r="Y934" s="326"/>
    </row>
    <row r="935">
      <c r="A935" s="326"/>
      <c r="B935" s="326"/>
      <c r="C935" s="326"/>
      <c r="D935" s="326"/>
      <c r="E935" s="326"/>
      <c r="F935" s="326"/>
      <c r="G935" s="326"/>
      <c r="H935" s="326"/>
      <c r="I935" s="326"/>
      <c r="J935" s="326"/>
      <c r="K935" s="326"/>
      <c r="L935" s="326"/>
      <c r="M935" s="326"/>
      <c r="N935" s="326"/>
      <c r="O935" s="326"/>
      <c r="P935" s="326"/>
      <c r="Q935" s="326"/>
      <c r="R935" s="326"/>
      <c r="S935" s="326"/>
      <c r="T935" s="326"/>
      <c r="U935" s="326"/>
      <c r="V935" s="326"/>
      <c r="W935" s="326"/>
      <c r="X935" s="326"/>
      <c r="Y935" s="326"/>
    </row>
    <row r="936">
      <c r="A936" s="326"/>
      <c r="B936" s="326"/>
      <c r="C936" s="326"/>
      <c r="D936" s="326"/>
      <c r="E936" s="326"/>
      <c r="F936" s="326"/>
      <c r="G936" s="326"/>
      <c r="H936" s="326"/>
      <c r="I936" s="326"/>
      <c r="J936" s="326"/>
      <c r="K936" s="326"/>
      <c r="L936" s="326"/>
      <c r="M936" s="326"/>
      <c r="N936" s="326"/>
      <c r="O936" s="326"/>
      <c r="P936" s="326"/>
      <c r="Q936" s="326"/>
      <c r="R936" s="326"/>
      <c r="S936" s="326"/>
      <c r="T936" s="326"/>
      <c r="U936" s="326"/>
      <c r="V936" s="326"/>
      <c r="W936" s="326"/>
      <c r="X936" s="326"/>
      <c r="Y936" s="326"/>
    </row>
    <row r="937">
      <c r="A937" s="326"/>
      <c r="B937" s="326"/>
      <c r="C937" s="326"/>
      <c r="D937" s="326"/>
      <c r="E937" s="326"/>
      <c r="F937" s="326"/>
      <c r="G937" s="326"/>
      <c r="H937" s="326"/>
      <c r="I937" s="326"/>
      <c r="J937" s="326"/>
      <c r="K937" s="326"/>
      <c r="L937" s="326"/>
      <c r="M937" s="326"/>
      <c r="N937" s="326"/>
      <c r="O937" s="326"/>
      <c r="P937" s="326"/>
      <c r="Q937" s="326"/>
      <c r="R937" s="326"/>
      <c r="S937" s="326"/>
      <c r="T937" s="326"/>
      <c r="U937" s="326"/>
      <c r="V937" s="326"/>
      <c r="W937" s="326"/>
      <c r="X937" s="326"/>
      <c r="Y937" s="326"/>
    </row>
    <row r="938">
      <c r="A938" s="326"/>
      <c r="B938" s="326"/>
      <c r="C938" s="326"/>
      <c r="D938" s="326"/>
      <c r="E938" s="326"/>
      <c r="F938" s="326"/>
      <c r="G938" s="326"/>
      <c r="H938" s="326"/>
      <c r="I938" s="326"/>
      <c r="J938" s="326"/>
      <c r="K938" s="326"/>
      <c r="L938" s="326"/>
      <c r="M938" s="326"/>
      <c r="N938" s="326"/>
      <c r="O938" s="326"/>
      <c r="P938" s="326"/>
      <c r="Q938" s="326"/>
      <c r="R938" s="326"/>
      <c r="S938" s="326"/>
      <c r="T938" s="326"/>
      <c r="U938" s="326"/>
      <c r="V938" s="326"/>
      <c r="W938" s="326"/>
      <c r="X938" s="326"/>
      <c r="Y938" s="326"/>
    </row>
    <row r="939">
      <c r="A939" s="326"/>
      <c r="B939" s="326"/>
      <c r="C939" s="326"/>
      <c r="D939" s="326"/>
      <c r="E939" s="326"/>
      <c r="F939" s="326"/>
      <c r="G939" s="326"/>
      <c r="H939" s="326"/>
      <c r="I939" s="326"/>
      <c r="J939" s="326"/>
      <c r="K939" s="326"/>
      <c r="L939" s="326"/>
      <c r="M939" s="326"/>
      <c r="N939" s="326"/>
      <c r="O939" s="326"/>
      <c r="P939" s="326"/>
      <c r="Q939" s="326"/>
      <c r="R939" s="326"/>
      <c r="S939" s="326"/>
      <c r="T939" s="326"/>
      <c r="U939" s="326"/>
      <c r="V939" s="326"/>
      <c r="W939" s="326"/>
      <c r="X939" s="326"/>
      <c r="Y939" s="326"/>
    </row>
    <row r="940">
      <c r="A940" s="326"/>
      <c r="B940" s="326"/>
      <c r="C940" s="326"/>
      <c r="D940" s="326"/>
      <c r="E940" s="326"/>
      <c r="F940" s="326"/>
      <c r="G940" s="326"/>
      <c r="H940" s="326"/>
      <c r="I940" s="326"/>
      <c r="J940" s="326"/>
      <c r="K940" s="326"/>
      <c r="L940" s="326"/>
      <c r="M940" s="326"/>
      <c r="N940" s="326"/>
      <c r="O940" s="326"/>
      <c r="P940" s="326"/>
      <c r="Q940" s="326"/>
      <c r="R940" s="326"/>
      <c r="S940" s="326"/>
      <c r="T940" s="326"/>
      <c r="U940" s="326"/>
      <c r="V940" s="326"/>
      <c r="W940" s="326"/>
      <c r="X940" s="326"/>
      <c r="Y940" s="326"/>
    </row>
    <row r="941">
      <c r="A941" s="326"/>
      <c r="B941" s="326"/>
      <c r="C941" s="326"/>
      <c r="D941" s="326"/>
      <c r="E941" s="326"/>
      <c r="F941" s="326"/>
      <c r="G941" s="326"/>
      <c r="H941" s="326"/>
      <c r="I941" s="326"/>
      <c r="J941" s="326"/>
      <c r="K941" s="326"/>
      <c r="L941" s="326"/>
      <c r="M941" s="326"/>
      <c r="N941" s="326"/>
      <c r="O941" s="326"/>
      <c r="P941" s="326"/>
      <c r="Q941" s="326"/>
      <c r="R941" s="326"/>
      <c r="S941" s="326"/>
      <c r="T941" s="326"/>
      <c r="U941" s="326"/>
      <c r="V941" s="326"/>
      <c r="W941" s="326"/>
      <c r="X941" s="326"/>
      <c r="Y941" s="326"/>
    </row>
    <row r="942">
      <c r="A942" s="326"/>
      <c r="B942" s="326"/>
      <c r="C942" s="326"/>
      <c r="D942" s="326"/>
      <c r="E942" s="326"/>
      <c r="F942" s="326"/>
      <c r="G942" s="326"/>
      <c r="H942" s="326"/>
      <c r="I942" s="326"/>
      <c r="J942" s="326"/>
      <c r="K942" s="326"/>
      <c r="L942" s="326"/>
      <c r="M942" s="326"/>
      <c r="N942" s="326"/>
      <c r="O942" s="326"/>
      <c r="P942" s="326"/>
      <c r="Q942" s="326"/>
      <c r="R942" s="326"/>
      <c r="S942" s="326"/>
      <c r="T942" s="326"/>
      <c r="U942" s="326"/>
      <c r="V942" s="326"/>
      <c r="W942" s="326"/>
      <c r="X942" s="326"/>
      <c r="Y942" s="326"/>
    </row>
    <row r="943">
      <c r="A943" s="326"/>
      <c r="B943" s="326"/>
      <c r="C943" s="326"/>
      <c r="D943" s="326"/>
      <c r="E943" s="326"/>
      <c r="F943" s="326"/>
      <c r="G943" s="326"/>
      <c r="H943" s="326"/>
      <c r="I943" s="326"/>
      <c r="J943" s="326"/>
      <c r="K943" s="326"/>
      <c r="L943" s="326"/>
      <c r="M943" s="326"/>
      <c r="N943" s="326"/>
      <c r="O943" s="326"/>
      <c r="P943" s="326"/>
      <c r="Q943" s="326"/>
      <c r="R943" s="326"/>
      <c r="S943" s="326"/>
      <c r="T943" s="326"/>
      <c r="U943" s="326"/>
      <c r="V943" s="326"/>
      <c r="W943" s="326"/>
      <c r="X943" s="326"/>
      <c r="Y943" s="326"/>
    </row>
    <row r="944">
      <c r="A944" s="326"/>
      <c r="B944" s="326"/>
      <c r="C944" s="326"/>
      <c r="D944" s="326"/>
      <c r="E944" s="326"/>
      <c r="F944" s="326"/>
      <c r="G944" s="326"/>
      <c r="H944" s="326"/>
      <c r="I944" s="326"/>
      <c r="J944" s="326"/>
      <c r="K944" s="326"/>
      <c r="L944" s="326"/>
      <c r="M944" s="326"/>
      <c r="N944" s="326"/>
      <c r="O944" s="326"/>
      <c r="P944" s="326"/>
      <c r="Q944" s="326"/>
      <c r="R944" s="326"/>
      <c r="S944" s="326"/>
      <c r="T944" s="326"/>
      <c r="U944" s="326"/>
      <c r="V944" s="326"/>
      <c r="W944" s="326"/>
      <c r="X944" s="326"/>
      <c r="Y944" s="326"/>
    </row>
    <row r="945">
      <c r="A945" s="326"/>
      <c r="B945" s="326"/>
      <c r="C945" s="326"/>
      <c r="D945" s="326"/>
      <c r="E945" s="326"/>
      <c r="F945" s="326"/>
      <c r="G945" s="326"/>
      <c r="H945" s="326"/>
      <c r="I945" s="326"/>
      <c r="J945" s="326"/>
      <c r="K945" s="326"/>
      <c r="L945" s="326"/>
      <c r="M945" s="326"/>
      <c r="N945" s="326"/>
      <c r="O945" s="326"/>
      <c r="P945" s="326"/>
      <c r="Q945" s="326"/>
      <c r="R945" s="326"/>
      <c r="S945" s="326"/>
      <c r="T945" s="326"/>
      <c r="U945" s="326"/>
      <c r="V945" s="326"/>
      <c r="W945" s="326"/>
      <c r="X945" s="326"/>
      <c r="Y945" s="326"/>
    </row>
    <row r="946">
      <c r="A946" s="326"/>
      <c r="B946" s="326"/>
      <c r="C946" s="326"/>
      <c r="D946" s="326"/>
      <c r="E946" s="326"/>
      <c r="F946" s="326"/>
      <c r="G946" s="326"/>
      <c r="H946" s="326"/>
      <c r="I946" s="326"/>
      <c r="J946" s="326"/>
      <c r="K946" s="326"/>
      <c r="L946" s="326"/>
      <c r="M946" s="326"/>
      <c r="N946" s="326"/>
      <c r="O946" s="326"/>
      <c r="P946" s="326"/>
      <c r="Q946" s="326"/>
      <c r="R946" s="326"/>
      <c r="S946" s="326"/>
      <c r="T946" s="326"/>
      <c r="U946" s="326"/>
      <c r="V946" s="326"/>
      <c r="W946" s="326"/>
      <c r="X946" s="326"/>
      <c r="Y946" s="326"/>
    </row>
    <row r="947">
      <c r="A947" s="326"/>
      <c r="B947" s="326"/>
      <c r="C947" s="326"/>
      <c r="D947" s="326"/>
      <c r="E947" s="326"/>
      <c r="F947" s="326"/>
      <c r="G947" s="326"/>
      <c r="H947" s="326"/>
      <c r="I947" s="326"/>
      <c r="J947" s="326"/>
      <c r="K947" s="326"/>
      <c r="L947" s="326"/>
      <c r="M947" s="326"/>
      <c r="N947" s="326"/>
      <c r="O947" s="326"/>
      <c r="P947" s="326"/>
      <c r="Q947" s="326"/>
      <c r="R947" s="326"/>
      <c r="S947" s="326"/>
      <c r="T947" s="326"/>
      <c r="U947" s="326"/>
      <c r="V947" s="326"/>
      <c r="W947" s="326"/>
      <c r="X947" s="326"/>
      <c r="Y947" s="326"/>
    </row>
    <row r="948">
      <c r="A948" s="326"/>
      <c r="B948" s="326"/>
      <c r="C948" s="326"/>
      <c r="D948" s="326"/>
      <c r="E948" s="326"/>
      <c r="F948" s="326"/>
      <c r="G948" s="326"/>
      <c r="H948" s="326"/>
      <c r="I948" s="326"/>
      <c r="J948" s="326"/>
      <c r="K948" s="326"/>
      <c r="L948" s="326"/>
      <c r="M948" s="326"/>
      <c r="N948" s="326"/>
      <c r="O948" s="326"/>
      <c r="P948" s="326"/>
      <c r="Q948" s="326"/>
      <c r="R948" s="326"/>
      <c r="S948" s="326"/>
      <c r="T948" s="326"/>
      <c r="U948" s="326"/>
      <c r="V948" s="326"/>
      <c r="W948" s="326"/>
      <c r="X948" s="326"/>
      <c r="Y948" s="326"/>
    </row>
    <row r="949">
      <c r="A949" s="326"/>
      <c r="B949" s="326"/>
      <c r="C949" s="326"/>
      <c r="D949" s="326"/>
      <c r="E949" s="326"/>
      <c r="F949" s="326"/>
      <c r="G949" s="326"/>
      <c r="H949" s="326"/>
      <c r="I949" s="326"/>
      <c r="J949" s="326"/>
      <c r="K949" s="326"/>
      <c r="L949" s="326"/>
      <c r="M949" s="326"/>
      <c r="N949" s="326"/>
      <c r="O949" s="326"/>
      <c r="P949" s="326"/>
      <c r="Q949" s="326"/>
      <c r="R949" s="326"/>
      <c r="S949" s="326"/>
      <c r="T949" s="326"/>
      <c r="U949" s="326"/>
      <c r="V949" s="326"/>
      <c r="W949" s="326"/>
      <c r="X949" s="326"/>
      <c r="Y949" s="326"/>
    </row>
    <row r="950">
      <c r="A950" s="326"/>
      <c r="B950" s="326"/>
      <c r="C950" s="326"/>
      <c r="D950" s="326"/>
      <c r="E950" s="326"/>
      <c r="F950" s="326"/>
      <c r="G950" s="326"/>
      <c r="H950" s="326"/>
      <c r="I950" s="326"/>
      <c r="J950" s="326"/>
      <c r="K950" s="326"/>
      <c r="L950" s="326"/>
      <c r="M950" s="326"/>
      <c r="N950" s="326"/>
      <c r="O950" s="326"/>
      <c r="P950" s="326"/>
      <c r="Q950" s="326"/>
      <c r="R950" s="326"/>
      <c r="S950" s="326"/>
      <c r="T950" s="326"/>
      <c r="U950" s="326"/>
      <c r="V950" s="326"/>
      <c r="W950" s="326"/>
      <c r="X950" s="326"/>
      <c r="Y950" s="326"/>
    </row>
    <row r="951">
      <c r="A951" s="326"/>
      <c r="B951" s="326"/>
      <c r="C951" s="326"/>
      <c r="D951" s="326"/>
      <c r="E951" s="326"/>
      <c r="F951" s="326"/>
      <c r="G951" s="326"/>
      <c r="H951" s="326"/>
      <c r="I951" s="326"/>
      <c r="J951" s="326"/>
      <c r="K951" s="326"/>
      <c r="L951" s="326"/>
      <c r="M951" s="326"/>
      <c r="N951" s="326"/>
      <c r="O951" s="326"/>
      <c r="P951" s="326"/>
      <c r="Q951" s="326"/>
      <c r="R951" s="326"/>
      <c r="S951" s="326"/>
      <c r="T951" s="326"/>
      <c r="U951" s="326"/>
      <c r="V951" s="326"/>
      <c r="W951" s="326"/>
      <c r="X951" s="326"/>
      <c r="Y951" s="326"/>
    </row>
    <row r="952">
      <c r="A952" s="326"/>
      <c r="B952" s="326"/>
      <c r="C952" s="326"/>
      <c r="D952" s="326"/>
      <c r="E952" s="326"/>
      <c r="F952" s="326"/>
      <c r="G952" s="326"/>
      <c r="H952" s="326"/>
      <c r="I952" s="326"/>
      <c r="J952" s="326"/>
      <c r="K952" s="326"/>
      <c r="L952" s="326"/>
      <c r="M952" s="326"/>
      <c r="N952" s="326"/>
      <c r="O952" s="326"/>
      <c r="P952" s="326"/>
      <c r="Q952" s="326"/>
      <c r="R952" s="326"/>
      <c r="S952" s="326"/>
      <c r="T952" s="326"/>
      <c r="U952" s="326"/>
      <c r="V952" s="326"/>
      <c r="W952" s="326"/>
      <c r="X952" s="326"/>
      <c r="Y952" s="326"/>
    </row>
    <row r="953">
      <c r="A953" s="326"/>
      <c r="B953" s="326"/>
      <c r="C953" s="326"/>
      <c r="D953" s="326"/>
      <c r="E953" s="326"/>
      <c r="F953" s="326"/>
      <c r="G953" s="326"/>
      <c r="H953" s="326"/>
      <c r="I953" s="326"/>
      <c r="J953" s="326"/>
      <c r="K953" s="326"/>
      <c r="L953" s="326"/>
      <c r="M953" s="326"/>
      <c r="N953" s="326"/>
      <c r="O953" s="326"/>
      <c r="P953" s="326"/>
      <c r="Q953" s="326"/>
      <c r="R953" s="326"/>
      <c r="S953" s="326"/>
      <c r="T953" s="326"/>
      <c r="U953" s="326"/>
      <c r="V953" s="326"/>
      <c r="W953" s="326"/>
      <c r="X953" s="326"/>
      <c r="Y953" s="326"/>
    </row>
    <row r="954">
      <c r="A954" s="326"/>
      <c r="B954" s="326"/>
      <c r="C954" s="326"/>
      <c r="D954" s="326"/>
      <c r="E954" s="326"/>
      <c r="F954" s="326"/>
      <c r="G954" s="326"/>
      <c r="H954" s="326"/>
      <c r="I954" s="326"/>
      <c r="J954" s="326"/>
      <c r="K954" s="326"/>
      <c r="L954" s="326"/>
      <c r="M954" s="326"/>
      <c r="N954" s="326"/>
      <c r="O954" s="326"/>
      <c r="P954" s="326"/>
      <c r="Q954" s="326"/>
      <c r="R954" s="326"/>
      <c r="S954" s="326"/>
      <c r="T954" s="326"/>
      <c r="U954" s="326"/>
      <c r="V954" s="326"/>
      <c r="W954" s="326"/>
      <c r="X954" s="326"/>
      <c r="Y954" s="326"/>
    </row>
    <row r="955">
      <c r="A955" s="326"/>
      <c r="B955" s="326"/>
      <c r="C955" s="326"/>
      <c r="D955" s="326"/>
      <c r="E955" s="326"/>
      <c r="F955" s="326"/>
      <c r="G955" s="326"/>
      <c r="H955" s="326"/>
      <c r="I955" s="326"/>
      <c r="J955" s="326"/>
      <c r="K955" s="326"/>
      <c r="L955" s="326"/>
      <c r="M955" s="326"/>
      <c r="N955" s="326"/>
      <c r="O955" s="326"/>
      <c r="P955" s="326"/>
      <c r="Q955" s="326"/>
      <c r="R955" s="326"/>
      <c r="S955" s="326"/>
      <c r="T955" s="326"/>
      <c r="U955" s="326"/>
      <c r="V955" s="326"/>
      <c r="W955" s="326"/>
      <c r="X955" s="326"/>
      <c r="Y955" s="326"/>
    </row>
    <row r="956">
      <c r="A956" s="326"/>
      <c r="B956" s="326"/>
      <c r="C956" s="326"/>
      <c r="D956" s="326"/>
      <c r="E956" s="326"/>
      <c r="F956" s="326"/>
      <c r="G956" s="326"/>
      <c r="H956" s="326"/>
      <c r="I956" s="326"/>
      <c r="J956" s="326"/>
      <c r="K956" s="326"/>
      <c r="L956" s="326"/>
      <c r="M956" s="326"/>
      <c r="N956" s="326"/>
      <c r="O956" s="326"/>
      <c r="P956" s="326"/>
      <c r="Q956" s="326"/>
      <c r="R956" s="326"/>
      <c r="S956" s="326"/>
      <c r="T956" s="326"/>
      <c r="U956" s="326"/>
      <c r="V956" s="326"/>
      <c r="W956" s="326"/>
      <c r="X956" s="326"/>
      <c r="Y956" s="326"/>
    </row>
    <row r="957">
      <c r="A957" s="326"/>
      <c r="B957" s="326"/>
      <c r="C957" s="326"/>
      <c r="D957" s="326"/>
      <c r="E957" s="326"/>
      <c r="F957" s="326"/>
      <c r="G957" s="326"/>
      <c r="H957" s="326"/>
      <c r="I957" s="326"/>
      <c r="J957" s="326"/>
      <c r="K957" s="326"/>
      <c r="L957" s="326"/>
      <c r="M957" s="326"/>
      <c r="N957" s="326"/>
      <c r="O957" s="326"/>
      <c r="P957" s="326"/>
      <c r="Q957" s="326"/>
      <c r="R957" s="326"/>
      <c r="S957" s="326"/>
      <c r="T957" s="326"/>
      <c r="U957" s="326"/>
      <c r="V957" s="326"/>
      <c r="W957" s="326"/>
      <c r="X957" s="326"/>
      <c r="Y957" s="326"/>
    </row>
    <row r="958">
      <c r="A958" s="326"/>
      <c r="B958" s="326"/>
      <c r="C958" s="326"/>
      <c r="D958" s="326"/>
      <c r="E958" s="326"/>
      <c r="F958" s="326"/>
      <c r="G958" s="326"/>
      <c r="H958" s="326"/>
      <c r="I958" s="326"/>
      <c r="J958" s="326"/>
      <c r="K958" s="326"/>
      <c r="L958" s="326"/>
      <c r="M958" s="326"/>
      <c r="N958" s="326"/>
      <c r="O958" s="326"/>
      <c r="P958" s="326"/>
      <c r="Q958" s="326"/>
      <c r="R958" s="326"/>
      <c r="S958" s="326"/>
      <c r="T958" s="326"/>
      <c r="U958" s="326"/>
      <c r="V958" s="326"/>
      <c r="W958" s="326"/>
      <c r="X958" s="326"/>
      <c r="Y958" s="326"/>
    </row>
    <row r="959">
      <c r="A959" s="326"/>
      <c r="B959" s="326"/>
      <c r="C959" s="326"/>
      <c r="D959" s="326"/>
      <c r="E959" s="326"/>
      <c r="F959" s="326"/>
      <c r="G959" s="326"/>
      <c r="H959" s="326"/>
      <c r="I959" s="326"/>
      <c r="J959" s="326"/>
      <c r="K959" s="326"/>
      <c r="L959" s="326"/>
      <c r="M959" s="326"/>
      <c r="N959" s="326"/>
      <c r="O959" s="326"/>
      <c r="P959" s="326"/>
      <c r="Q959" s="326"/>
      <c r="R959" s="326"/>
      <c r="S959" s="326"/>
      <c r="T959" s="326"/>
      <c r="U959" s="326"/>
      <c r="V959" s="326"/>
      <c r="W959" s="326"/>
      <c r="X959" s="326"/>
      <c r="Y959" s="326"/>
    </row>
    <row r="960">
      <c r="A960" s="326"/>
      <c r="B960" s="326"/>
      <c r="C960" s="326"/>
      <c r="D960" s="326"/>
      <c r="E960" s="326"/>
      <c r="F960" s="326"/>
      <c r="G960" s="326"/>
      <c r="H960" s="326"/>
      <c r="I960" s="326"/>
      <c r="J960" s="326"/>
      <c r="K960" s="326"/>
      <c r="L960" s="326"/>
      <c r="M960" s="326"/>
      <c r="N960" s="326"/>
      <c r="O960" s="326"/>
      <c r="P960" s="326"/>
      <c r="Q960" s="326"/>
      <c r="R960" s="326"/>
      <c r="S960" s="326"/>
      <c r="T960" s="326"/>
      <c r="U960" s="326"/>
      <c r="V960" s="326"/>
      <c r="W960" s="326"/>
      <c r="X960" s="326"/>
      <c r="Y960" s="326"/>
    </row>
    <row r="961">
      <c r="A961" s="326"/>
      <c r="B961" s="326"/>
      <c r="C961" s="326"/>
      <c r="D961" s="326"/>
      <c r="E961" s="326"/>
      <c r="F961" s="326"/>
      <c r="G961" s="326"/>
      <c r="H961" s="326"/>
      <c r="I961" s="326"/>
      <c r="J961" s="326"/>
      <c r="K961" s="326"/>
      <c r="L961" s="326"/>
      <c r="M961" s="326"/>
      <c r="N961" s="326"/>
      <c r="O961" s="326"/>
      <c r="P961" s="326"/>
      <c r="Q961" s="326"/>
      <c r="R961" s="326"/>
      <c r="S961" s="326"/>
      <c r="T961" s="326"/>
      <c r="U961" s="326"/>
      <c r="V961" s="326"/>
      <c r="W961" s="326"/>
      <c r="X961" s="326"/>
      <c r="Y961" s="326"/>
    </row>
    <row r="962">
      <c r="A962" s="326"/>
      <c r="B962" s="326"/>
      <c r="C962" s="326"/>
      <c r="D962" s="326"/>
      <c r="E962" s="326"/>
      <c r="F962" s="326"/>
      <c r="G962" s="326"/>
      <c r="H962" s="326"/>
      <c r="I962" s="326"/>
      <c r="J962" s="326"/>
      <c r="K962" s="326"/>
      <c r="L962" s="326"/>
      <c r="M962" s="326"/>
      <c r="N962" s="326"/>
      <c r="O962" s="326"/>
      <c r="P962" s="326"/>
      <c r="Q962" s="326"/>
      <c r="R962" s="326"/>
      <c r="S962" s="326"/>
      <c r="T962" s="326"/>
      <c r="U962" s="326"/>
      <c r="V962" s="326"/>
      <c r="W962" s="326"/>
      <c r="X962" s="326"/>
      <c r="Y962" s="326"/>
    </row>
    <row r="963">
      <c r="A963" s="326"/>
      <c r="B963" s="326"/>
      <c r="C963" s="326"/>
      <c r="D963" s="326"/>
      <c r="E963" s="326"/>
      <c r="F963" s="326"/>
      <c r="G963" s="326"/>
      <c r="H963" s="326"/>
      <c r="I963" s="326"/>
      <c r="J963" s="326"/>
      <c r="K963" s="326"/>
      <c r="L963" s="326"/>
      <c r="M963" s="326"/>
      <c r="N963" s="326"/>
      <c r="O963" s="326"/>
      <c r="P963" s="326"/>
      <c r="Q963" s="326"/>
      <c r="R963" s="326"/>
      <c r="S963" s="326"/>
      <c r="T963" s="326"/>
      <c r="U963" s="326"/>
      <c r="V963" s="326"/>
      <c r="W963" s="326"/>
      <c r="X963" s="326"/>
      <c r="Y963" s="326"/>
    </row>
    <row r="964">
      <c r="A964" s="326"/>
      <c r="B964" s="326"/>
      <c r="C964" s="326"/>
      <c r="D964" s="326"/>
      <c r="E964" s="326"/>
      <c r="F964" s="326"/>
      <c r="G964" s="326"/>
      <c r="H964" s="326"/>
      <c r="I964" s="326"/>
      <c r="J964" s="326"/>
      <c r="K964" s="326"/>
      <c r="L964" s="326"/>
      <c r="M964" s="326"/>
      <c r="N964" s="326"/>
      <c r="O964" s="326"/>
      <c r="P964" s="326"/>
      <c r="Q964" s="326"/>
      <c r="R964" s="326"/>
      <c r="S964" s="326"/>
      <c r="T964" s="326"/>
      <c r="U964" s="326"/>
      <c r="V964" s="326"/>
      <c r="W964" s="326"/>
      <c r="X964" s="326"/>
      <c r="Y964" s="326"/>
    </row>
    <row r="965">
      <c r="A965" s="326"/>
      <c r="B965" s="326"/>
      <c r="C965" s="326"/>
      <c r="D965" s="326"/>
      <c r="E965" s="326"/>
      <c r="F965" s="326"/>
      <c r="G965" s="326"/>
      <c r="H965" s="326"/>
      <c r="I965" s="326"/>
      <c r="J965" s="326"/>
      <c r="K965" s="326"/>
      <c r="L965" s="326"/>
      <c r="M965" s="326"/>
      <c r="N965" s="326"/>
      <c r="O965" s="326"/>
      <c r="P965" s="326"/>
      <c r="Q965" s="326"/>
      <c r="R965" s="326"/>
      <c r="S965" s="326"/>
      <c r="T965" s="326"/>
      <c r="U965" s="326"/>
      <c r="V965" s="326"/>
      <c r="W965" s="326"/>
      <c r="X965" s="326"/>
      <c r="Y965" s="326"/>
    </row>
    <row r="966">
      <c r="A966" s="326"/>
      <c r="B966" s="326"/>
      <c r="C966" s="326"/>
      <c r="D966" s="326"/>
      <c r="E966" s="326"/>
      <c r="F966" s="326"/>
      <c r="G966" s="326"/>
      <c r="H966" s="326"/>
      <c r="I966" s="326"/>
      <c r="J966" s="326"/>
      <c r="K966" s="326"/>
      <c r="L966" s="326"/>
      <c r="M966" s="326"/>
      <c r="N966" s="326"/>
      <c r="O966" s="326"/>
      <c r="P966" s="326"/>
      <c r="Q966" s="326"/>
      <c r="R966" s="326"/>
      <c r="S966" s="326"/>
      <c r="T966" s="326"/>
      <c r="U966" s="326"/>
      <c r="V966" s="326"/>
      <c r="W966" s="326"/>
      <c r="X966" s="326"/>
      <c r="Y966" s="326"/>
    </row>
    <row r="967">
      <c r="A967" s="326"/>
      <c r="B967" s="326"/>
      <c r="C967" s="326"/>
      <c r="D967" s="326"/>
      <c r="E967" s="326"/>
      <c r="F967" s="326"/>
      <c r="G967" s="326"/>
      <c r="H967" s="326"/>
      <c r="I967" s="326"/>
      <c r="J967" s="326"/>
      <c r="K967" s="326"/>
      <c r="L967" s="326"/>
      <c r="M967" s="326"/>
      <c r="N967" s="326"/>
      <c r="O967" s="326"/>
      <c r="P967" s="326"/>
      <c r="Q967" s="326"/>
      <c r="R967" s="326"/>
      <c r="S967" s="326"/>
      <c r="T967" s="326"/>
      <c r="U967" s="326"/>
      <c r="V967" s="326"/>
      <c r="W967" s="326"/>
      <c r="X967" s="326"/>
      <c r="Y967" s="326"/>
    </row>
    <row r="968">
      <c r="A968" s="326"/>
      <c r="B968" s="326"/>
      <c r="C968" s="326"/>
      <c r="D968" s="326"/>
      <c r="E968" s="326"/>
      <c r="F968" s="326"/>
      <c r="G968" s="326"/>
      <c r="H968" s="326"/>
      <c r="I968" s="326"/>
      <c r="J968" s="326"/>
      <c r="K968" s="326"/>
      <c r="L968" s="326"/>
      <c r="M968" s="326"/>
      <c r="N968" s="326"/>
      <c r="O968" s="326"/>
      <c r="P968" s="326"/>
      <c r="Q968" s="326"/>
      <c r="R968" s="326"/>
      <c r="S968" s="326"/>
      <c r="T968" s="326"/>
      <c r="U968" s="326"/>
      <c r="V968" s="326"/>
      <c r="W968" s="326"/>
      <c r="X968" s="326"/>
      <c r="Y968" s="326"/>
    </row>
    <row r="969">
      <c r="A969" s="326"/>
      <c r="B969" s="326"/>
      <c r="C969" s="326"/>
      <c r="D969" s="326"/>
      <c r="E969" s="326"/>
      <c r="F969" s="326"/>
      <c r="G969" s="326"/>
      <c r="H969" s="326"/>
      <c r="I969" s="326"/>
      <c r="J969" s="326"/>
      <c r="K969" s="326"/>
      <c r="L969" s="326"/>
      <c r="M969" s="326"/>
      <c r="N969" s="326"/>
      <c r="O969" s="326"/>
      <c r="P969" s="326"/>
      <c r="Q969" s="326"/>
      <c r="R969" s="326"/>
      <c r="S969" s="326"/>
      <c r="T969" s="326"/>
      <c r="U969" s="326"/>
      <c r="V969" s="326"/>
      <c r="W969" s="326"/>
      <c r="X969" s="326"/>
      <c r="Y969" s="326"/>
    </row>
    <row r="970">
      <c r="A970" s="326"/>
      <c r="B970" s="326"/>
      <c r="C970" s="326"/>
      <c r="D970" s="326"/>
      <c r="E970" s="326"/>
      <c r="F970" s="326"/>
      <c r="G970" s="326"/>
      <c r="H970" s="326"/>
      <c r="I970" s="326"/>
      <c r="J970" s="326"/>
      <c r="K970" s="326"/>
      <c r="L970" s="326"/>
      <c r="M970" s="326"/>
      <c r="N970" s="326"/>
      <c r="O970" s="326"/>
      <c r="P970" s="326"/>
      <c r="Q970" s="326"/>
      <c r="R970" s="326"/>
      <c r="S970" s="326"/>
      <c r="T970" s="326"/>
      <c r="U970" s="326"/>
      <c r="V970" s="326"/>
      <c r="W970" s="326"/>
      <c r="X970" s="326"/>
      <c r="Y970" s="326"/>
    </row>
    <row r="971">
      <c r="A971" s="326"/>
      <c r="B971" s="326"/>
      <c r="C971" s="326"/>
      <c r="D971" s="326"/>
      <c r="E971" s="326"/>
      <c r="F971" s="326"/>
      <c r="G971" s="326"/>
      <c r="H971" s="326"/>
      <c r="I971" s="326"/>
      <c r="J971" s="326"/>
      <c r="K971" s="326"/>
      <c r="L971" s="326"/>
      <c r="M971" s="326"/>
      <c r="N971" s="326"/>
      <c r="O971" s="326"/>
      <c r="P971" s="326"/>
      <c r="Q971" s="326"/>
      <c r="R971" s="326"/>
      <c r="S971" s="326"/>
      <c r="T971" s="326"/>
      <c r="U971" s="326"/>
      <c r="V971" s="326"/>
      <c r="W971" s="326"/>
      <c r="X971" s="326"/>
      <c r="Y971" s="326"/>
    </row>
    <row r="972">
      <c r="A972" s="326"/>
      <c r="B972" s="326"/>
      <c r="C972" s="326"/>
      <c r="D972" s="326"/>
      <c r="E972" s="326"/>
      <c r="F972" s="326"/>
      <c r="G972" s="326"/>
      <c r="H972" s="326"/>
      <c r="I972" s="326"/>
      <c r="J972" s="326"/>
      <c r="K972" s="326"/>
      <c r="L972" s="326"/>
      <c r="M972" s="326"/>
      <c r="N972" s="326"/>
      <c r="O972" s="326"/>
      <c r="P972" s="326"/>
      <c r="Q972" s="326"/>
      <c r="R972" s="326"/>
      <c r="S972" s="326"/>
      <c r="T972" s="326"/>
      <c r="U972" s="326"/>
      <c r="V972" s="326"/>
      <c r="W972" s="326"/>
      <c r="X972" s="326"/>
      <c r="Y972" s="326"/>
    </row>
    <row r="973">
      <c r="A973" s="326"/>
      <c r="B973" s="326"/>
      <c r="C973" s="326"/>
      <c r="D973" s="326"/>
      <c r="E973" s="326"/>
      <c r="F973" s="326"/>
      <c r="G973" s="326"/>
      <c r="H973" s="326"/>
      <c r="I973" s="326"/>
      <c r="J973" s="326"/>
      <c r="K973" s="326"/>
      <c r="L973" s="326"/>
      <c r="M973" s="326"/>
      <c r="N973" s="326"/>
      <c r="O973" s="326"/>
      <c r="P973" s="326"/>
      <c r="Q973" s="326"/>
      <c r="R973" s="326"/>
      <c r="S973" s="326"/>
      <c r="T973" s="326"/>
      <c r="U973" s="326"/>
      <c r="V973" s="326"/>
      <c r="W973" s="326"/>
      <c r="X973" s="326"/>
      <c r="Y973" s="326"/>
    </row>
    <row r="974">
      <c r="A974" s="326"/>
      <c r="B974" s="326"/>
      <c r="C974" s="326"/>
      <c r="D974" s="326"/>
      <c r="E974" s="326"/>
      <c r="F974" s="326"/>
      <c r="G974" s="326"/>
      <c r="H974" s="326"/>
      <c r="I974" s="326"/>
      <c r="J974" s="326"/>
      <c r="K974" s="326"/>
      <c r="L974" s="326"/>
      <c r="M974" s="326"/>
      <c r="N974" s="326"/>
      <c r="O974" s="326"/>
      <c r="P974" s="326"/>
      <c r="Q974" s="326"/>
      <c r="R974" s="326"/>
      <c r="S974" s="326"/>
      <c r="T974" s="326"/>
      <c r="U974" s="326"/>
      <c r="V974" s="326"/>
      <c r="W974" s="326"/>
      <c r="X974" s="326"/>
      <c r="Y974" s="326"/>
    </row>
    <row r="975">
      <c r="A975" s="326"/>
      <c r="B975" s="326"/>
      <c r="C975" s="326"/>
      <c r="D975" s="326"/>
      <c r="E975" s="326"/>
      <c r="F975" s="326"/>
      <c r="G975" s="326"/>
      <c r="H975" s="326"/>
      <c r="I975" s="326"/>
      <c r="J975" s="326"/>
      <c r="K975" s="326"/>
      <c r="L975" s="326"/>
      <c r="M975" s="326"/>
      <c r="N975" s="326"/>
      <c r="O975" s="326"/>
      <c r="P975" s="326"/>
      <c r="Q975" s="326"/>
      <c r="R975" s="326"/>
      <c r="S975" s="326"/>
      <c r="T975" s="326"/>
      <c r="U975" s="326"/>
      <c r="V975" s="326"/>
      <c r="W975" s="326"/>
      <c r="X975" s="326"/>
      <c r="Y975" s="326"/>
    </row>
    <row r="976">
      <c r="A976" s="326"/>
      <c r="B976" s="326"/>
      <c r="C976" s="326"/>
      <c r="D976" s="326"/>
      <c r="E976" s="326"/>
      <c r="F976" s="326"/>
      <c r="G976" s="326"/>
      <c r="H976" s="326"/>
      <c r="I976" s="326"/>
      <c r="J976" s="326"/>
      <c r="K976" s="326"/>
      <c r="L976" s="326"/>
      <c r="M976" s="326"/>
      <c r="N976" s="326"/>
      <c r="O976" s="326"/>
      <c r="P976" s="326"/>
      <c r="Q976" s="326"/>
      <c r="R976" s="326"/>
      <c r="S976" s="326"/>
      <c r="T976" s="326"/>
      <c r="U976" s="326"/>
      <c r="V976" s="326"/>
      <c r="W976" s="326"/>
      <c r="X976" s="326"/>
      <c r="Y976" s="326"/>
    </row>
    <row r="977">
      <c r="A977" s="326"/>
      <c r="B977" s="326"/>
      <c r="C977" s="326"/>
      <c r="D977" s="326"/>
      <c r="E977" s="326"/>
      <c r="F977" s="326"/>
      <c r="G977" s="326"/>
      <c r="H977" s="326"/>
      <c r="I977" s="326"/>
      <c r="J977" s="326"/>
      <c r="K977" s="326"/>
      <c r="L977" s="326"/>
      <c r="M977" s="326"/>
      <c r="N977" s="326"/>
      <c r="O977" s="326"/>
      <c r="P977" s="326"/>
      <c r="Q977" s="326"/>
      <c r="R977" s="326"/>
      <c r="S977" s="326"/>
      <c r="T977" s="326"/>
      <c r="U977" s="326"/>
      <c r="V977" s="326"/>
      <c r="W977" s="326"/>
      <c r="X977" s="326"/>
      <c r="Y977" s="326"/>
    </row>
    <row r="978">
      <c r="A978" s="326"/>
      <c r="B978" s="326"/>
      <c r="C978" s="326"/>
      <c r="D978" s="326"/>
      <c r="E978" s="326"/>
      <c r="F978" s="326"/>
      <c r="G978" s="326"/>
      <c r="H978" s="326"/>
      <c r="I978" s="326"/>
      <c r="J978" s="326"/>
      <c r="K978" s="326"/>
      <c r="L978" s="326"/>
      <c r="M978" s="326"/>
      <c r="N978" s="326"/>
      <c r="O978" s="326"/>
      <c r="P978" s="326"/>
      <c r="Q978" s="326"/>
      <c r="R978" s="326"/>
      <c r="S978" s="326"/>
      <c r="T978" s="326"/>
      <c r="U978" s="326"/>
      <c r="V978" s="326"/>
      <c r="W978" s="326"/>
      <c r="X978" s="326"/>
      <c r="Y978" s="326"/>
    </row>
    <row r="979">
      <c r="A979" s="326"/>
      <c r="B979" s="326"/>
      <c r="C979" s="326"/>
      <c r="D979" s="326"/>
      <c r="E979" s="326"/>
      <c r="F979" s="326"/>
      <c r="G979" s="326"/>
      <c r="H979" s="326"/>
      <c r="I979" s="326"/>
      <c r="J979" s="326"/>
      <c r="K979" s="326"/>
      <c r="L979" s="326"/>
      <c r="M979" s="326"/>
      <c r="N979" s="326"/>
      <c r="O979" s="326"/>
      <c r="P979" s="326"/>
      <c r="Q979" s="326"/>
      <c r="R979" s="326"/>
      <c r="S979" s="326"/>
      <c r="T979" s="326"/>
      <c r="U979" s="326"/>
      <c r="V979" s="326"/>
      <c r="W979" s="326"/>
      <c r="X979" s="326"/>
      <c r="Y979" s="326"/>
    </row>
    <row r="980">
      <c r="A980" s="326"/>
      <c r="B980" s="326"/>
      <c r="C980" s="326"/>
      <c r="D980" s="326"/>
      <c r="E980" s="326"/>
      <c r="F980" s="326"/>
      <c r="G980" s="326"/>
      <c r="H980" s="326"/>
      <c r="I980" s="326"/>
      <c r="J980" s="326"/>
      <c r="K980" s="326"/>
      <c r="L980" s="326"/>
      <c r="M980" s="326"/>
      <c r="N980" s="326"/>
      <c r="O980" s="326"/>
      <c r="P980" s="326"/>
      <c r="Q980" s="326"/>
      <c r="R980" s="326"/>
      <c r="S980" s="326"/>
      <c r="T980" s="326"/>
      <c r="U980" s="326"/>
      <c r="V980" s="326"/>
      <c r="W980" s="326"/>
      <c r="X980" s="326"/>
      <c r="Y980" s="326"/>
    </row>
    <row r="981">
      <c r="A981" s="326"/>
      <c r="B981" s="326"/>
      <c r="C981" s="326"/>
      <c r="D981" s="326"/>
      <c r="E981" s="326"/>
      <c r="F981" s="326"/>
      <c r="G981" s="326"/>
      <c r="H981" s="326"/>
      <c r="I981" s="326"/>
      <c r="J981" s="326"/>
      <c r="K981" s="326"/>
      <c r="L981" s="326"/>
      <c r="M981" s="326"/>
      <c r="N981" s="326"/>
      <c r="O981" s="326"/>
      <c r="P981" s="326"/>
      <c r="Q981" s="326"/>
      <c r="R981" s="326"/>
      <c r="S981" s="326"/>
      <c r="T981" s="326"/>
      <c r="U981" s="326"/>
      <c r="V981" s="326"/>
      <c r="W981" s="326"/>
      <c r="X981" s="326"/>
      <c r="Y981" s="326"/>
    </row>
    <row r="982">
      <c r="A982" s="326"/>
      <c r="B982" s="326"/>
      <c r="C982" s="326"/>
      <c r="D982" s="326"/>
      <c r="E982" s="326"/>
      <c r="F982" s="326"/>
      <c r="G982" s="326"/>
      <c r="H982" s="326"/>
      <c r="I982" s="326"/>
      <c r="J982" s="326"/>
      <c r="K982" s="326"/>
      <c r="L982" s="326"/>
      <c r="M982" s="326"/>
      <c r="N982" s="326"/>
      <c r="O982" s="326"/>
      <c r="P982" s="326"/>
      <c r="Q982" s="326"/>
      <c r="R982" s="326"/>
      <c r="S982" s="326"/>
      <c r="T982" s="326"/>
      <c r="U982" s="326"/>
      <c r="V982" s="326"/>
      <c r="W982" s="326"/>
      <c r="X982" s="326"/>
      <c r="Y982" s="326"/>
    </row>
    <row r="983">
      <c r="A983" s="326"/>
      <c r="B983" s="326"/>
      <c r="C983" s="326"/>
      <c r="D983" s="326"/>
      <c r="E983" s="326"/>
      <c r="F983" s="326"/>
      <c r="G983" s="326"/>
      <c r="H983" s="326"/>
      <c r="I983" s="326"/>
      <c r="J983" s="326"/>
      <c r="K983" s="326"/>
      <c r="L983" s="326"/>
      <c r="M983" s="326"/>
      <c r="N983" s="326"/>
      <c r="O983" s="326"/>
      <c r="P983" s="326"/>
      <c r="Q983" s="326"/>
      <c r="R983" s="326"/>
      <c r="S983" s="326"/>
      <c r="T983" s="326"/>
      <c r="U983" s="326"/>
      <c r="V983" s="326"/>
      <c r="W983" s="326"/>
      <c r="X983" s="326"/>
      <c r="Y983" s="326"/>
    </row>
    <row r="984">
      <c r="A984" s="326"/>
      <c r="B984" s="326"/>
      <c r="C984" s="326"/>
      <c r="D984" s="326"/>
      <c r="E984" s="326"/>
      <c r="F984" s="326"/>
      <c r="G984" s="326"/>
      <c r="H984" s="326"/>
      <c r="I984" s="326"/>
      <c r="J984" s="326"/>
      <c r="K984" s="326"/>
      <c r="L984" s="326"/>
      <c r="M984" s="326"/>
      <c r="N984" s="326"/>
      <c r="O984" s="326"/>
      <c r="P984" s="326"/>
      <c r="Q984" s="326"/>
      <c r="R984" s="326"/>
      <c r="S984" s="326"/>
      <c r="T984" s="326"/>
      <c r="U984" s="326"/>
      <c r="V984" s="326"/>
      <c r="W984" s="326"/>
      <c r="X984" s="326"/>
      <c r="Y984" s="326"/>
    </row>
    <row r="985">
      <c r="A985" s="326"/>
      <c r="B985" s="326"/>
      <c r="C985" s="326"/>
      <c r="D985" s="326"/>
      <c r="E985" s="326"/>
      <c r="F985" s="326"/>
      <c r="G985" s="326"/>
      <c r="H985" s="326"/>
      <c r="I985" s="326"/>
      <c r="J985" s="326"/>
      <c r="K985" s="326"/>
      <c r="L985" s="326"/>
      <c r="M985" s="326"/>
      <c r="N985" s="326"/>
      <c r="O985" s="326"/>
      <c r="P985" s="326"/>
      <c r="Q985" s="326"/>
      <c r="R985" s="326"/>
      <c r="S985" s="326"/>
      <c r="T985" s="326"/>
      <c r="U985" s="326"/>
      <c r="V985" s="326"/>
      <c r="W985" s="326"/>
      <c r="X985" s="326"/>
      <c r="Y985" s="326"/>
    </row>
    <row r="986">
      <c r="A986" s="326"/>
      <c r="B986" s="326"/>
      <c r="C986" s="326"/>
      <c r="D986" s="326"/>
      <c r="E986" s="326"/>
      <c r="F986" s="326"/>
      <c r="G986" s="326"/>
      <c r="H986" s="326"/>
      <c r="I986" s="326"/>
      <c r="J986" s="326"/>
      <c r="K986" s="326"/>
      <c r="L986" s="326"/>
      <c r="M986" s="326"/>
      <c r="N986" s="326"/>
      <c r="O986" s="326"/>
      <c r="P986" s="326"/>
      <c r="Q986" s="326"/>
      <c r="R986" s="326"/>
      <c r="S986" s="326"/>
      <c r="T986" s="326"/>
      <c r="U986" s="326"/>
      <c r="V986" s="326"/>
      <c r="W986" s="326"/>
      <c r="X986" s="326"/>
      <c r="Y986" s="326"/>
    </row>
    <row r="987">
      <c r="A987" s="326"/>
      <c r="B987" s="326"/>
      <c r="C987" s="326"/>
      <c r="D987" s="326"/>
      <c r="E987" s="326"/>
      <c r="F987" s="326"/>
      <c r="G987" s="326"/>
      <c r="H987" s="326"/>
      <c r="I987" s="326"/>
      <c r="J987" s="326"/>
      <c r="K987" s="326"/>
      <c r="L987" s="326"/>
      <c r="M987" s="326"/>
      <c r="N987" s="326"/>
      <c r="O987" s="326"/>
      <c r="P987" s="326"/>
      <c r="Q987" s="326"/>
      <c r="R987" s="326"/>
      <c r="S987" s="326"/>
      <c r="T987" s="326"/>
      <c r="U987" s="326"/>
      <c r="V987" s="326"/>
      <c r="W987" s="326"/>
      <c r="X987" s="326"/>
      <c r="Y987" s="326"/>
    </row>
    <row r="988">
      <c r="A988" s="326"/>
      <c r="B988" s="326"/>
      <c r="C988" s="326"/>
      <c r="D988" s="326"/>
      <c r="E988" s="326"/>
      <c r="F988" s="326"/>
      <c r="G988" s="326"/>
      <c r="H988" s="326"/>
      <c r="I988" s="326"/>
      <c r="J988" s="326"/>
      <c r="K988" s="326"/>
      <c r="L988" s="326"/>
      <c r="M988" s="326"/>
      <c r="N988" s="326"/>
      <c r="O988" s="326"/>
      <c r="P988" s="326"/>
      <c r="Q988" s="326"/>
      <c r="R988" s="326"/>
      <c r="S988" s="326"/>
      <c r="T988" s="326"/>
      <c r="U988" s="326"/>
      <c r="V988" s="326"/>
      <c r="W988" s="326"/>
      <c r="X988" s="326"/>
      <c r="Y988" s="326"/>
    </row>
    <row r="989">
      <c r="A989" s="326"/>
      <c r="B989" s="326"/>
      <c r="C989" s="326"/>
      <c r="D989" s="326"/>
      <c r="E989" s="326"/>
      <c r="F989" s="326"/>
      <c r="G989" s="326"/>
      <c r="H989" s="326"/>
      <c r="I989" s="326"/>
      <c r="J989" s="326"/>
      <c r="K989" s="326"/>
      <c r="L989" s="326"/>
      <c r="M989" s="326"/>
      <c r="N989" s="326"/>
      <c r="O989" s="326"/>
      <c r="P989" s="326"/>
      <c r="Q989" s="326"/>
      <c r="R989" s="326"/>
      <c r="S989" s="326"/>
      <c r="T989" s="326"/>
      <c r="U989" s="326"/>
      <c r="V989" s="326"/>
      <c r="W989" s="326"/>
      <c r="X989" s="326"/>
      <c r="Y989" s="326"/>
    </row>
    <row r="990">
      <c r="A990" s="326"/>
      <c r="B990" s="326"/>
      <c r="C990" s="326"/>
      <c r="D990" s="326"/>
      <c r="E990" s="326"/>
      <c r="F990" s="326"/>
      <c r="G990" s="326"/>
      <c r="H990" s="326"/>
      <c r="I990" s="326"/>
      <c r="J990" s="326"/>
      <c r="K990" s="326"/>
      <c r="L990" s="326"/>
      <c r="M990" s="326"/>
      <c r="N990" s="326"/>
      <c r="O990" s="326"/>
      <c r="P990" s="326"/>
      <c r="Q990" s="326"/>
      <c r="R990" s="326"/>
      <c r="S990" s="326"/>
      <c r="T990" s="326"/>
      <c r="U990" s="326"/>
      <c r="V990" s="326"/>
      <c r="W990" s="326"/>
      <c r="X990" s="326"/>
      <c r="Y990" s="326"/>
    </row>
    <row r="991">
      <c r="A991" s="326"/>
      <c r="B991" s="326"/>
      <c r="C991" s="326"/>
      <c r="D991" s="326"/>
      <c r="E991" s="326"/>
      <c r="F991" s="326"/>
      <c r="G991" s="326"/>
      <c r="H991" s="326"/>
      <c r="I991" s="326"/>
      <c r="J991" s="326"/>
      <c r="K991" s="326"/>
      <c r="L991" s="326"/>
      <c r="M991" s="326"/>
      <c r="N991" s="326"/>
      <c r="O991" s="326"/>
      <c r="P991" s="326"/>
      <c r="Q991" s="326"/>
      <c r="R991" s="326"/>
      <c r="S991" s="326"/>
      <c r="T991" s="326"/>
      <c r="U991" s="326"/>
      <c r="V991" s="326"/>
      <c r="W991" s="326"/>
      <c r="X991" s="326"/>
      <c r="Y991" s="326"/>
    </row>
    <row r="992">
      <c r="A992" s="326"/>
      <c r="B992" s="326"/>
      <c r="C992" s="326"/>
      <c r="D992" s="326"/>
      <c r="E992" s="326"/>
      <c r="F992" s="326"/>
      <c r="G992" s="326"/>
      <c r="H992" s="326"/>
      <c r="I992" s="326"/>
      <c r="J992" s="326"/>
      <c r="K992" s="326"/>
      <c r="L992" s="326"/>
      <c r="M992" s="326"/>
      <c r="N992" s="326"/>
      <c r="O992" s="326"/>
      <c r="P992" s="326"/>
      <c r="Q992" s="326"/>
      <c r="R992" s="326"/>
      <c r="S992" s="326"/>
      <c r="T992" s="326"/>
      <c r="U992" s="326"/>
      <c r="V992" s="326"/>
      <c r="W992" s="326"/>
      <c r="X992" s="326"/>
      <c r="Y992" s="326"/>
    </row>
    <row r="993">
      <c r="A993" s="326"/>
      <c r="B993" s="326"/>
      <c r="C993" s="326"/>
      <c r="D993" s="326"/>
      <c r="E993" s="326"/>
      <c r="F993" s="326"/>
      <c r="G993" s="326"/>
      <c r="H993" s="326"/>
      <c r="I993" s="326"/>
      <c r="J993" s="326"/>
      <c r="K993" s="326"/>
      <c r="L993" s="326"/>
      <c r="M993" s="326"/>
      <c r="N993" s="326"/>
      <c r="O993" s="326"/>
      <c r="P993" s="326"/>
      <c r="Q993" s="326"/>
      <c r="R993" s="326"/>
      <c r="S993" s="326"/>
      <c r="T993" s="326"/>
      <c r="U993" s="326"/>
      <c r="V993" s="326"/>
      <c r="W993" s="326"/>
      <c r="X993" s="326"/>
      <c r="Y993" s="326"/>
    </row>
    <row r="994">
      <c r="A994" s="326"/>
      <c r="B994" s="326"/>
      <c r="C994" s="326"/>
      <c r="D994" s="326"/>
      <c r="E994" s="326"/>
      <c r="F994" s="326"/>
      <c r="G994" s="326"/>
      <c r="H994" s="326"/>
      <c r="I994" s="326"/>
      <c r="J994" s="326"/>
      <c r="K994" s="326"/>
      <c r="L994" s="326"/>
      <c r="M994" s="326"/>
      <c r="N994" s="326"/>
      <c r="O994" s="326"/>
      <c r="P994" s="326"/>
      <c r="Q994" s="326"/>
      <c r="R994" s="326"/>
      <c r="S994" s="326"/>
      <c r="T994" s="326"/>
      <c r="U994" s="326"/>
      <c r="V994" s="326"/>
      <c r="W994" s="326"/>
      <c r="X994" s="326"/>
      <c r="Y994" s="326"/>
    </row>
    <row r="995">
      <c r="A995" s="326"/>
      <c r="B995" s="326"/>
      <c r="C995" s="326"/>
      <c r="D995" s="326"/>
      <c r="E995" s="326"/>
      <c r="F995" s="326"/>
      <c r="G995" s="326"/>
      <c r="H995" s="326"/>
      <c r="I995" s="326"/>
      <c r="J995" s="326"/>
      <c r="K995" s="326"/>
      <c r="L995" s="326"/>
      <c r="M995" s="326"/>
      <c r="N995" s="326"/>
      <c r="O995" s="326"/>
      <c r="P995" s="326"/>
      <c r="Q995" s="326"/>
      <c r="R995" s="326"/>
      <c r="S995" s="326"/>
      <c r="T995" s="326"/>
      <c r="U995" s="326"/>
      <c r="V995" s="326"/>
      <c r="W995" s="326"/>
      <c r="X995" s="326"/>
      <c r="Y995" s="326"/>
    </row>
    <row r="996">
      <c r="A996" s="326"/>
      <c r="B996" s="326"/>
      <c r="C996" s="326"/>
      <c r="D996" s="326"/>
      <c r="E996" s="326"/>
      <c r="F996" s="326"/>
      <c r="G996" s="326"/>
      <c r="H996" s="326"/>
      <c r="I996" s="326"/>
      <c r="J996" s="326"/>
      <c r="K996" s="326"/>
      <c r="L996" s="326"/>
      <c r="M996" s="326"/>
      <c r="N996" s="326"/>
      <c r="O996" s="326"/>
      <c r="P996" s="326"/>
      <c r="Q996" s="326"/>
      <c r="R996" s="326"/>
      <c r="S996" s="326"/>
      <c r="T996" s="326"/>
      <c r="U996" s="326"/>
      <c r="V996" s="326"/>
      <c r="W996" s="326"/>
      <c r="X996" s="326"/>
      <c r="Y996" s="326"/>
    </row>
    <row r="997">
      <c r="A997" s="326"/>
      <c r="B997" s="326"/>
      <c r="C997" s="326"/>
      <c r="D997" s="326"/>
      <c r="E997" s="326"/>
      <c r="F997" s="326"/>
      <c r="G997" s="326"/>
      <c r="H997" s="326"/>
      <c r="I997" s="326"/>
      <c r="J997" s="326"/>
      <c r="K997" s="326"/>
      <c r="L997" s="326"/>
      <c r="M997" s="326"/>
      <c r="N997" s="326"/>
      <c r="O997" s="326"/>
      <c r="P997" s="326"/>
      <c r="Q997" s="326"/>
      <c r="R997" s="326"/>
      <c r="S997" s="326"/>
      <c r="T997" s="326"/>
      <c r="U997" s="326"/>
      <c r="V997" s="326"/>
      <c r="W997" s="326"/>
      <c r="X997" s="326"/>
      <c r="Y997" s="326"/>
    </row>
    <row r="998">
      <c r="A998" s="326"/>
      <c r="B998" s="326"/>
      <c r="C998" s="326"/>
      <c r="D998" s="326"/>
      <c r="E998" s="326"/>
      <c r="F998" s="326"/>
      <c r="G998" s="326"/>
      <c r="H998" s="326"/>
      <c r="I998" s="326"/>
      <c r="J998" s="326"/>
      <c r="K998" s="326"/>
      <c r="L998" s="326"/>
      <c r="M998" s="326"/>
      <c r="N998" s="326"/>
      <c r="O998" s="326"/>
      <c r="P998" s="326"/>
      <c r="Q998" s="326"/>
      <c r="R998" s="326"/>
      <c r="S998" s="326"/>
      <c r="T998" s="326"/>
      <c r="U998" s="326"/>
      <c r="V998" s="326"/>
      <c r="W998" s="326"/>
      <c r="X998" s="326"/>
      <c r="Y998" s="326"/>
    </row>
    <row r="999">
      <c r="A999" s="326"/>
      <c r="B999" s="326"/>
      <c r="C999" s="326"/>
      <c r="D999" s="326"/>
      <c r="E999" s="326"/>
      <c r="F999" s="326"/>
      <c r="G999" s="326"/>
      <c r="H999" s="326"/>
      <c r="I999" s="326"/>
      <c r="J999" s="326"/>
      <c r="K999" s="326"/>
      <c r="L999" s="326"/>
      <c r="M999" s="326"/>
      <c r="N999" s="326"/>
      <c r="O999" s="326"/>
      <c r="P999" s="326"/>
      <c r="Q999" s="326"/>
      <c r="R999" s="326"/>
      <c r="S999" s="326"/>
      <c r="T999" s="326"/>
      <c r="U999" s="326"/>
      <c r="V999" s="326"/>
      <c r="W999" s="326"/>
      <c r="X999" s="326"/>
      <c r="Y999" s="326"/>
    </row>
    <row r="1000">
      <c r="A1000" s="326"/>
      <c r="B1000" s="326"/>
      <c r="C1000" s="326"/>
      <c r="D1000" s="326"/>
      <c r="E1000" s="326"/>
      <c r="F1000" s="326"/>
      <c r="G1000" s="326"/>
      <c r="H1000" s="326"/>
      <c r="I1000" s="326"/>
      <c r="J1000" s="326"/>
      <c r="K1000" s="326"/>
      <c r="L1000" s="326"/>
      <c r="M1000" s="326"/>
      <c r="N1000" s="326"/>
      <c r="O1000" s="326"/>
      <c r="P1000" s="326"/>
      <c r="Q1000" s="326"/>
      <c r="R1000" s="326"/>
      <c r="S1000" s="326"/>
      <c r="T1000" s="326"/>
      <c r="U1000" s="326"/>
      <c r="V1000" s="326"/>
      <c r="W1000" s="326"/>
      <c r="X1000" s="326"/>
      <c r="Y1000" s="326"/>
    </row>
  </sheetData>
  <autoFilter ref="$A$1:$Y$1000">
    <filterColumn colId="0">
      <filters blank="1">
        <filter val="38 / D16"/>
        <filter val="2 / D1"/>
        <filter val="3 / D2"/>
        <filter val="92"/>
        <filter val="42 / D20"/>
        <filter val="93"/>
        <filter val="45 / D23"/>
        <filter val="97"/>
        <filter val="48 / D26"/>
        <filter val="99"/>
        <filter val="12"/>
        <filter val="14"/>
        <filter val="15"/>
        <filter val="16"/>
        <filter val="18 / D9"/>
        <filter val="19"/>
        <filter val="87 / D32"/>
        <filter val="1"/>
        <filter val="25 / D12"/>
        <filter val="5"/>
        <filter val="7"/>
        <filter val="8"/>
        <filter val="9"/>
        <filter val="95 / D38"/>
        <filter val="20"/>
        <filter val="22"/>
        <filter val="23"/>
        <filter val="26"/>
        <filter val="28"/>
        <filter val="29"/>
        <filter val="6 / D4"/>
        <filter val="36 / D15"/>
        <filter val="91 / D36"/>
        <filter val="30"/>
        <filter val="31"/>
        <filter val="33"/>
        <filter val="34"/>
        <filter val="35"/>
        <filter val="85 / D31"/>
        <filter val="90 / D35"/>
        <filter val="37"/>
        <filter val="51 / D27"/>
        <filter val="24 / D11"/>
        <filter val="17 / D8"/>
        <filter val="40 / D18"/>
        <filter val="46"/>
        <filter val="96 / D39"/>
        <filter val="47"/>
        <filter val="11 / D6"/>
        <filter val="49"/>
        <filter val="D25"/>
        <filter val="D24"/>
        <filter val="89 / D34"/>
        <filter val="41 / D19"/>
        <filter val="50"/>
        <filter val="21 / D10"/>
        <filter val="52"/>
        <filter val="53"/>
        <filter val="54"/>
        <filter val="55"/>
        <filter val="56"/>
        <filter val="57"/>
        <filter val="58"/>
        <filter val="59"/>
        <filter val="61 / D29"/>
        <filter val="10 / D5"/>
        <filter val="44 / D22"/>
        <filter val="13 / D7"/>
        <filter val="62"/>
        <filter val="63"/>
        <filter val="64"/>
        <filter val="65"/>
        <filter val="66"/>
        <filter val="67"/>
        <filter val="68"/>
        <filter val="88 / D33"/>
        <filter val="98 / D40"/>
        <filter val="94 / D37"/>
        <filter val="60 / D28"/>
        <filter val="71"/>
        <filter val="72"/>
        <filter val="73"/>
        <filter val="74"/>
        <filter val="75"/>
        <filter val="39 / D17"/>
        <filter val="76"/>
        <filter val="77"/>
        <filter val="32 / D14"/>
        <filter val="78"/>
        <filter val="79"/>
        <filter val="70 / D30"/>
        <filter val="27 / D13"/>
        <filter val="43 / D21"/>
        <filter val="100"/>
        <filter val="4 / D3"/>
        <filter val="80"/>
        <filter val="81"/>
        <filter val="82"/>
        <filter val="83"/>
        <filter val="84"/>
        <filter val="86"/>
      </filters>
    </filterColumn>
    <filterColumn colId="4">
      <filters blank="1">
        <filter val="47%"/>
        <filter val="35%"/>
        <filter val="23%"/>
        <filter val="11%"/>
        <filter val="55%"/>
        <filter val="43%"/>
        <filter val="31%"/>
        <filter val="51%"/>
        <filter val="83%"/>
        <filter val="71%"/>
        <filter val="28%"/>
        <filter val="16%"/>
        <filter val="48%"/>
        <filter val="36%"/>
        <filter val="68%"/>
        <filter val="24%"/>
        <filter val="44%"/>
        <filter val="32%"/>
        <filter val="64%"/>
        <filter val="20%"/>
        <filter val="52%"/>
        <filter val="40%"/>
        <filter val="29%"/>
        <filter val="49%"/>
        <filter val="37%"/>
        <filter val="69%"/>
        <filter val="25%"/>
        <filter val="13%"/>
        <filter val="57%"/>
        <filter val="45%"/>
        <filter val="33%"/>
        <filter val="53%"/>
        <filter val="41%"/>
        <filter val="18%"/>
        <filter val="26%"/>
        <filter val="14%"/>
        <filter val="58%"/>
        <filter val="46%"/>
        <filter val="34%"/>
        <filter val="22%"/>
        <filter val="10%"/>
        <filter val="42%"/>
        <filter val="50%"/>
        <filter val="70%"/>
        <filter val="8%"/>
        <filter val="19%"/>
        <filter val="39%"/>
      </filters>
    </filterColumn>
  </autoFil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3.71"/>
    <col customWidth="1" min="2" max="2" width="14.57"/>
    <col customWidth="1" min="3" max="3" width="14.14"/>
    <col customWidth="1" min="4" max="4" width="12.29"/>
    <col customWidth="1" min="5" max="5" width="8.86"/>
    <col customWidth="1" min="6" max="30" width="10.0"/>
  </cols>
  <sheetData>
    <row r="1">
      <c r="A1" s="317" t="str">
        <f>Raw!A1</f>
        <v>Reference</v>
      </c>
      <c r="B1" s="318" t="str">
        <f>Raw!AQ1</f>
        <v>Blower</v>
      </c>
      <c r="C1" s="318" t="str">
        <f>Display_All!AC1</f>
        <v>Air Volume Avg (L/min)</v>
      </c>
      <c r="D1" s="319" t="str">
        <f>Display_All!AP1</f>
        <v>Burn Rate (Min/Kg)</v>
      </c>
      <c r="E1" s="344" t="str">
        <f>Display_All!AX1</f>
        <v>Yield % Fe</v>
      </c>
      <c r="F1" s="345" t="str">
        <f>Display_All!AH1</f>
        <v>Fe %</v>
      </c>
      <c r="G1" s="321"/>
      <c r="H1" s="321"/>
      <c r="I1" s="321"/>
      <c r="J1" s="321"/>
      <c r="K1" s="321"/>
      <c r="L1" s="321"/>
      <c r="M1" s="321"/>
      <c r="N1" s="321"/>
      <c r="O1" s="321"/>
      <c r="P1" s="321"/>
      <c r="Q1" s="321"/>
      <c r="R1" s="321"/>
      <c r="S1" s="321"/>
      <c r="T1" s="321"/>
      <c r="U1" s="321"/>
      <c r="V1" s="321"/>
      <c r="W1" s="321"/>
      <c r="X1" s="346"/>
      <c r="Y1" s="346"/>
      <c r="Z1" s="347"/>
      <c r="AA1" s="347"/>
      <c r="AB1" s="347"/>
      <c r="AC1" s="346"/>
      <c r="AD1" s="346"/>
    </row>
    <row r="2">
      <c r="A2" s="322">
        <f>Raw!A16</f>
        <v>15</v>
      </c>
      <c r="B2" s="323" t="str">
        <f>Raw!AQ16</f>
        <v>vacuum blower</v>
      </c>
      <c r="C2" s="323" t="str">
        <f>Display_All!AC16</f>
        <v>970</v>
      </c>
      <c r="D2" s="324">
        <f>Display_All!AP16</f>
        <v>2.928275862</v>
      </c>
      <c r="E2" s="348">
        <f>Display_All!AX16</f>
        <v>0.6977138439</v>
      </c>
      <c r="F2" s="349">
        <f>Display_All!AH16</f>
        <v>0.6867011216</v>
      </c>
      <c r="G2" s="326"/>
      <c r="H2" s="326"/>
      <c r="I2" s="326"/>
      <c r="J2" s="326"/>
      <c r="K2" s="326"/>
      <c r="L2" s="326"/>
      <c r="M2" s="326"/>
      <c r="N2" s="326"/>
      <c r="O2" s="326"/>
      <c r="P2" s="326"/>
      <c r="Q2" s="326"/>
      <c r="R2" s="326"/>
      <c r="S2" s="326"/>
      <c r="T2" s="326"/>
      <c r="U2" s="326"/>
      <c r="V2" s="326"/>
      <c r="W2" s="326"/>
      <c r="X2" s="350"/>
      <c r="Y2" s="350"/>
      <c r="Z2" s="350"/>
      <c r="AA2" s="350"/>
      <c r="AB2" s="350"/>
      <c r="AC2" s="326"/>
      <c r="AD2" s="326"/>
    </row>
    <row r="3" hidden="1">
      <c r="A3" s="327" t="str">
        <f>Raw!A3</f>
        <v>2 / D1</v>
      </c>
      <c r="B3" s="328" t="str">
        <f>Raw!AQ3</f>
        <v>Norse twin smith's</v>
      </c>
      <c r="C3" s="328" t="str">
        <f>Display_All!AC3</f>
        <v>100 (E)</v>
      </c>
      <c r="D3" s="338">
        <f>Display_All!AP3</f>
        <v>10.35</v>
      </c>
      <c r="E3" s="351" t="str">
        <f>Display_All!AX3</f>
        <v>na</v>
      </c>
      <c r="F3" s="352">
        <f>Display_All!AH3</f>
        <v>0.5921444799</v>
      </c>
      <c r="G3" s="326"/>
      <c r="H3" s="326"/>
      <c r="I3" s="326"/>
      <c r="J3" s="326"/>
      <c r="K3" s="326"/>
      <c r="L3" s="326"/>
      <c r="M3" s="326"/>
      <c r="N3" s="326"/>
      <c r="O3" s="326"/>
      <c r="P3" s="326"/>
      <c r="Q3" s="326"/>
      <c r="R3" s="326"/>
      <c r="S3" s="326"/>
      <c r="T3" s="326"/>
      <c r="U3" s="326"/>
      <c r="V3" s="326"/>
      <c r="W3" s="326"/>
      <c r="X3" s="350"/>
      <c r="Y3" s="350"/>
      <c r="Z3" s="350"/>
      <c r="AA3" s="350"/>
      <c r="AB3" s="350"/>
      <c r="AC3" s="326"/>
      <c r="AD3" s="326"/>
    </row>
    <row r="4" hidden="1">
      <c r="A4" s="327" t="str">
        <f>Raw!A4</f>
        <v>3 / D2</v>
      </c>
      <c r="B4" s="328" t="str">
        <f>Raw!AQ4</f>
        <v>vacuum blower</v>
      </c>
      <c r="C4" s="328" t="str">
        <f>Display_All!AC4</f>
        <v>NR</v>
      </c>
      <c r="D4" s="338">
        <f>Display_All!AP4</f>
        <v>4.864197531</v>
      </c>
      <c r="E4" s="351" t="str">
        <f>Display_All!AX4</f>
        <v>na</v>
      </c>
      <c r="F4" s="352">
        <f>Display_All!AH4</f>
        <v>0.58</v>
      </c>
      <c r="G4" s="326"/>
      <c r="H4" s="326"/>
      <c r="I4" s="326"/>
      <c r="J4" s="326"/>
      <c r="K4" s="326"/>
      <c r="L4" s="326"/>
      <c r="M4" s="326"/>
      <c r="N4" s="326"/>
      <c r="O4" s="326"/>
      <c r="P4" s="326"/>
      <c r="Q4" s="326"/>
      <c r="R4" s="326"/>
      <c r="S4" s="326"/>
      <c r="T4" s="326"/>
      <c r="U4" s="326"/>
      <c r="V4" s="326"/>
      <c r="W4" s="326"/>
      <c r="X4" s="326"/>
      <c r="Y4" s="326"/>
      <c r="Z4" s="326"/>
      <c r="AA4" s="326"/>
      <c r="AB4" s="326"/>
      <c r="AC4" s="326"/>
      <c r="AD4" s="326"/>
    </row>
    <row r="5" hidden="1">
      <c r="A5" s="327" t="str">
        <f>Raw!A5</f>
        <v>4 / D3</v>
      </c>
      <c r="B5" s="328" t="str">
        <f>Raw!AQ5</f>
        <v>Norse / hand crank</v>
      </c>
      <c r="C5" s="328" t="str">
        <f>Display_All!AC5</f>
        <v>125 / ? (E)</v>
      </c>
      <c r="D5" s="338">
        <f>Display_All!AP5</f>
        <v>17.25</v>
      </c>
      <c r="E5" s="351" t="str">
        <f>Display_All!AX5</f>
        <v>na</v>
      </c>
      <c r="F5" s="352">
        <f>Display_All!AH5</f>
        <v>0.58</v>
      </c>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hidden="1">
      <c r="A6" s="327">
        <f>Raw!A6</f>
        <v>5</v>
      </c>
      <c r="B6" s="328" t="str">
        <f>Raw!AQ6</f>
        <v>Norse twin smith's</v>
      </c>
      <c r="C6" s="328" t="str">
        <f>Display_All!AC6</f>
        <v>125 (E)</v>
      </c>
      <c r="D6" s="338">
        <f>Display_All!AP6</f>
        <v>15.92063492</v>
      </c>
      <c r="E6" s="351" t="str">
        <f>Display_All!AX6</f>
        <v>na</v>
      </c>
      <c r="F6" s="352">
        <f>Display_All!AH6</f>
        <v>0.58</v>
      </c>
      <c r="G6" s="326"/>
      <c r="H6" s="326"/>
      <c r="I6" s="326"/>
      <c r="J6" s="326"/>
      <c r="K6" s="326"/>
      <c r="L6" s="326"/>
      <c r="M6" s="326"/>
      <c r="N6" s="326"/>
      <c r="O6" s="326"/>
      <c r="P6" s="326"/>
      <c r="Q6" s="326"/>
      <c r="R6" s="326"/>
      <c r="S6" s="326"/>
      <c r="T6" s="326"/>
      <c r="U6" s="326"/>
      <c r="V6" s="326"/>
      <c r="W6" s="326"/>
      <c r="X6" s="326"/>
      <c r="Y6" s="326"/>
      <c r="Z6" s="326"/>
      <c r="AA6" s="326"/>
      <c r="AB6" s="326"/>
      <c r="AC6" s="326"/>
      <c r="AD6" s="326"/>
    </row>
    <row r="7">
      <c r="A7" s="327">
        <f>Raw!A17</f>
        <v>16</v>
      </c>
      <c r="B7" s="328" t="str">
        <f>Raw!AQ17</f>
        <v>vacuum blower</v>
      </c>
      <c r="C7" s="328" t="str">
        <f>Display_All!AC17</f>
        <v>970</v>
      </c>
      <c r="D7" s="338">
        <f>Display_All!AP17</f>
        <v>3.186206897</v>
      </c>
      <c r="E7" s="351">
        <f>Display_All!AX17</f>
        <v>0.6401044439</v>
      </c>
      <c r="F7" s="352">
        <f>Display_All!AH17</f>
        <v>0.6867011216</v>
      </c>
      <c r="G7" s="326"/>
      <c r="H7" s="326"/>
      <c r="I7" s="326"/>
      <c r="J7" s="326"/>
      <c r="K7" s="326"/>
      <c r="L7" s="326"/>
      <c r="M7" s="326"/>
      <c r="N7" s="326"/>
      <c r="O7" s="326"/>
      <c r="P7" s="326"/>
      <c r="Q7" s="326"/>
      <c r="R7" s="326"/>
      <c r="S7" s="326"/>
      <c r="T7" s="326"/>
      <c r="U7" s="326"/>
      <c r="V7" s="326"/>
      <c r="W7" s="326"/>
      <c r="X7" s="326"/>
      <c r="Y7" s="326"/>
      <c r="Z7" s="326"/>
      <c r="AA7" s="326"/>
      <c r="AB7" s="326"/>
      <c r="AC7" s="326"/>
      <c r="AD7" s="326"/>
    </row>
    <row r="8">
      <c r="A8" s="327" t="str">
        <f>Raw!A14</f>
        <v>13 / D7</v>
      </c>
      <c r="B8" s="328" t="str">
        <f>Raw!AQ14</f>
        <v>vacuum blower</v>
      </c>
      <c r="C8" s="328" t="str">
        <f>Display_All!AC14</f>
        <v>600 (E)</v>
      </c>
      <c r="D8" s="338">
        <f>Display_All!AP14</f>
        <v>3.383448276</v>
      </c>
      <c r="E8" s="351" t="str">
        <f>Display_All!AX14</f>
        <v>?</v>
      </c>
      <c r="F8" s="352" t="str">
        <f>Display_All!AH14</f>
        <v>?</v>
      </c>
      <c r="G8" s="326"/>
      <c r="H8" s="326"/>
      <c r="I8" s="326"/>
      <c r="J8" s="326"/>
      <c r="K8" s="326"/>
      <c r="L8" s="326"/>
      <c r="M8" s="326"/>
      <c r="N8" s="326"/>
      <c r="O8" s="326"/>
      <c r="P8" s="326"/>
      <c r="Q8" s="326"/>
      <c r="R8" s="326"/>
      <c r="S8" s="326"/>
      <c r="T8" s="326"/>
      <c r="U8" s="326"/>
      <c r="V8" s="326"/>
      <c r="W8" s="326"/>
      <c r="X8" s="326"/>
      <c r="Y8" s="326"/>
      <c r="Z8" s="326"/>
      <c r="AA8" s="326"/>
      <c r="AB8" s="326"/>
      <c r="AC8" s="326"/>
      <c r="AD8" s="326"/>
    </row>
    <row r="9">
      <c r="A9" s="327">
        <f>Raw!A27</f>
        <v>26</v>
      </c>
      <c r="B9" s="328" t="str">
        <f>Raw!AQ27</f>
        <v>vacuum blower</v>
      </c>
      <c r="C9" s="328" t="str">
        <f>Display_All!AC27</f>
        <v>800</v>
      </c>
      <c r="D9" s="338">
        <f>Display_All!AP27</f>
        <v>3.85665529</v>
      </c>
      <c r="E9" s="351">
        <f>Display_All!AX27</f>
        <v>0.7103598097</v>
      </c>
      <c r="F9" s="352">
        <f>Display_All!AH27</f>
        <v>0.6867011216</v>
      </c>
      <c r="G9" s="326"/>
      <c r="H9" s="326"/>
      <c r="I9" s="326"/>
      <c r="J9" s="326"/>
      <c r="K9" s="326"/>
      <c r="L9" s="326"/>
      <c r="M9" s="326"/>
      <c r="N9" s="326"/>
      <c r="O9" s="326"/>
      <c r="P9" s="326"/>
      <c r="Q9" s="326"/>
      <c r="R9" s="326"/>
      <c r="S9" s="326"/>
      <c r="T9" s="326"/>
      <c r="U9" s="326"/>
      <c r="V9" s="326"/>
      <c r="W9" s="326"/>
      <c r="X9" s="326"/>
      <c r="Y9" s="326"/>
      <c r="Z9" s="326"/>
      <c r="AA9" s="326"/>
      <c r="AB9" s="326"/>
      <c r="AC9" s="326"/>
      <c r="AD9" s="326"/>
    </row>
    <row r="10">
      <c r="A10" s="327">
        <f>Raw!A15</f>
        <v>14</v>
      </c>
      <c r="B10" s="328" t="str">
        <f>Raw!AQ15</f>
        <v>vacuum blower</v>
      </c>
      <c r="C10" s="328" t="str">
        <f>Display_All!AC15</f>
        <v>800 (E)</v>
      </c>
      <c r="D10" s="338">
        <f>Display_All!AP15</f>
        <v>3.912432432</v>
      </c>
      <c r="E10" s="351">
        <f>Display_All!AX15</f>
        <v>0.6923076923</v>
      </c>
      <c r="F10" s="352">
        <f>Display_All!AH15</f>
        <v>0.65</v>
      </c>
      <c r="G10" s="326"/>
      <c r="H10" s="326"/>
      <c r="I10" s="326"/>
      <c r="J10" s="326"/>
      <c r="K10" s="326"/>
      <c r="L10" s="326"/>
      <c r="M10" s="326"/>
      <c r="N10" s="326"/>
      <c r="O10" s="326"/>
      <c r="P10" s="326"/>
      <c r="Q10" s="326"/>
      <c r="R10" s="326"/>
      <c r="S10" s="326"/>
      <c r="T10" s="326"/>
      <c r="U10" s="326"/>
      <c r="V10" s="326"/>
      <c r="W10" s="326"/>
      <c r="X10" s="326"/>
      <c r="Y10" s="326"/>
      <c r="Z10" s="326"/>
      <c r="AA10" s="326"/>
      <c r="AB10" s="326"/>
      <c r="AC10" s="326"/>
      <c r="AD10" s="326"/>
    </row>
    <row r="11">
      <c r="A11" s="327">
        <f>Raw!A29</f>
        <v>28</v>
      </c>
      <c r="B11" s="328" t="str">
        <f>Raw!AQ29</f>
        <v>vacuum blower</v>
      </c>
      <c r="C11" s="328" t="str">
        <f>Display_All!AC29</f>
        <v>770</v>
      </c>
      <c r="D11" s="338">
        <f>Display_All!AP29</f>
        <v>4.179166667</v>
      </c>
      <c r="E11" s="351">
        <f>Display_All!AX29</f>
        <v>0.4820080685</v>
      </c>
      <c r="F11" s="352">
        <f>Display_All!AH29</f>
        <v>0.6339220763</v>
      </c>
      <c r="G11" s="326"/>
      <c r="H11" s="326"/>
      <c r="I11" s="326"/>
      <c r="J11" s="326"/>
      <c r="K11" s="326"/>
      <c r="L11" s="326"/>
      <c r="M11" s="326"/>
      <c r="N11" s="326"/>
      <c r="O11" s="326"/>
      <c r="P11" s="326"/>
      <c r="Q11" s="326"/>
      <c r="R11" s="326"/>
      <c r="S11" s="326"/>
      <c r="T11" s="326"/>
      <c r="U11" s="326"/>
      <c r="V11" s="326"/>
      <c r="W11" s="326"/>
      <c r="X11" s="326"/>
      <c r="Y11" s="326"/>
      <c r="Z11" s="326"/>
      <c r="AA11" s="326"/>
      <c r="AB11" s="326"/>
      <c r="AC11" s="326"/>
      <c r="AD11" s="326"/>
    </row>
    <row r="12">
      <c r="A12" s="327" t="str">
        <f>Raw!A26</f>
        <v>25 / D12</v>
      </c>
      <c r="B12" s="328" t="str">
        <f>Raw!AQ26</f>
        <v>vacuum blower</v>
      </c>
      <c r="C12" s="328" t="str">
        <f>Display_All!AC26</f>
        <v>900</v>
      </c>
      <c r="D12" s="338">
        <f>Display_All!AP26</f>
        <v>4.308333333</v>
      </c>
      <c r="E12" s="351">
        <f>Display_All!AX26</f>
        <v>0.2275563385</v>
      </c>
      <c r="F12" s="352">
        <f>Display_All!AH26</f>
        <v>0.57</v>
      </c>
      <c r="G12" s="326"/>
      <c r="H12" s="326"/>
      <c r="I12" s="326"/>
      <c r="J12" s="326"/>
      <c r="K12" s="326"/>
      <c r="L12" s="326"/>
      <c r="M12" s="326"/>
      <c r="N12" s="326"/>
      <c r="O12" s="326"/>
      <c r="P12" s="326"/>
      <c r="Q12" s="326"/>
      <c r="R12" s="326"/>
      <c r="S12" s="326"/>
      <c r="T12" s="326"/>
      <c r="U12" s="326"/>
      <c r="V12" s="326"/>
      <c r="W12" s="326"/>
      <c r="X12" s="326"/>
      <c r="Y12" s="326"/>
      <c r="Z12" s="326"/>
      <c r="AA12" s="326"/>
      <c r="AB12" s="326"/>
      <c r="AC12" s="326"/>
      <c r="AD12" s="326"/>
    </row>
    <row r="13">
      <c r="A13" s="327">
        <f>Raw!A24</f>
        <v>23</v>
      </c>
      <c r="B13" s="328" t="str">
        <f>Raw!AQ24</f>
        <v>vacuum blower</v>
      </c>
      <c r="C13" s="328" t="str">
        <f>Display_All!AC24</f>
        <v>800</v>
      </c>
      <c r="D13" s="338">
        <f>Display_All!AP24</f>
        <v>4.447826087</v>
      </c>
      <c r="E13" s="351">
        <f>Display_All!AX24</f>
        <v>0.8293371142</v>
      </c>
      <c r="F13" s="352">
        <f>Display_All!AH24</f>
        <v>0.6867011216</v>
      </c>
      <c r="G13" s="326"/>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row>
    <row r="14">
      <c r="A14" s="327">
        <f>Raw!A71</f>
        <v>67</v>
      </c>
      <c r="B14" s="328" t="str">
        <f>Raw!AQ71</f>
        <v>leaf blower 2</v>
      </c>
      <c r="C14" s="328" t="str">
        <f>Display_All!AC71</f>
        <v>?</v>
      </c>
      <c r="D14" s="338">
        <f>Display_All!AP71</f>
        <v>4.700854701</v>
      </c>
      <c r="E14" s="351">
        <f>Display_All!AX71</f>
        <v>0.07516238748</v>
      </c>
      <c r="F14" s="352">
        <f>Display_All!AH71</f>
        <v>0.5482634678</v>
      </c>
      <c r="G14" s="326"/>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row>
    <row r="15">
      <c r="A15" s="327" t="str">
        <f>Raw!A18</f>
        <v>17 / D8</v>
      </c>
      <c r="B15" s="328" t="str">
        <f>Raw!AQ18</f>
        <v>vacuum blower</v>
      </c>
      <c r="C15" s="328" t="str">
        <f>Display_All!AC18</f>
        <v>1060</v>
      </c>
      <c r="D15" s="338">
        <f>Display_All!AP18</f>
        <v>4.989285714</v>
      </c>
      <c r="E15" s="351">
        <f>Display_All!AX18</f>
        <v>0.3426333823</v>
      </c>
      <c r="F15" s="352">
        <f>Display_All!AH18</f>
        <v>0.454</v>
      </c>
      <c r="G15" s="326"/>
      <c r="H15" s="326"/>
      <c r="I15" s="326"/>
      <c r="J15" s="326"/>
      <c r="K15" s="326"/>
      <c r="L15" s="326"/>
      <c r="M15" s="326"/>
      <c r="N15" s="326"/>
      <c r="O15" s="326"/>
      <c r="P15" s="326"/>
      <c r="Q15" s="326"/>
      <c r="R15" s="326"/>
      <c r="S15" s="326"/>
      <c r="T15" s="326"/>
      <c r="U15" s="326"/>
      <c r="V15" s="326"/>
      <c r="W15" s="326"/>
      <c r="X15" s="326"/>
      <c r="Y15" s="326"/>
      <c r="Z15" s="326"/>
      <c r="AA15" s="326"/>
      <c r="AB15" s="326"/>
      <c r="AC15" s="326"/>
      <c r="AD15" s="326"/>
    </row>
    <row r="16">
      <c r="A16" s="327">
        <f>Raw!A8</f>
        <v>7</v>
      </c>
      <c r="B16" s="328" t="str">
        <f>Raw!AQ8</f>
        <v>vacuum blower</v>
      </c>
      <c r="C16" s="328" t="str">
        <f>Display_All!AC8</f>
        <v>815</v>
      </c>
      <c r="D16" s="338">
        <f>Display_All!AP8</f>
        <v>5.119230769</v>
      </c>
      <c r="E16" s="351" t="str">
        <f>Display_All!AX8</f>
        <v>?</v>
      </c>
      <c r="F16" s="352" t="str">
        <f>Display_All!AH8</f>
        <v>?</v>
      </c>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row>
    <row r="17">
      <c r="A17" s="327" t="str">
        <f>Raw!A49</f>
        <v>D24</v>
      </c>
      <c r="B17" s="328" t="str">
        <f>Raw!AQ49</f>
        <v>electric blower</v>
      </c>
      <c r="C17" s="328" t="str">
        <f>Display_All!AC49</f>
        <v>900</v>
      </c>
      <c r="D17" s="338">
        <f>Display_All!AP49</f>
        <v>5.195195195</v>
      </c>
      <c r="E17" s="351">
        <f>Display_All!AX49</f>
        <v>0.243470808</v>
      </c>
      <c r="F17" s="352">
        <f>Display_All!AH49</f>
        <v>0.4535109057</v>
      </c>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row>
    <row r="18">
      <c r="A18" s="327">
        <f>Raw!A9</f>
        <v>8</v>
      </c>
      <c r="B18" s="328" t="str">
        <f>Raw!AQ9</f>
        <v>vacuum blower</v>
      </c>
      <c r="C18" s="328" t="str">
        <f>Display_All!AC9</f>
        <v>815</v>
      </c>
      <c r="D18" s="338">
        <f>Display_All!AP9</f>
        <v>5.203846154</v>
      </c>
      <c r="E18" s="351">
        <f>Display_All!AX9</f>
        <v>0.4618226601</v>
      </c>
      <c r="F18" s="352">
        <f>Display_All!AH9</f>
        <v>0.58</v>
      </c>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row>
    <row r="19">
      <c r="A19" s="327">
        <f>Raw!A57</f>
        <v>54</v>
      </c>
      <c r="B19" s="328" t="str">
        <f>Raw!AQ57</f>
        <v>electric blower</v>
      </c>
      <c r="C19" s="328" t="str">
        <f>Display_All!AC57</f>
        <v>800</v>
      </c>
      <c r="D19" s="338">
        <f>Display_All!AP57</f>
        <v>5.243764172</v>
      </c>
      <c r="E19" s="351" t="str">
        <f>Display_All!AX57</f>
        <v>?</v>
      </c>
      <c r="F19" s="352" t="str">
        <f>Display_All!AH57</f>
        <v>?</v>
      </c>
      <c r="G19" s="326"/>
      <c r="H19" s="326"/>
      <c r="I19" s="326"/>
      <c r="J19" s="326"/>
      <c r="K19" s="326"/>
      <c r="L19" s="326"/>
      <c r="M19" s="326"/>
      <c r="N19" s="326"/>
      <c r="O19" s="326"/>
      <c r="P19" s="326"/>
      <c r="Q19" s="326"/>
      <c r="R19" s="326"/>
      <c r="S19" s="326"/>
      <c r="T19" s="326"/>
      <c r="U19" s="326"/>
      <c r="V19" s="326"/>
      <c r="W19" s="326"/>
      <c r="X19" s="326"/>
      <c r="Y19" s="326"/>
      <c r="Z19" s="326"/>
      <c r="AA19" s="326"/>
      <c r="AB19" s="326"/>
      <c r="AC19" s="326"/>
      <c r="AD19" s="326"/>
    </row>
    <row r="20" hidden="1">
      <c r="A20" s="327">
        <f>Raw!A20</f>
        <v>19</v>
      </c>
      <c r="B20" s="328" t="str">
        <f>Raw!AQ20</f>
        <v>vacuum blower</v>
      </c>
      <c r="C20" s="328" t="str">
        <f>Display_All!AC20</f>
        <v>700</v>
      </c>
      <c r="D20" s="338">
        <f>Display_All!AP20</f>
        <v>7.04</v>
      </c>
      <c r="E20" s="351">
        <f>Display_All!AX20</f>
        <v>0.1868389152</v>
      </c>
      <c r="F20" s="352">
        <f>Display_All!AH20</f>
        <v>0.4257435045</v>
      </c>
      <c r="G20" s="326"/>
      <c r="H20" s="326"/>
      <c r="I20" s="326"/>
      <c r="J20" s="326"/>
      <c r="K20" s="326"/>
      <c r="L20" s="326"/>
      <c r="M20" s="326"/>
      <c r="N20" s="326"/>
      <c r="O20" s="326"/>
      <c r="P20" s="326"/>
      <c r="Q20" s="326"/>
      <c r="R20" s="326"/>
      <c r="S20" s="326"/>
      <c r="T20" s="326"/>
      <c r="U20" s="326"/>
      <c r="V20" s="326"/>
      <c r="W20" s="326"/>
      <c r="X20" s="326"/>
      <c r="Y20" s="326"/>
      <c r="Z20" s="326"/>
      <c r="AA20" s="326"/>
      <c r="AB20" s="326"/>
      <c r="AC20" s="326"/>
      <c r="AD20" s="326"/>
    </row>
    <row r="21" hidden="1">
      <c r="A21" s="327">
        <f>Raw!A21</f>
        <v>20</v>
      </c>
      <c r="B21" s="328" t="str">
        <f>Raw!AQ21</f>
        <v>electric blower</v>
      </c>
      <c r="C21" s="328" t="str">
        <f>Display_All!AC21</f>
        <v>1000 (E)</v>
      </c>
      <c r="D21" s="338">
        <f>Display_All!AP21</f>
        <v>4.9</v>
      </c>
      <c r="E21" s="351" t="str">
        <f>Display_All!AX21</f>
        <v>NR</v>
      </c>
      <c r="F21" s="352">
        <f>Display_All!AH21</f>
        <v>0.58</v>
      </c>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row>
    <row r="22" hidden="1">
      <c r="A22" s="327" t="str">
        <f>Raw!A22</f>
        <v>21 / D10</v>
      </c>
      <c r="B22" s="328" t="str">
        <f>Raw!AQ22</f>
        <v>vacuum blower</v>
      </c>
      <c r="C22" s="328" t="str">
        <f>Display_All!AC22</f>
        <v>1060</v>
      </c>
      <c r="D22" s="338">
        <f>Display_All!AP22</f>
        <v>6.363636364</v>
      </c>
      <c r="E22" s="351" t="str">
        <f>Display_All!AX22</f>
        <v>na</v>
      </c>
      <c r="F22" s="352">
        <f>Display_All!AH22</f>
        <v>0.58</v>
      </c>
      <c r="G22" s="326"/>
      <c r="H22" s="326"/>
      <c r="I22" s="326"/>
      <c r="J22" s="326"/>
      <c r="K22" s="326"/>
      <c r="L22" s="326"/>
      <c r="M22" s="326"/>
      <c r="N22" s="326"/>
      <c r="O22" s="326"/>
      <c r="P22" s="326"/>
      <c r="Q22" s="326"/>
      <c r="R22" s="326"/>
      <c r="S22" s="326"/>
      <c r="T22" s="326"/>
      <c r="U22" s="326"/>
      <c r="V22" s="326"/>
      <c r="W22" s="326"/>
      <c r="X22" s="326"/>
      <c r="Y22" s="326"/>
      <c r="Z22" s="326"/>
      <c r="AA22" s="326"/>
      <c r="AB22" s="326"/>
      <c r="AC22" s="326"/>
      <c r="AD22" s="326"/>
    </row>
    <row r="23" hidden="1">
      <c r="A23" s="327">
        <f>Raw!A23</f>
        <v>22</v>
      </c>
      <c r="B23" s="328" t="str">
        <f>Raw!AQ23</f>
        <v>vacuum blower</v>
      </c>
      <c r="C23" s="328" t="str">
        <f>Display_All!AC23</f>
        <v>1060</v>
      </c>
      <c r="D23" s="338">
        <f>Display_All!AP23</f>
        <v>3.618421053</v>
      </c>
      <c r="E23" s="351" t="str">
        <f>Display_All!AX23</f>
        <v>?</v>
      </c>
      <c r="F23" s="352" t="str">
        <f>Display_All!AH23</f>
        <v>?</v>
      </c>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row>
    <row r="24">
      <c r="A24" s="327" t="str">
        <f>Raw!A25</f>
        <v>24 / D11</v>
      </c>
      <c r="B24" s="328" t="str">
        <f>Raw!AQ25</f>
        <v>vacuum blower</v>
      </c>
      <c r="C24" s="328" t="str">
        <f>Display_All!AC25</f>
        <v>900</v>
      </c>
      <c r="D24" s="338">
        <f>Display_All!AP25</f>
        <v>5.247916667</v>
      </c>
      <c r="E24" s="351">
        <f>Display_All!AX25</f>
        <v>0.09922583875</v>
      </c>
      <c r="F24" s="352">
        <f>Display_All!AH25</f>
        <v>0.4535109057</v>
      </c>
      <c r="G24" s="326"/>
      <c r="H24" s="326"/>
      <c r="I24" s="326"/>
      <c r="J24" s="326"/>
      <c r="K24" s="326"/>
      <c r="L24" s="326"/>
      <c r="M24" s="326"/>
      <c r="N24" s="326"/>
      <c r="O24" s="326"/>
      <c r="P24" s="326"/>
      <c r="Q24" s="326"/>
      <c r="R24" s="326"/>
      <c r="S24" s="326"/>
      <c r="T24" s="326"/>
      <c r="U24" s="326"/>
      <c r="V24" s="326"/>
      <c r="W24" s="326"/>
      <c r="X24" s="326"/>
      <c r="Y24" s="326"/>
      <c r="Z24" s="326"/>
      <c r="AA24" s="326"/>
      <c r="AB24" s="326"/>
      <c r="AC24" s="326"/>
      <c r="AD24" s="326"/>
    </row>
    <row r="25">
      <c r="A25" s="327">
        <f>Raw!A79</f>
        <v>75</v>
      </c>
      <c r="B25" s="328" t="str">
        <f>Raw!AQ79</f>
        <v>shop vac</v>
      </c>
      <c r="C25" s="328" t="str">
        <f>Display_All!AC79</f>
        <v>NR</v>
      </c>
      <c r="D25" s="338">
        <f>Display_All!AP79</f>
        <v>5.263157895</v>
      </c>
      <c r="E25" s="351">
        <f>Display_All!AX79</f>
        <v>0.2644713874</v>
      </c>
      <c r="F25" s="352">
        <f>Display_All!AH79</f>
        <v>0.5482634678</v>
      </c>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row>
    <row r="26">
      <c r="A26" s="327">
        <f>Raw!A52</f>
        <v>49</v>
      </c>
      <c r="B26" s="328" t="str">
        <f>Raw!AQ52</f>
        <v>electric blower</v>
      </c>
      <c r="C26" s="328" t="str">
        <f>Display_All!AC52</f>
        <v>900</v>
      </c>
      <c r="D26" s="338">
        <f>Display_All!AP52</f>
        <v>5.399239544</v>
      </c>
      <c r="E26" s="351">
        <f>Display_All!AX52</f>
        <v>0.5097091214</v>
      </c>
      <c r="F26" s="352">
        <f>Display_All!AH52</f>
        <v>0.6539677619</v>
      </c>
      <c r="G26" s="326"/>
      <c r="H26" s="326"/>
      <c r="I26" s="326"/>
      <c r="J26" s="326"/>
      <c r="K26" s="326"/>
      <c r="L26" s="326"/>
      <c r="M26" s="326"/>
      <c r="N26" s="326"/>
      <c r="O26" s="326"/>
      <c r="P26" s="326"/>
      <c r="Q26" s="326"/>
      <c r="R26" s="326"/>
      <c r="S26" s="326"/>
      <c r="T26" s="326"/>
      <c r="U26" s="326"/>
      <c r="V26" s="326"/>
      <c r="W26" s="326"/>
      <c r="X26" s="326"/>
      <c r="Y26" s="326"/>
      <c r="Z26" s="326"/>
      <c r="AA26" s="326"/>
      <c r="AB26" s="326"/>
      <c r="AC26" s="326"/>
      <c r="AD26" s="326"/>
    </row>
    <row r="27">
      <c r="A27" s="327">
        <f>Raw!A60</f>
        <v>57</v>
      </c>
      <c r="B27" s="328" t="str">
        <f>Raw!AQ60</f>
        <v>leaf blower 1</v>
      </c>
      <c r="C27" s="328" t="str">
        <f>Display_All!AC60</f>
        <v>?</v>
      </c>
      <c r="D27" s="338">
        <f>Display_All!AP60</f>
        <v>5.447368421</v>
      </c>
      <c r="E27" s="351">
        <f>Display_All!AX60</f>
        <v>0.1841806621</v>
      </c>
      <c r="F27" s="352">
        <f>Display_All!AH60</f>
        <v>0.4162579599</v>
      </c>
      <c r="G27" s="326"/>
      <c r="H27" s="326"/>
      <c r="I27" s="326"/>
      <c r="J27" s="326"/>
      <c r="K27" s="326"/>
      <c r="L27" s="326"/>
      <c r="M27" s="326"/>
      <c r="N27" s="326"/>
      <c r="O27" s="326"/>
      <c r="P27" s="326"/>
      <c r="Q27" s="326"/>
      <c r="R27" s="326"/>
      <c r="S27" s="326"/>
      <c r="T27" s="326"/>
      <c r="U27" s="326"/>
      <c r="V27" s="326"/>
      <c r="W27" s="326"/>
      <c r="X27" s="326"/>
      <c r="Y27" s="326"/>
      <c r="Z27" s="326"/>
      <c r="AA27" s="326"/>
      <c r="AB27" s="326"/>
      <c r="AC27" s="326"/>
      <c r="AD27" s="326"/>
    </row>
    <row r="28">
      <c r="A28" s="327" t="str">
        <f>Raw!A46</f>
        <v>45 / D23</v>
      </c>
      <c r="B28" s="328" t="str">
        <f>Raw!AQ46</f>
        <v>electric blower</v>
      </c>
      <c r="C28" s="328" t="str">
        <f>Display_All!AC46</f>
        <v>800 to 900</v>
      </c>
      <c r="D28" s="338">
        <f>Display_All!AP46</f>
        <v>5.593869732</v>
      </c>
      <c r="E28" s="351">
        <f>Display_All!AX46</f>
        <v>0.5157508202</v>
      </c>
      <c r="F28" s="352">
        <f>Display_All!AH46</f>
        <v>0.6867011216</v>
      </c>
      <c r="G28" s="326"/>
      <c r="H28" s="326"/>
      <c r="I28" s="326"/>
      <c r="J28" s="326"/>
      <c r="K28" s="326"/>
      <c r="L28" s="326"/>
      <c r="M28" s="326"/>
      <c r="N28" s="326"/>
      <c r="O28" s="326"/>
      <c r="P28" s="326"/>
      <c r="Q28" s="326"/>
      <c r="R28" s="326"/>
      <c r="S28" s="326"/>
      <c r="T28" s="326"/>
      <c r="U28" s="326"/>
      <c r="V28" s="326"/>
      <c r="W28" s="326"/>
      <c r="X28" s="326"/>
      <c r="Y28" s="326"/>
      <c r="Z28" s="326"/>
      <c r="AA28" s="326"/>
      <c r="AB28" s="326"/>
      <c r="AC28" s="326"/>
      <c r="AD28" s="326"/>
    </row>
    <row r="29">
      <c r="A29" s="327">
        <f>Raw!A59</f>
        <v>56</v>
      </c>
      <c r="B29" s="328" t="str">
        <f>Raw!AQ59</f>
        <v>electric blower</v>
      </c>
      <c r="C29" s="328" t="str">
        <f>Display_All!AC59</f>
        <v>540</v>
      </c>
      <c r="D29" s="338">
        <f>Display_All!AP59</f>
        <v>5.617977528</v>
      </c>
      <c r="E29" s="351">
        <f>Display_All!AX59</f>
        <v>0.3273679198</v>
      </c>
      <c r="F29" s="352">
        <f>Display_All!AH59</f>
        <v>0.5123957643</v>
      </c>
      <c r="G29" s="326"/>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row>
    <row r="30">
      <c r="A30" s="327">
        <f>Raw!A38</f>
        <v>37</v>
      </c>
      <c r="B30" s="328" t="str">
        <f>Raw!AQ38</f>
        <v>electric blower</v>
      </c>
      <c r="C30" s="328" t="str">
        <f>Display_All!AC38</f>
        <v>800</v>
      </c>
      <c r="D30" s="338">
        <f>Display_All!AP38</f>
        <v>5.637065637</v>
      </c>
      <c r="E30" s="351">
        <f>Display_All!AX38</f>
        <v>0.5266116815</v>
      </c>
      <c r="F30" s="352">
        <f>Display_All!AH38</f>
        <v>0.5198806365</v>
      </c>
      <c r="G30" s="326"/>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row>
    <row r="31">
      <c r="A31" s="327" t="str">
        <f>Raw!A93</f>
        <v>89 / D34</v>
      </c>
      <c r="B31" s="328" t="str">
        <f>Raw!AQ93</f>
        <v>electric blower</v>
      </c>
      <c r="C31" s="328" t="str">
        <f>Display_All!AC93</f>
        <v>900</v>
      </c>
      <c r="D31" s="338">
        <f>Display_All!AP93</f>
        <v>5.777027027</v>
      </c>
      <c r="E31" s="351">
        <f>Display_All!AX93</f>
        <v>0.5752428055</v>
      </c>
      <c r="F31" s="352">
        <f>Display_All!AH93</f>
        <v>0.5482634678</v>
      </c>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row>
    <row r="32">
      <c r="A32" s="327">
        <f>Raw!A56</f>
        <v>53</v>
      </c>
      <c r="B32" s="328" t="str">
        <f>Raw!AQ56</f>
        <v>electric blower</v>
      </c>
      <c r="C32" s="328" t="str">
        <f>Display_All!AC56</f>
        <v>900</v>
      </c>
      <c r="D32" s="338">
        <f>Display_All!AP56</f>
        <v>5.789473684</v>
      </c>
      <c r="E32" s="351">
        <f>Display_All!AX56</f>
        <v>0.3670549466</v>
      </c>
      <c r="F32" s="352">
        <f>Display_All!AH56</f>
        <v>0.5884677539</v>
      </c>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row>
    <row r="33">
      <c r="A33" s="327" t="str">
        <f>Raw!A37</f>
        <v>36 / D15</v>
      </c>
      <c r="B33" s="328" t="str">
        <f>Raw!AQ37</f>
        <v>electric blower</v>
      </c>
      <c r="C33" s="328" t="str">
        <f>Display_All!AC37</f>
        <v>660 to 780</v>
      </c>
      <c r="D33" s="338">
        <f>Display_All!AP37</f>
        <v>5.873015873</v>
      </c>
      <c r="E33" s="351">
        <f>Display_All!AX37</f>
        <v>0.190601793</v>
      </c>
      <c r="F33" s="352">
        <f>Display_All!AH37</f>
        <v>0.4984213344</v>
      </c>
      <c r="G33" s="326"/>
      <c r="H33" s="326"/>
      <c r="I33" s="326"/>
      <c r="J33" s="326"/>
      <c r="K33" s="326"/>
      <c r="L33" s="326"/>
      <c r="M33" s="326"/>
      <c r="N33" s="326"/>
      <c r="O33" s="326"/>
      <c r="P33" s="326"/>
      <c r="Q33" s="326"/>
      <c r="R33" s="326"/>
      <c r="S33" s="326"/>
      <c r="T33" s="326"/>
      <c r="U33" s="326"/>
      <c r="V33" s="326"/>
      <c r="W33" s="326"/>
      <c r="X33" s="326"/>
      <c r="Y33" s="326"/>
      <c r="Z33" s="326"/>
      <c r="AA33" s="326"/>
      <c r="AB33" s="326"/>
      <c r="AC33" s="326"/>
      <c r="AD33" s="326"/>
    </row>
    <row r="34" hidden="1">
      <c r="A34" s="327">
        <f>Raw!A34</f>
        <v>33</v>
      </c>
      <c r="B34" s="328" t="str">
        <f>Raw!AQ34</f>
        <v>danish vacuum</v>
      </c>
      <c r="C34" s="328" t="str">
        <f>Display_All!AC34</f>
        <v>1000</v>
      </c>
      <c r="D34" s="338">
        <f>Display_All!AP34</f>
        <v>10.5</v>
      </c>
      <c r="E34" s="351" t="str">
        <f>Display_All!AX34</f>
        <v>na</v>
      </c>
      <c r="F34" s="352">
        <f>Display_All!AH34</f>
        <v>0.6415932177</v>
      </c>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row>
    <row r="35" hidden="1">
      <c r="A35" s="327">
        <f>Raw!A35</f>
        <v>34</v>
      </c>
      <c r="B35" s="328" t="str">
        <f>Raw!AQ35</f>
        <v>danish vacuum</v>
      </c>
      <c r="C35" s="328" t="str">
        <f>Display_All!AC35</f>
        <v>1000</v>
      </c>
      <c r="D35" s="338">
        <f>Display_All!AP35</f>
        <v>7</v>
      </c>
      <c r="E35" s="351" t="str">
        <f>Display_All!AX35</f>
        <v>?</v>
      </c>
      <c r="F35" s="352" t="str">
        <f>Display_All!AH35</f>
        <v>?</v>
      </c>
      <c r="G35" s="326"/>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row>
    <row r="36" hidden="1">
      <c r="A36" s="327">
        <f>Raw!A36</f>
        <v>35</v>
      </c>
      <c r="B36" s="328" t="str">
        <f>Raw!AQ36</f>
        <v>danish vacuum</v>
      </c>
      <c r="C36" s="328" t="str">
        <f>Display_All!AC36</f>
        <v>1000</v>
      </c>
      <c r="D36" s="338">
        <f>Display_All!AP36</f>
        <v>11.84615385</v>
      </c>
      <c r="E36" s="351" t="str">
        <f>Display_All!AX36</f>
        <v>?</v>
      </c>
      <c r="F36" s="352" t="str">
        <f>Display_All!AH36</f>
        <v>?</v>
      </c>
      <c r="G36" s="326"/>
      <c r="H36" s="326"/>
      <c r="I36" s="326"/>
      <c r="J36" s="326"/>
      <c r="K36" s="326"/>
      <c r="L36" s="326"/>
      <c r="M36" s="326"/>
      <c r="N36" s="326"/>
      <c r="O36" s="326"/>
      <c r="P36" s="326"/>
      <c r="Q36" s="326"/>
      <c r="R36" s="326"/>
      <c r="S36" s="326"/>
      <c r="T36" s="326"/>
      <c r="U36" s="326"/>
      <c r="V36" s="326"/>
      <c r="W36" s="326"/>
      <c r="X36" s="326"/>
      <c r="Y36" s="326"/>
      <c r="Z36" s="326"/>
      <c r="AA36" s="326"/>
      <c r="AB36" s="326"/>
      <c r="AC36" s="326"/>
      <c r="AD36" s="326"/>
    </row>
    <row r="37">
      <c r="A37" s="327" t="str">
        <f>Raw!A40</f>
        <v>39 / D17</v>
      </c>
      <c r="B37" s="328" t="str">
        <f>Raw!AQ40</f>
        <v>electric blower</v>
      </c>
      <c r="C37" s="328" t="str">
        <f>Display_All!AC40</f>
        <v>400 to 1000</v>
      </c>
      <c r="D37" s="338">
        <f>Display_All!AP40</f>
        <v>5.970588235</v>
      </c>
      <c r="E37" s="351">
        <f>Display_All!AX40</f>
        <v>0.2259346745</v>
      </c>
      <c r="F37" s="352">
        <f>Display_All!AH40</f>
        <v>0.6043986924</v>
      </c>
      <c r="G37" s="326"/>
      <c r="H37" s="326"/>
      <c r="I37" s="326"/>
      <c r="J37" s="326"/>
      <c r="K37" s="326"/>
      <c r="L37" s="326"/>
      <c r="M37" s="326"/>
      <c r="N37" s="326"/>
      <c r="O37" s="326"/>
      <c r="P37" s="326"/>
      <c r="Q37" s="326"/>
      <c r="R37" s="326"/>
      <c r="S37" s="326"/>
      <c r="T37" s="326"/>
      <c r="U37" s="326"/>
      <c r="V37" s="326"/>
      <c r="W37" s="326"/>
      <c r="X37" s="326"/>
      <c r="Y37" s="326"/>
      <c r="Z37" s="326"/>
      <c r="AA37" s="326"/>
      <c r="AB37" s="326"/>
      <c r="AC37" s="326"/>
      <c r="AD37" s="326"/>
    </row>
    <row r="38">
      <c r="A38" s="327">
        <f>Raw!A32</f>
        <v>31</v>
      </c>
      <c r="B38" s="328" t="str">
        <f>Raw!AQ32</f>
        <v>electric blower</v>
      </c>
      <c r="C38" s="328" t="str">
        <f>Display_All!AC32</f>
        <v>NR</v>
      </c>
      <c r="D38" s="338">
        <f>Display_All!AP32</f>
        <v>6.015428571</v>
      </c>
      <c r="E38" s="351">
        <f>Display_All!AX32</f>
        <v>0.2853553533</v>
      </c>
      <c r="F38" s="352">
        <f>Display_All!AH32</f>
        <v>0.4535109057</v>
      </c>
      <c r="G38" s="326"/>
      <c r="H38" s="326"/>
      <c r="I38" s="326"/>
      <c r="J38" s="326"/>
      <c r="K38" s="326"/>
      <c r="L38" s="326"/>
      <c r="M38" s="326"/>
      <c r="N38" s="326"/>
      <c r="O38" s="326"/>
      <c r="P38" s="326"/>
      <c r="Q38" s="326"/>
      <c r="R38" s="326"/>
      <c r="S38" s="326"/>
      <c r="T38" s="326"/>
      <c r="U38" s="326"/>
      <c r="V38" s="326"/>
      <c r="W38" s="326"/>
      <c r="X38" s="326"/>
      <c r="Y38" s="326"/>
      <c r="Z38" s="326"/>
      <c r="AA38" s="326"/>
      <c r="AB38" s="326"/>
      <c r="AC38" s="326"/>
      <c r="AD38" s="326"/>
    </row>
    <row r="39">
      <c r="A39" s="327">
        <f>Raw!A10</f>
        <v>9</v>
      </c>
      <c r="B39" s="328" t="str">
        <f>Raw!AQ10</f>
        <v>various</v>
      </c>
      <c r="C39" s="328" t="str">
        <f>Display_All!AC10</f>
        <v>inconsistant</v>
      </c>
      <c r="D39" s="338">
        <f>Display_All!AP10</f>
        <v>6.220689655</v>
      </c>
      <c r="E39" s="351">
        <f>Display_All!AX10</f>
        <v>0.6820051624</v>
      </c>
      <c r="F39" s="352">
        <f>Display_All!AH10</f>
        <v>0.6539677619</v>
      </c>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326"/>
    </row>
    <row r="40">
      <c r="A40" s="327">
        <f>Raw!A87</f>
        <v>83</v>
      </c>
      <c r="B40" s="328" t="str">
        <f>Raw!AQ87</f>
        <v>electric blower</v>
      </c>
      <c r="C40" s="328" t="str">
        <f>Display_All!AC87</f>
        <v>1000</v>
      </c>
      <c r="D40" s="338">
        <f>Display_All!AP87</f>
        <v>6.597222222</v>
      </c>
      <c r="E40" s="351">
        <f>Display_All!AX87</f>
        <v>0.4198966175</v>
      </c>
      <c r="F40" s="352">
        <f>Display_All!AH87</f>
        <v>0.5726600436</v>
      </c>
      <c r="G40" s="326"/>
      <c r="H40" s="326"/>
      <c r="I40" s="326"/>
      <c r="J40" s="326"/>
      <c r="K40" s="326"/>
      <c r="L40" s="326"/>
      <c r="M40" s="326"/>
      <c r="N40" s="326"/>
      <c r="O40" s="326"/>
      <c r="P40" s="326"/>
      <c r="Q40" s="326"/>
      <c r="R40" s="326"/>
      <c r="S40" s="326"/>
      <c r="T40" s="326"/>
      <c r="U40" s="326"/>
      <c r="V40" s="326"/>
      <c r="W40" s="326"/>
      <c r="X40" s="326"/>
      <c r="Y40" s="326"/>
      <c r="Z40" s="326"/>
      <c r="AA40" s="326"/>
      <c r="AB40" s="326"/>
      <c r="AC40" s="326"/>
      <c r="AD40" s="326"/>
    </row>
    <row r="41">
      <c r="A41" s="327" t="str">
        <f>Raw!A74</f>
        <v>70 / D30</v>
      </c>
      <c r="B41" s="328" t="str">
        <f>Raw!AQ74</f>
        <v>electric blower</v>
      </c>
      <c r="C41" s="328" t="str">
        <f>Display_All!AC74</f>
        <v>1400- (E)</v>
      </c>
      <c r="D41" s="338">
        <f>Display_All!AP74</f>
        <v>6.626865672</v>
      </c>
      <c r="E41" s="351">
        <f>Display_All!AX74</f>
        <v>0.1823940603</v>
      </c>
      <c r="F41" s="352">
        <f>Display_All!AH74</f>
        <v>0.5482634678</v>
      </c>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row>
    <row r="42">
      <c r="A42" s="327">
        <f>Raw!A58</f>
        <v>55</v>
      </c>
      <c r="B42" s="328" t="str">
        <f>Raw!AQ58</f>
        <v>electric blower</v>
      </c>
      <c r="C42" s="328" t="str">
        <f>Display_All!AC58</f>
        <v>1000</v>
      </c>
      <c r="D42" s="338">
        <f>Display_All!AP58</f>
        <v>6.642857143</v>
      </c>
      <c r="E42" s="351">
        <f>Display_All!AX58</f>
        <v>0.2282842826</v>
      </c>
      <c r="F42" s="352">
        <f>Display_All!AH58</f>
        <v>0.4535109057</v>
      </c>
      <c r="G42" s="326"/>
      <c r="H42" s="326"/>
      <c r="I42" s="326"/>
      <c r="J42" s="326"/>
      <c r="K42" s="326"/>
      <c r="L42" s="326"/>
      <c r="M42" s="326"/>
      <c r="N42" s="326"/>
      <c r="O42" s="326"/>
      <c r="P42" s="326"/>
      <c r="Q42" s="326"/>
      <c r="R42" s="326"/>
      <c r="S42" s="326"/>
      <c r="T42" s="326"/>
      <c r="U42" s="326"/>
      <c r="V42" s="326"/>
      <c r="W42" s="326"/>
      <c r="X42" s="326"/>
      <c r="Y42" s="326"/>
      <c r="Z42" s="326"/>
      <c r="AA42" s="326"/>
      <c r="AB42" s="326"/>
      <c r="AC42" s="326"/>
      <c r="AD42" s="326"/>
    </row>
    <row r="43">
      <c r="A43" s="327">
        <f>Raw!A81</f>
        <v>77</v>
      </c>
      <c r="B43" s="328" t="str">
        <f>Raw!AQ81</f>
        <v>electric blower</v>
      </c>
      <c r="C43" s="328" t="str">
        <f>Display_All!AC81</f>
        <v>900</v>
      </c>
      <c r="D43" s="338">
        <f>Display_All!AP81</f>
        <v>6.695906433</v>
      </c>
      <c r="E43" s="351" t="str">
        <f>Display_All!AX81</f>
        <v>?</v>
      </c>
      <c r="F43" s="352" t="str">
        <f>Display_All!AH81</f>
        <v>?</v>
      </c>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c r="AD43" s="326"/>
    </row>
    <row r="44">
      <c r="A44" s="327" t="str">
        <f>Raw!A41</f>
        <v>40 / D18</v>
      </c>
      <c r="B44" s="328" t="str">
        <f>Raw!AQ41</f>
        <v>electric blower</v>
      </c>
      <c r="C44" s="328" t="str">
        <f>Display_All!AC41</f>
        <v>640</v>
      </c>
      <c r="D44" s="338">
        <f>Display_All!AP41</f>
        <v>6.755263158</v>
      </c>
      <c r="E44" s="351">
        <f>Display_All!AX41</f>
        <v>0.4759105126</v>
      </c>
      <c r="F44" s="352">
        <f>Display_All!AH41</f>
        <v>0.5720029607</v>
      </c>
      <c r="G44" s="326"/>
      <c r="H44" s="326"/>
      <c r="I44" s="326"/>
      <c r="J44" s="326"/>
      <c r="K44" s="326"/>
      <c r="L44" s="326"/>
      <c r="M44" s="326"/>
      <c r="N44" s="326"/>
      <c r="O44" s="326"/>
      <c r="P44" s="326"/>
      <c r="Q44" s="326"/>
      <c r="R44" s="326"/>
      <c r="S44" s="326"/>
      <c r="T44" s="326"/>
      <c r="U44" s="326"/>
      <c r="V44" s="326"/>
      <c r="W44" s="326"/>
      <c r="X44" s="326"/>
      <c r="Y44" s="326"/>
      <c r="Z44" s="326"/>
      <c r="AA44" s="326"/>
      <c r="AB44" s="326"/>
      <c r="AC44" s="326"/>
      <c r="AD44" s="326"/>
    </row>
    <row r="45">
      <c r="A45" s="327">
        <f>Raw!A13</f>
        <v>12</v>
      </c>
      <c r="B45" s="328" t="str">
        <f>Raw!AQ13</f>
        <v>electric blower</v>
      </c>
      <c r="C45" s="328" t="str">
        <f>Display_All!AC13</f>
        <v>1000 (E)</v>
      </c>
      <c r="D45" s="338">
        <f>Display_All!AP13</f>
        <v>6.801834862</v>
      </c>
      <c r="E45" s="351">
        <f>Display_All!AX13</f>
        <v>0.3686835827</v>
      </c>
      <c r="F45" s="352">
        <f>Display_All!AH13</f>
        <v>0.58</v>
      </c>
      <c r="G45" s="326"/>
      <c r="H45" s="326"/>
      <c r="I45" s="326"/>
      <c r="J45" s="326"/>
      <c r="K45" s="326"/>
      <c r="L45" s="326"/>
      <c r="M45" s="326"/>
      <c r="N45" s="326"/>
      <c r="O45" s="326"/>
      <c r="P45" s="326"/>
      <c r="Q45" s="326"/>
      <c r="R45" s="326"/>
      <c r="S45" s="326"/>
      <c r="T45" s="326"/>
      <c r="U45" s="326"/>
      <c r="V45" s="326"/>
      <c r="W45" s="326"/>
      <c r="X45" s="326"/>
      <c r="Y45" s="326"/>
      <c r="Z45" s="326"/>
      <c r="AA45" s="326"/>
      <c r="AB45" s="326"/>
      <c r="AC45" s="326"/>
      <c r="AD45" s="326"/>
    </row>
    <row r="46">
      <c r="A46" s="327" t="str">
        <f>Raw!A50</f>
        <v>D25</v>
      </c>
      <c r="B46" s="328" t="str">
        <f>Raw!AQ50</f>
        <v>electric blower</v>
      </c>
      <c r="C46" s="328" t="str">
        <f>Display_All!AC50</f>
        <v>900</v>
      </c>
      <c r="D46" s="338">
        <f>Display_All!AP50</f>
        <v>6.893939394</v>
      </c>
      <c r="E46" s="351">
        <f>Display_All!AX50</f>
        <v>0.3368778467</v>
      </c>
      <c r="F46" s="352">
        <f>Display_All!AH50</f>
        <v>0.5708528899</v>
      </c>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row>
    <row r="47" hidden="1">
      <c r="A47" s="327">
        <f>Raw!A47</f>
        <v>46</v>
      </c>
      <c r="B47" s="328" t="str">
        <f>Raw!AQ47</f>
        <v>passive</v>
      </c>
      <c r="C47" s="328" t="str">
        <f>Display_All!AC47</f>
        <v>?</v>
      </c>
      <c r="D47" s="338">
        <f>Display_All!AP47</f>
        <v>5.58893617</v>
      </c>
      <c r="E47" s="351" t="str">
        <f>Display_All!AX47</f>
        <v>na</v>
      </c>
      <c r="F47" s="352">
        <f>Display_All!AH47</f>
        <v>0.58</v>
      </c>
      <c r="G47" s="326"/>
      <c r="H47" s="326"/>
      <c r="I47" s="326"/>
      <c r="J47" s="326"/>
      <c r="K47" s="326"/>
      <c r="L47" s="326"/>
      <c r="M47" s="326"/>
      <c r="N47" s="326"/>
      <c r="O47" s="326"/>
      <c r="P47" s="326"/>
      <c r="Q47" s="326"/>
      <c r="R47" s="326"/>
      <c r="S47" s="326"/>
      <c r="T47" s="326"/>
      <c r="U47" s="326"/>
      <c r="V47" s="326"/>
      <c r="W47" s="326"/>
      <c r="X47" s="326"/>
      <c r="Y47" s="326"/>
      <c r="Z47" s="326"/>
      <c r="AA47" s="326"/>
      <c r="AB47" s="326"/>
      <c r="AC47" s="326"/>
      <c r="AD47" s="326"/>
    </row>
    <row r="48">
      <c r="A48" s="327" t="str">
        <f>Raw!A64</f>
        <v>60 / D28</v>
      </c>
      <c r="B48" s="328" t="str">
        <f>Raw!AQ64</f>
        <v>electric blower</v>
      </c>
      <c r="C48" s="328" t="str">
        <f>Display_All!AC64</f>
        <v>1400- (E)</v>
      </c>
      <c r="D48" s="338">
        <f>Display_All!AP64</f>
        <v>6.895604396</v>
      </c>
      <c r="E48" s="351">
        <f>Display_All!AX64</f>
        <v>0.4421137902</v>
      </c>
      <c r="F48" s="352">
        <f>Display_All!AH64</f>
        <v>0.561817121</v>
      </c>
      <c r="G48" s="326"/>
      <c r="H48" s="326"/>
      <c r="I48" s="326"/>
      <c r="J48" s="326"/>
      <c r="K48" s="326"/>
      <c r="L48" s="326"/>
      <c r="M48" s="326"/>
      <c r="N48" s="326"/>
      <c r="O48" s="326"/>
      <c r="P48" s="326"/>
      <c r="Q48" s="326"/>
      <c r="R48" s="326"/>
      <c r="S48" s="326"/>
      <c r="T48" s="326"/>
      <c r="U48" s="326"/>
      <c r="V48" s="326"/>
      <c r="W48" s="326"/>
      <c r="X48" s="326"/>
      <c r="Y48" s="326"/>
      <c r="Z48" s="326"/>
      <c r="AA48" s="326"/>
      <c r="AB48" s="326"/>
      <c r="AC48" s="326"/>
      <c r="AD48" s="326"/>
    </row>
    <row r="49">
      <c r="A49" s="327">
        <f>Raw!A31</f>
        <v>30</v>
      </c>
      <c r="B49" s="328" t="str">
        <f>Raw!AQ31</f>
        <v>electric blower</v>
      </c>
      <c r="C49" s="328" t="str">
        <f>Display_All!AC31</f>
        <v>NR</v>
      </c>
      <c r="D49" s="338">
        <f>Display_All!AP31</f>
        <v>6.9</v>
      </c>
      <c r="E49" s="351">
        <f>Display_All!AX31</f>
        <v>0.1129393685</v>
      </c>
      <c r="F49" s="352">
        <f>Display_All!AH31</f>
        <v>0.4984213344</v>
      </c>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row>
    <row r="50">
      <c r="A50" s="327">
        <f>Raw!A82</f>
        <v>78</v>
      </c>
      <c r="B50" s="328" t="str">
        <f>Raw!AQ82</f>
        <v>electric blower</v>
      </c>
      <c r="C50" s="328" t="str">
        <f>Display_All!AC82</f>
        <v>900</v>
      </c>
      <c r="D50" s="338">
        <f>Display_All!AP82</f>
        <v>6.900584795</v>
      </c>
      <c r="E50" s="351">
        <f>Display_All!AX82</f>
        <v>0.3141068181</v>
      </c>
      <c r="F50" s="352">
        <f>Display_All!AH82</f>
        <v>0.561817121</v>
      </c>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c r="AD50" s="326"/>
    </row>
    <row r="51" hidden="1">
      <c r="A51" s="327" t="str">
        <f>Raw!A51</f>
        <v>48 / D26</v>
      </c>
      <c r="B51" s="328" t="str">
        <f>Raw!AQ51</f>
        <v>electric blower</v>
      </c>
      <c r="C51" s="328" t="str">
        <f>Display_All!AC51</f>
        <v>800</v>
      </c>
      <c r="D51" s="338">
        <f>Display_All!AP51</f>
        <v>5.206030151</v>
      </c>
      <c r="E51" s="351" t="str">
        <f>Display_All!AX51</f>
        <v>na</v>
      </c>
      <c r="F51" s="352">
        <f>Display_All!AH51</f>
        <v>0.4999001809</v>
      </c>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row>
    <row r="52">
      <c r="A52" s="327">
        <f>Raw!A62</f>
        <v>59</v>
      </c>
      <c r="B52" s="328" t="str">
        <f>Raw!AQ62</f>
        <v>leaf blower 2</v>
      </c>
      <c r="C52" s="328" t="str">
        <f>Display_All!AC62</f>
        <v>?</v>
      </c>
      <c r="D52" s="338">
        <f>Display_All!AP62</f>
        <v>6.973684211</v>
      </c>
      <c r="E52" s="351">
        <f>Display_All!AX62</f>
        <v>0.445812696</v>
      </c>
      <c r="F52" s="352">
        <f>Display_All!AH62</f>
        <v>0.6346316106</v>
      </c>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326"/>
    </row>
    <row r="53">
      <c r="A53" s="327" t="str">
        <f>Raw!A11</f>
        <v>10 / D5</v>
      </c>
      <c r="B53" s="328" t="str">
        <f>Raw!AQ11</f>
        <v>Ubber Bellows</v>
      </c>
      <c r="C53" s="328" t="str">
        <f>Display_All!AC11</f>
        <v>600 (E)</v>
      </c>
      <c r="D53" s="338">
        <f>Display_All!AP11</f>
        <v>7.020588235</v>
      </c>
      <c r="E53" s="351">
        <f>Display_All!AX11</f>
        <v>0.4489181252</v>
      </c>
      <c r="F53" s="352">
        <f>Display_All!AH11</f>
        <v>0.6539677619</v>
      </c>
      <c r="G53" s="326"/>
      <c r="H53" s="326"/>
      <c r="I53" s="326"/>
      <c r="J53" s="326"/>
      <c r="K53" s="326"/>
      <c r="L53" s="326"/>
      <c r="M53" s="326"/>
      <c r="N53" s="326"/>
      <c r="O53" s="326"/>
      <c r="P53" s="326"/>
      <c r="Q53" s="326"/>
      <c r="R53" s="326"/>
      <c r="S53" s="326"/>
      <c r="T53" s="326"/>
      <c r="U53" s="326"/>
      <c r="V53" s="326"/>
      <c r="W53" s="326"/>
      <c r="X53" s="326"/>
      <c r="Y53" s="326"/>
      <c r="Z53" s="326"/>
      <c r="AA53" s="326"/>
      <c r="AB53" s="326"/>
      <c r="AC53" s="326"/>
      <c r="AD53" s="326"/>
    </row>
    <row r="54">
      <c r="A54" s="327" t="str">
        <f>Raw!A33</f>
        <v>32 / D14</v>
      </c>
      <c r="B54" s="328" t="str">
        <f>Raw!AQ33</f>
        <v>electric blower</v>
      </c>
      <c r="C54" s="328" t="str">
        <f>Display_All!AC33</f>
        <v>365 to 450</v>
      </c>
      <c r="D54" s="338">
        <f>Display_All!AP33</f>
        <v>7.05</v>
      </c>
      <c r="E54" s="351">
        <f>Display_All!AX33</f>
        <v>0.2229260737</v>
      </c>
      <c r="F54" s="352">
        <f>Display_All!AH33</f>
        <v>0.4984213344</v>
      </c>
      <c r="G54" s="326"/>
      <c r="H54" s="326"/>
      <c r="I54" s="326"/>
      <c r="J54" s="326"/>
      <c r="K54" s="326"/>
      <c r="L54" s="326"/>
      <c r="M54" s="326"/>
      <c r="N54" s="326"/>
      <c r="O54" s="326"/>
      <c r="P54" s="326"/>
      <c r="Q54" s="326"/>
      <c r="R54" s="326"/>
      <c r="S54" s="326"/>
      <c r="T54" s="326"/>
      <c r="U54" s="326"/>
      <c r="V54" s="326"/>
      <c r="W54" s="326"/>
      <c r="X54" s="326"/>
      <c r="Y54" s="326"/>
      <c r="Z54" s="326"/>
      <c r="AA54" s="326"/>
      <c r="AB54" s="326"/>
      <c r="AC54" s="326"/>
      <c r="AD54" s="326"/>
    </row>
    <row r="55">
      <c r="A55" s="327" t="str">
        <f>Raw!A42</f>
        <v>41 / D19</v>
      </c>
      <c r="B55" s="328" t="str">
        <f>Raw!AQ42</f>
        <v>box / electric</v>
      </c>
      <c r="C55" s="328" t="str">
        <f>Display_All!AC42</f>
        <v>900 (E)</v>
      </c>
      <c r="D55" s="338">
        <f>Display_All!AP42</f>
        <v>7.196969697</v>
      </c>
      <c r="E55" s="351">
        <f>Display_All!AX42</f>
        <v>0.4459513724</v>
      </c>
      <c r="F55" s="352">
        <f>Display_All!AH42</f>
        <v>0.60663879</v>
      </c>
      <c r="G55" s="326"/>
      <c r="H55" s="326"/>
      <c r="I55" s="326"/>
      <c r="J55" s="326"/>
      <c r="K55" s="326"/>
      <c r="L55" s="326"/>
      <c r="M55" s="326"/>
      <c r="N55" s="326"/>
      <c r="O55" s="326"/>
      <c r="P55" s="326"/>
      <c r="Q55" s="326"/>
      <c r="R55" s="326"/>
      <c r="S55" s="326"/>
      <c r="T55" s="326"/>
      <c r="U55" s="326"/>
      <c r="V55" s="326"/>
      <c r="W55" s="326"/>
      <c r="X55" s="326"/>
      <c r="Y55" s="326"/>
      <c r="Z55" s="326"/>
      <c r="AA55" s="326"/>
      <c r="AB55" s="326"/>
      <c r="AC55" s="326"/>
      <c r="AD55" s="326"/>
    </row>
    <row r="56">
      <c r="A56" s="327" t="str">
        <f>Raw!A94</f>
        <v>90 / D35</v>
      </c>
      <c r="B56" s="328" t="str">
        <f>Raw!AQ94</f>
        <v>blower / smelt bellows</v>
      </c>
      <c r="C56" s="328" t="str">
        <f>Display_All!AC94</f>
        <v>477 to 875</v>
      </c>
      <c r="D56" s="338">
        <f>Display_All!AP94</f>
        <v>7.236842105</v>
      </c>
      <c r="E56" s="351">
        <f>Display_All!AX94</f>
        <v>0.5704505589</v>
      </c>
      <c r="F56" s="352">
        <f>Display_All!AH94</f>
        <v>0.5482634678</v>
      </c>
      <c r="G56" s="326"/>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row>
    <row r="57">
      <c r="A57" s="327" t="str">
        <f>Raw!A39</f>
        <v>38 / D16</v>
      </c>
      <c r="B57" s="328" t="str">
        <f>Raw!AQ39</f>
        <v>electric blower</v>
      </c>
      <c r="C57" s="328" t="str">
        <f>Display_All!AC39</f>
        <v>625 to 740</v>
      </c>
      <c r="D57" s="338">
        <f>Display_All!AP39</f>
        <v>7.417417417</v>
      </c>
      <c r="E57" s="351">
        <f>Display_All!AX39</f>
        <v>0.3646483494</v>
      </c>
      <c r="F57" s="352">
        <f>Display_All!AH39</f>
        <v>0.584243638</v>
      </c>
      <c r="G57" s="326"/>
      <c r="H57" s="326"/>
      <c r="I57" s="326"/>
      <c r="J57" s="326"/>
      <c r="K57" s="326"/>
      <c r="L57" s="326"/>
      <c r="M57" s="326"/>
      <c r="N57" s="326"/>
      <c r="O57" s="326"/>
      <c r="P57" s="326"/>
      <c r="Q57" s="326"/>
      <c r="R57" s="326"/>
      <c r="S57" s="326"/>
      <c r="T57" s="326"/>
      <c r="U57" s="326"/>
      <c r="V57" s="326"/>
      <c r="W57" s="326"/>
      <c r="X57" s="326"/>
      <c r="Y57" s="326"/>
      <c r="Z57" s="326"/>
      <c r="AA57" s="326"/>
      <c r="AB57" s="326"/>
      <c r="AC57" s="326"/>
      <c r="AD57" s="326"/>
    </row>
    <row r="58">
      <c r="A58" s="327">
        <f>Raw!A76</f>
        <v>72</v>
      </c>
      <c r="B58" s="328" t="str">
        <f>Raw!AQ76</f>
        <v>electric blower</v>
      </c>
      <c r="C58" s="328" t="str">
        <f>Display_All!AC76</f>
        <v>465</v>
      </c>
      <c r="D58" s="338">
        <f>Display_All!AP76</f>
        <v>7.42872807</v>
      </c>
      <c r="E58" s="351">
        <f>Display_All!AX76</f>
        <v>0.435078689</v>
      </c>
      <c r="F58" s="352">
        <f>Display_All!AH76</f>
        <v>0.5655454716</v>
      </c>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c r="AD58" s="326"/>
    </row>
    <row r="59">
      <c r="A59" s="327" t="str">
        <f>Raw!A89</f>
        <v>85 / D31</v>
      </c>
      <c r="B59" s="328" t="str">
        <f>Raw!AQ89</f>
        <v>electric blower</v>
      </c>
      <c r="C59" s="328" t="str">
        <f>Display_All!AC89</f>
        <v>900 to 1000</v>
      </c>
      <c r="D59" s="338">
        <f>Display_All!AP89</f>
        <v>7.46031746</v>
      </c>
      <c r="E59" s="351" t="str">
        <f>Display_All!AX89</f>
        <v>?</v>
      </c>
      <c r="F59" s="352" t="str">
        <f>Display_All!AH89</f>
        <v>?</v>
      </c>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c r="AD59" s="326"/>
    </row>
    <row r="60">
      <c r="A60" s="327">
        <f>Raw!A30</f>
        <v>29</v>
      </c>
      <c r="B60" s="328" t="str">
        <f>Raw!AQ30</f>
        <v>electric blower</v>
      </c>
      <c r="C60" s="328" t="str">
        <f>Display_All!AC30</f>
        <v>NR</v>
      </c>
      <c r="D60" s="338">
        <f>Display_All!AP30</f>
        <v>7.486868687</v>
      </c>
      <c r="E60" s="351">
        <f>Display_All!AX30</f>
        <v>0.4122938531</v>
      </c>
      <c r="F60" s="352">
        <f>Display_All!AH30</f>
        <v>0.58</v>
      </c>
      <c r="G60" s="326"/>
      <c r="H60" s="326"/>
      <c r="I60" s="326"/>
      <c r="J60" s="326"/>
      <c r="K60" s="326"/>
      <c r="L60" s="326"/>
      <c r="M60" s="326"/>
      <c r="N60" s="326"/>
      <c r="O60" s="326"/>
      <c r="P60" s="326"/>
      <c r="Q60" s="326"/>
      <c r="R60" s="326"/>
      <c r="S60" s="326"/>
      <c r="T60" s="326"/>
      <c r="U60" s="326"/>
      <c r="V60" s="326"/>
      <c r="W60" s="326"/>
      <c r="X60" s="326"/>
      <c r="Y60" s="326"/>
      <c r="Z60" s="326"/>
      <c r="AA60" s="326"/>
      <c r="AB60" s="326"/>
      <c r="AC60" s="326"/>
      <c r="AD60" s="326"/>
    </row>
    <row r="61">
      <c r="A61" s="327">
        <f>Raw!A55</f>
        <v>52</v>
      </c>
      <c r="B61" s="328" t="str">
        <f>Raw!AQ55</f>
        <v>electric blower</v>
      </c>
      <c r="C61" s="328" t="str">
        <f>Display_All!AC55</f>
        <v>800</v>
      </c>
      <c r="D61" s="338">
        <f>Display_All!AP55</f>
        <v>7.537537538</v>
      </c>
      <c r="E61" s="351">
        <f>Display_All!AX55</f>
        <v>0.3911172987</v>
      </c>
      <c r="F61" s="352">
        <f>Display_All!AH55</f>
        <v>0.5708528899</v>
      </c>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c r="AD61" s="326"/>
    </row>
    <row r="62">
      <c r="A62" s="327">
        <f>Raw!A97</f>
        <v>93</v>
      </c>
      <c r="B62" s="328" t="str">
        <f>Raw!AQ97</f>
        <v>small blower</v>
      </c>
      <c r="C62" s="328" t="str">
        <f>Display_All!AC97</f>
        <v>?</v>
      </c>
      <c r="D62" s="338">
        <f>Display_All!AP97</f>
        <v>7.625</v>
      </c>
      <c r="E62" s="351">
        <f>Display_All!AX97</f>
        <v>0.1569904094</v>
      </c>
      <c r="F62" s="352">
        <f>Display_All!AH97</f>
        <v>0.3497153807</v>
      </c>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row>
    <row r="63" hidden="1">
      <c r="A63" s="329" t="str">
        <f>Raw!A63</f>
        <v>T1</v>
      </c>
      <c r="B63" s="330" t="str">
        <f>Raw!AQ63</f>
        <v>leaf blower 2</v>
      </c>
      <c r="C63" s="330" t="str">
        <f>Raw!AT63</f>
        <v/>
      </c>
      <c r="D63" s="331" t="str">
        <f>Raw!CA63</f>
        <v/>
      </c>
      <c r="E63" s="353" t="str">
        <f>Raw!CX63</f>
        <v>?</v>
      </c>
      <c r="F63" s="354"/>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row>
    <row r="64">
      <c r="A64" s="327">
        <f>Raw!A88</f>
        <v>84</v>
      </c>
      <c r="B64" s="328" t="str">
        <f>Raw!AQ88</f>
        <v>electric blower</v>
      </c>
      <c r="C64" s="328" t="str">
        <f>Display_All!AC88</f>
        <v>1000</v>
      </c>
      <c r="D64" s="338">
        <f>Display_All!AP88</f>
        <v>7.703703704</v>
      </c>
      <c r="E64" s="351">
        <f>Display_All!AX88</f>
        <v>0.4567080669</v>
      </c>
      <c r="F64" s="352">
        <f>Display_All!AH88</f>
        <v>0.5726600436</v>
      </c>
      <c r="G64" s="326"/>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row>
    <row r="65">
      <c r="A65" s="327" t="str">
        <f>Raw!A102</f>
        <v>98 / D40</v>
      </c>
      <c r="B65" s="328" t="str">
        <f>Raw!AQ102</f>
        <v>blower / sliding gate</v>
      </c>
      <c r="C65" s="328">
        <f>Raw!AT102</f>
        <v>525</v>
      </c>
      <c r="D65" s="338">
        <f>Raw!CA102</f>
        <v>7.727272727</v>
      </c>
      <c r="E65" s="351">
        <f>Display_All!AX102</f>
        <v>0.1044741815</v>
      </c>
      <c r="F65" s="352">
        <f>Display_All!AH102</f>
        <v>0.5482634678</v>
      </c>
      <c r="G65" s="326"/>
      <c r="H65" s="326"/>
      <c r="I65" s="326"/>
      <c r="J65" s="326"/>
      <c r="K65" s="326"/>
      <c r="L65" s="326"/>
      <c r="M65" s="326"/>
      <c r="N65" s="326"/>
      <c r="O65" s="326"/>
      <c r="P65" s="326"/>
      <c r="Q65" s="326"/>
      <c r="R65" s="326"/>
      <c r="S65" s="326"/>
      <c r="T65" s="326"/>
      <c r="U65" s="326"/>
      <c r="V65" s="326"/>
      <c r="W65" s="326"/>
      <c r="X65" s="326"/>
      <c r="Y65" s="326"/>
      <c r="Z65" s="326"/>
      <c r="AA65" s="326"/>
      <c r="AB65" s="326"/>
      <c r="AC65" s="326"/>
      <c r="AD65" s="326"/>
    </row>
    <row r="66" hidden="1">
      <c r="A66" s="327">
        <f>Raw!A66</f>
        <v>62</v>
      </c>
      <c r="B66" s="328" t="str">
        <f>Raw!AQ66</f>
        <v>electric blower</v>
      </c>
      <c r="C66" s="328" t="str">
        <f>Display_All!AC66</f>
        <v>800</v>
      </c>
      <c r="D66" s="338">
        <f>Display_All!AP66</f>
        <v>6.761363636</v>
      </c>
      <c r="E66" s="351" t="str">
        <f>Display_All!AX66</f>
        <v>NR</v>
      </c>
      <c r="F66" s="352">
        <f>Display_All!AH66</f>
        <v>0.561817121</v>
      </c>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row>
    <row r="67">
      <c r="A67" s="327">
        <f>Raw!A83</f>
        <v>79</v>
      </c>
      <c r="B67" s="328" t="str">
        <f>Raw!AQ83</f>
        <v>electric blower</v>
      </c>
      <c r="C67" s="328" t="str">
        <f>Display_All!AC83</f>
        <v>1100</v>
      </c>
      <c r="D67" s="338">
        <f>Display_All!AP83</f>
        <v>7.777777778</v>
      </c>
      <c r="E67" s="351">
        <f>Display_All!AX83</f>
        <v>0.5010725634</v>
      </c>
      <c r="F67" s="352">
        <f>Display_All!AH83</f>
        <v>0.5654536968</v>
      </c>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row>
    <row r="68" hidden="1">
      <c r="A68" s="327">
        <f>Raw!A68</f>
        <v>64</v>
      </c>
      <c r="B68" s="328" t="str">
        <f>Raw!AQ68</f>
        <v>danish vacuum</v>
      </c>
      <c r="C68" s="328" t="str">
        <f>Display_All!AC68</f>
        <v>?</v>
      </c>
      <c r="D68" s="338">
        <f>Display_All!AP68</f>
        <v>5.857142857</v>
      </c>
      <c r="E68" s="351" t="str">
        <f>Display_All!AX68</f>
        <v>?</v>
      </c>
      <c r="F68" s="352" t="str">
        <f>Display_All!AH68</f>
        <v>?</v>
      </c>
      <c r="G68" s="326"/>
      <c r="H68" s="326"/>
      <c r="I68" s="326"/>
      <c r="J68" s="326"/>
      <c r="K68" s="326"/>
      <c r="L68" s="326"/>
      <c r="M68" s="326"/>
      <c r="N68" s="326"/>
      <c r="O68" s="326"/>
      <c r="P68" s="326"/>
      <c r="Q68" s="326"/>
      <c r="R68" s="326"/>
      <c r="S68" s="326"/>
      <c r="T68" s="326"/>
      <c r="U68" s="326"/>
      <c r="V68" s="326"/>
      <c r="W68" s="326"/>
      <c r="X68" s="326"/>
      <c r="Y68" s="326"/>
      <c r="Z68" s="326"/>
      <c r="AA68" s="326"/>
      <c r="AB68" s="326"/>
      <c r="AC68" s="326"/>
      <c r="AD68" s="326"/>
    </row>
    <row r="69" hidden="1">
      <c r="A69" s="327">
        <f>Raw!A69</f>
        <v>65</v>
      </c>
      <c r="B69" s="328" t="str">
        <f>Raw!AQ69</f>
        <v>danish vacuum</v>
      </c>
      <c r="C69" s="328" t="str">
        <f>Display_All!AC69</f>
        <v>?</v>
      </c>
      <c r="D69" s="338">
        <f>Display_All!AP69</f>
        <v>5.80952381</v>
      </c>
      <c r="E69" s="351" t="str">
        <f>Display_All!AX69</f>
        <v>?</v>
      </c>
      <c r="F69" s="352" t="str">
        <f>Display_All!AH69</f>
        <v>?</v>
      </c>
      <c r="G69" s="326"/>
      <c r="H69" s="326"/>
      <c r="I69" s="326"/>
      <c r="J69" s="326"/>
      <c r="K69" s="326"/>
      <c r="L69" s="326"/>
      <c r="M69" s="326"/>
      <c r="N69" s="326"/>
      <c r="O69" s="326"/>
      <c r="P69" s="326"/>
      <c r="Q69" s="326"/>
      <c r="R69" s="326"/>
      <c r="S69" s="326"/>
      <c r="T69" s="326"/>
      <c r="U69" s="326"/>
      <c r="V69" s="326"/>
      <c r="W69" s="326"/>
      <c r="X69" s="326"/>
      <c r="Y69" s="326"/>
      <c r="Z69" s="326"/>
      <c r="AA69" s="326"/>
      <c r="AB69" s="326"/>
      <c r="AC69" s="326"/>
      <c r="AD69" s="326"/>
    </row>
    <row r="70" hidden="1">
      <c r="A70" s="327">
        <f>Raw!A70</f>
        <v>66</v>
      </c>
      <c r="B70" s="328" t="str">
        <f>Raw!AQ70</f>
        <v>leaf blower 2</v>
      </c>
      <c r="C70" s="328" t="str">
        <f>Display_All!AC70</f>
        <v>?</v>
      </c>
      <c r="D70" s="338">
        <f>Display_All!AP70</f>
        <v>8.253968254</v>
      </c>
      <c r="E70" s="351" t="str">
        <f>Display_All!AX70</f>
        <v>?</v>
      </c>
      <c r="F70" s="352" t="str">
        <f>Display_All!AH70</f>
        <v>?</v>
      </c>
      <c r="G70" s="326"/>
      <c r="H70" s="326"/>
      <c r="I70" s="326"/>
      <c r="J70" s="326"/>
      <c r="K70" s="326"/>
      <c r="L70" s="326"/>
      <c r="M70" s="326"/>
      <c r="N70" s="326"/>
      <c r="O70" s="326"/>
      <c r="P70" s="326"/>
      <c r="Q70" s="326"/>
      <c r="R70" s="326"/>
      <c r="S70" s="326"/>
      <c r="T70" s="326"/>
      <c r="U70" s="326"/>
      <c r="V70" s="326"/>
      <c r="W70" s="326"/>
      <c r="X70" s="326"/>
      <c r="Y70" s="326"/>
      <c r="Z70" s="326"/>
      <c r="AA70" s="326"/>
      <c r="AB70" s="326"/>
      <c r="AC70" s="326"/>
      <c r="AD70" s="326"/>
    </row>
    <row r="71">
      <c r="A71" s="327" t="str">
        <f>Raw!A65</f>
        <v>61 / D29</v>
      </c>
      <c r="B71" s="328" t="str">
        <f>Raw!AQ65</f>
        <v>electric blower</v>
      </c>
      <c r="C71" s="328" t="str">
        <f>Display_All!AC65</f>
        <v>1000</v>
      </c>
      <c r="D71" s="338">
        <f>Display_All!AP65</f>
        <v>7.867036011</v>
      </c>
      <c r="E71" s="351">
        <f>Display_All!AX65</f>
        <v>0.2509421683</v>
      </c>
      <c r="F71" s="352">
        <f>Display_All!AH65</f>
        <v>0.561817121</v>
      </c>
      <c r="G71" s="326"/>
      <c r="H71" s="326"/>
      <c r="I71" s="326"/>
      <c r="J71" s="326"/>
      <c r="K71" s="326"/>
      <c r="L71" s="326"/>
      <c r="M71" s="326"/>
      <c r="N71" s="326"/>
      <c r="O71" s="326"/>
      <c r="P71" s="326"/>
      <c r="Q71" s="326"/>
      <c r="R71" s="326"/>
      <c r="S71" s="326"/>
      <c r="T71" s="326"/>
      <c r="U71" s="326"/>
      <c r="V71" s="326"/>
      <c r="W71" s="326"/>
      <c r="X71" s="326"/>
      <c r="Y71" s="326"/>
      <c r="Z71" s="326"/>
      <c r="AA71" s="326"/>
      <c r="AB71" s="326"/>
      <c r="AC71" s="326"/>
      <c r="AD71" s="326"/>
    </row>
    <row r="72" hidden="1">
      <c r="A72" s="327">
        <f>Raw!A72</f>
        <v>68</v>
      </c>
      <c r="B72" s="328" t="str">
        <f>Raw!AQ72</f>
        <v>leaf blower 2</v>
      </c>
      <c r="C72" s="328" t="str">
        <f>Display_All!AC72</f>
        <v>?</v>
      </c>
      <c r="D72" s="338">
        <f>Display_All!AP72</f>
        <v>4.84375</v>
      </c>
      <c r="E72" s="351" t="str">
        <f>Display_All!AX72</f>
        <v>?</v>
      </c>
      <c r="F72" s="352" t="str">
        <f>Display_All!AH72</f>
        <v>?</v>
      </c>
      <c r="G72" s="326"/>
      <c r="H72" s="326"/>
      <c r="I72" s="326"/>
      <c r="J72" s="326"/>
      <c r="K72" s="326"/>
      <c r="L72" s="326"/>
      <c r="M72" s="326"/>
      <c r="N72" s="326"/>
      <c r="O72" s="326"/>
      <c r="P72" s="326"/>
      <c r="Q72" s="326"/>
      <c r="R72" s="326"/>
      <c r="S72" s="326"/>
      <c r="T72" s="326"/>
      <c r="U72" s="326"/>
      <c r="V72" s="326"/>
      <c r="W72" s="326"/>
      <c r="X72" s="326"/>
      <c r="Y72" s="326"/>
      <c r="Z72" s="326"/>
      <c r="AA72" s="326"/>
      <c r="AB72" s="326"/>
      <c r="AC72" s="326"/>
      <c r="AD72" s="326"/>
    </row>
    <row r="73" hidden="1">
      <c r="A73" s="329">
        <f>Raw!A73</f>
        <v>69</v>
      </c>
      <c r="B73" s="330" t="str">
        <f>Raw!AQ73</f>
        <v>shop vac</v>
      </c>
      <c r="C73" s="330" t="str">
        <f>Raw!AT73</f>
        <v/>
      </c>
      <c r="D73" s="331" t="str">
        <f>Raw!CA73</f>
        <v>na</v>
      </c>
      <c r="E73" s="353" t="str">
        <f>Raw!CX73</f>
        <v>?</v>
      </c>
      <c r="F73" s="354"/>
      <c r="G73" s="326"/>
      <c r="H73" s="326"/>
      <c r="I73" s="326"/>
      <c r="J73" s="326"/>
      <c r="K73" s="326"/>
      <c r="L73" s="326"/>
      <c r="M73" s="326"/>
      <c r="N73" s="326"/>
      <c r="O73" s="326"/>
      <c r="P73" s="326"/>
      <c r="Q73" s="326"/>
      <c r="R73" s="326"/>
      <c r="S73" s="326"/>
      <c r="T73" s="326"/>
      <c r="U73" s="326"/>
      <c r="V73" s="326"/>
      <c r="W73" s="326"/>
      <c r="X73" s="326"/>
      <c r="Y73" s="326"/>
      <c r="Z73" s="326"/>
      <c r="AA73" s="326"/>
      <c r="AB73" s="326"/>
      <c r="AC73" s="326"/>
      <c r="AD73" s="326"/>
    </row>
    <row r="74">
      <c r="A74" s="327">
        <f>Raw!A80</f>
        <v>76</v>
      </c>
      <c r="B74" s="328" t="str">
        <f>Raw!AQ80</f>
        <v>electric blower</v>
      </c>
      <c r="C74" s="328" t="str">
        <f>Display_All!AC80</f>
        <v>900 to 1000</v>
      </c>
      <c r="D74" s="338">
        <f>Display_All!AP80</f>
        <v>7.875816993</v>
      </c>
      <c r="E74" s="351" t="str">
        <f>Display_All!AX80</f>
        <v>?</v>
      </c>
      <c r="F74" s="352" t="str">
        <f>Display_All!AH80</f>
        <v>?</v>
      </c>
      <c r="G74" s="326"/>
      <c r="H74" s="326"/>
      <c r="I74" s="326"/>
      <c r="J74" s="326"/>
      <c r="K74" s="326"/>
      <c r="L74" s="326"/>
      <c r="M74" s="326"/>
      <c r="N74" s="326"/>
      <c r="O74" s="326"/>
      <c r="P74" s="326"/>
      <c r="Q74" s="326"/>
      <c r="R74" s="326"/>
      <c r="S74" s="326"/>
      <c r="T74" s="326"/>
      <c r="U74" s="326"/>
      <c r="V74" s="326"/>
      <c r="W74" s="326"/>
      <c r="X74" s="326"/>
      <c r="Y74" s="326"/>
      <c r="Z74" s="326"/>
      <c r="AA74" s="326"/>
      <c r="AB74" s="326"/>
      <c r="AC74" s="326"/>
      <c r="AD74" s="326"/>
    </row>
    <row r="75" hidden="1">
      <c r="A75" s="327">
        <f>Raw!A75</f>
        <v>71</v>
      </c>
      <c r="B75" s="328" t="str">
        <f>Raw!AQ75</f>
        <v>smelt bellows</v>
      </c>
      <c r="C75" s="328" t="str">
        <f>Display_All!AC75</f>
        <v>400 (A) (E)</v>
      </c>
      <c r="D75" s="338">
        <f>Display_All!AP75</f>
        <v>9.722222222</v>
      </c>
      <c r="E75" s="351" t="str">
        <f>Display_All!AX75</f>
        <v>na</v>
      </c>
      <c r="F75" s="352">
        <f>Display_All!AH75</f>
        <v>0.5482634678</v>
      </c>
      <c r="G75" s="326"/>
      <c r="H75" s="326"/>
      <c r="I75" s="326"/>
      <c r="J75" s="326"/>
      <c r="K75" s="326"/>
      <c r="L75" s="326"/>
      <c r="M75" s="326"/>
      <c r="N75" s="326"/>
      <c r="O75" s="326"/>
      <c r="P75" s="326"/>
      <c r="Q75" s="326"/>
      <c r="R75" s="326"/>
      <c r="S75" s="326"/>
      <c r="T75" s="326"/>
      <c r="U75" s="326"/>
      <c r="V75" s="326"/>
      <c r="W75" s="326"/>
      <c r="X75" s="326"/>
      <c r="Y75" s="326"/>
      <c r="Z75" s="326"/>
      <c r="AA75" s="326"/>
      <c r="AB75" s="326"/>
      <c r="AC75" s="326"/>
      <c r="AD75" s="326"/>
    </row>
    <row r="76">
      <c r="A76" s="327">
        <f>Raw!A86</f>
        <v>82</v>
      </c>
      <c r="B76" s="328" t="str">
        <f>Raw!AQ86</f>
        <v>electric blower</v>
      </c>
      <c r="C76" s="328" t="str">
        <f>Display_All!AC86</f>
        <v>900</v>
      </c>
      <c r="D76" s="338">
        <f>Display_All!AP86</f>
        <v>7.945478723</v>
      </c>
      <c r="E76" s="351">
        <f>Display_All!AX86</f>
        <v>0.466769741</v>
      </c>
      <c r="F76" s="352">
        <f>Display_All!AH86</f>
        <v>0.5726600436</v>
      </c>
      <c r="G76" s="326"/>
      <c r="H76" s="326"/>
      <c r="I76" s="326"/>
      <c r="J76" s="326"/>
      <c r="K76" s="326"/>
      <c r="L76" s="326"/>
      <c r="M76" s="326"/>
      <c r="N76" s="326"/>
      <c r="O76" s="326"/>
      <c r="P76" s="326"/>
      <c r="Q76" s="326"/>
      <c r="R76" s="326"/>
      <c r="S76" s="326"/>
      <c r="T76" s="326"/>
      <c r="U76" s="326"/>
      <c r="V76" s="326"/>
      <c r="W76" s="326"/>
      <c r="X76" s="326"/>
      <c r="Y76" s="326"/>
      <c r="Z76" s="326"/>
      <c r="AA76" s="326"/>
      <c r="AB76" s="326"/>
      <c r="AC76" s="326"/>
      <c r="AD76" s="326"/>
    </row>
    <row r="77">
      <c r="A77" s="327">
        <f>Raw!A61</f>
        <v>58</v>
      </c>
      <c r="B77" s="328" t="str">
        <f>Raw!AQ61</f>
        <v>leaf blower 1</v>
      </c>
      <c r="C77" s="328" t="str">
        <f>Display_All!AC61</f>
        <v>?</v>
      </c>
      <c r="D77" s="338">
        <f>Display_All!AP61</f>
        <v>8.05</v>
      </c>
      <c r="E77" s="351">
        <f>Display_All!AX61</f>
        <v>0.1961712195</v>
      </c>
      <c r="F77" s="352">
        <f>Display_All!AH61</f>
        <v>0.584357617</v>
      </c>
      <c r="G77" s="326"/>
      <c r="H77" s="326"/>
      <c r="I77" s="326"/>
      <c r="J77" s="326"/>
      <c r="K77" s="326"/>
      <c r="L77" s="326"/>
      <c r="M77" s="326"/>
      <c r="N77" s="326"/>
      <c r="O77" s="326"/>
      <c r="P77" s="326"/>
      <c r="Q77" s="326"/>
      <c r="R77" s="326"/>
      <c r="S77" s="326"/>
      <c r="T77" s="326"/>
      <c r="U77" s="326"/>
      <c r="V77" s="326"/>
      <c r="W77" s="326"/>
      <c r="X77" s="326"/>
      <c r="Y77" s="326"/>
      <c r="Z77" s="326"/>
      <c r="AA77" s="326"/>
      <c r="AB77" s="326"/>
      <c r="AC77" s="326"/>
      <c r="AD77" s="326"/>
    </row>
    <row r="78">
      <c r="A78" s="327" t="str">
        <f>Raw!A45</f>
        <v>44 / D22</v>
      </c>
      <c r="B78" s="328" t="str">
        <f>Raw!AQ45</f>
        <v>smelt bellows</v>
      </c>
      <c r="C78" s="328" t="str">
        <f>Display_All!AC45</f>
        <v>700 (E)</v>
      </c>
      <c r="D78" s="338">
        <f>Display_All!AP45</f>
        <v>8.12244898</v>
      </c>
      <c r="E78" s="351">
        <f>Display_All!AX45</f>
        <v>0.2447539779</v>
      </c>
      <c r="F78" s="352">
        <f>Display_All!AH45</f>
        <v>0.5720029607</v>
      </c>
      <c r="G78" s="326"/>
      <c r="H78" s="326"/>
      <c r="I78" s="326"/>
      <c r="J78" s="326"/>
      <c r="K78" s="326"/>
      <c r="L78" s="326"/>
      <c r="M78" s="326"/>
      <c r="N78" s="326"/>
      <c r="O78" s="326"/>
      <c r="P78" s="326"/>
      <c r="Q78" s="326"/>
      <c r="R78" s="326"/>
      <c r="S78" s="326"/>
      <c r="T78" s="326"/>
      <c r="U78" s="326"/>
      <c r="V78" s="326"/>
      <c r="W78" s="326"/>
      <c r="X78" s="326"/>
      <c r="Y78" s="326"/>
      <c r="Z78" s="326"/>
      <c r="AA78" s="326"/>
      <c r="AB78" s="326"/>
      <c r="AC78" s="326"/>
      <c r="AD78" s="326"/>
    </row>
    <row r="79">
      <c r="A79" s="327">
        <f>Raw!A90</f>
        <v>86</v>
      </c>
      <c r="B79" s="328" t="str">
        <f>Raw!AQ90</f>
        <v>electric blower</v>
      </c>
      <c r="C79" s="328" t="str">
        <f>Display_All!AC90</f>
        <v>1200</v>
      </c>
      <c r="D79" s="338">
        <f>Display_All!AP90</f>
        <v>8.259259259</v>
      </c>
      <c r="E79" s="351">
        <f>Display_All!AX90</f>
        <v>0.338595822</v>
      </c>
      <c r="F79" s="352">
        <f>Display_All!AH90</f>
        <v>0.569949313</v>
      </c>
      <c r="G79" s="326"/>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row>
    <row r="80">
      <c r="A80" s="327" t="str">
        <f>Raw!A54</f>
        <v>51 / D27</v>
      </c>
      <c r="B80" s="328" t="str">
        <f>Raw!AQ54</f>
        <v>electric blower</v>
      </c>
      <c r="C80" s="328" t="str">
        <f>Display_All!AC54</f>
        <v>800</v>
      </c>
      <c r="D80" s="338">
        <f>Display_All!AP54</f>
        <v>8.296296296</v>
      </c>
      <c r="E80" s="351">
        <f>Display_All!AX54</f>
        <v>0.3482170441</v>
      </c>
      <c r="F80" s="352">
        <f>Display_All!AH54</f>
        <v>0.5237823369</v>
      </c>
      <c r="G80" s="326"/>
      <c r="H80" s="326"/>
      <c r="I80" s="326"/>
      <c r="J80" s="326"/>
      <c r="K80" s="326"/>
      <c r="L80" s="326"/>
      <c r="M80" s="326"/>
      <c r="N80" s="326"/>
      <c r="O80" s="326"/>
      <c r="P80" s="326"/>
      <c r="Q80" s="326"/>
      <c r="R80" s="326"/>
      <c r="S80" s="326"/>
      <c r="T80" s="326"/>
      <c r="U80" s="326"/>
      <c r="V80" s="326"/>
      <c r="W80" s="326"/>
      <c r="X80" s="326"/>
      <c r="Y80" s="326"/>
      <c r="Z80" s="326"/>
      <c r="AA80" s="326"/>
      <c r="AB80" s="326"/>
      <c r="AC80" s="326"/>
      <c r="AD80" s="326"/>
    </row>
    <row r="81">
      <c r="A81" s="327">
        <f>Raw!A78</f>
        <v>74</v>
      </c>
      <c r="B81" s="328" t="str">
        <f>Raw!AQ78</f>
        <v>smelt bellows</v>
      </c>
      <c r="C81" s="328" t="str">
        <f>Display_All!AC78</f>
        <v>500</v>
      </c>
      <c r="D81" s="338">
        <f>Display_All!AP78</f>
        <v>8.5</v>
      </c>
      <c r="E81" s="351">
        <f>Display_All!AX78</f>
        <v>0.3647881206</v>
      </c>
      <c r="F81" s="352">
        <f>Display_All!AH78</f>
        <v>0.5482634678</v>
      </c>
      <c r="G81" s="326"/>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row>
    <row r="82">
      <c r="A82" s="327" t="str">
        <f>Raw!A92</f>
        <v>88 / D33</v>
      </c>
      <c r="B82" s="328" t="str">
        <f>Raw!AQ92</f>
        <v>electric blower</v>
      </c>
      <c r="C82" s="328" t="str">
        <f>Display_All!AC92</f>
        <v>700 to 800</v>
      </c>
      <c r="D82" s="338">
        <f>Display_All!AP92</f>
        <v>8.611111111</v>
      </c>
      <c r="E82" s="351">
        <f>Display_All!AX92</f>
        <v>0.6365910339</v>
      </c>
      <c r="F82" s="352">
        <f>Display_All!AH92</f>
        <v>0.5482634678</v>
      </c>
      <c r="G82" s="326"/>
      <c r="H82" s="326"/>
      <c r="I82" s="326"/>
      <c r="J82" s="326"/>
      <c r="K82" s="326"/>
      <c r="L82" s="326"/>
      <c r="M82" s="326"/>
      <c r="N82" s="326"/>
      <c r="O82" s="326"/>
      <c r="P82" s="326"/>
      <c r="Q82" s="326"/>
      <c r="R82" s="326"/>
      <c r="S82" s="326"/>
      <c r="T82" s="326"/>
      <c r="U82" s="326"/>
      <c r="V82" s="326"/>
      <c r="W82" s="326"/>
      <c r="X82" s="326"/>
      <c r="Y82" s="326"/>
      <c r="Z82" s="326"/>
      <c r="AA82" s="326"/>
      <c r="AB82" s="326"/>
      <c r="AC82" s="326"/>
      <c r="AD82" s="326"/>
    </row>
    <row r="83">
      <c r="A83" s="327">
        <f>Raw!A53</f>
        <v>50</v>
      </c>
      <c r="B83" s="328" t="str">
        <f>Raw!AQ53</f>
        <v>electric blower</v>
      </c>
      <c r="C83" s="328" t="str">
        <f>Display_All!AC53</f>
        <v>800</v>
      </c>
      <c r="D83" s="338">
        <f>Display_All!AP53</f>
        <v>8.728046833</v>
      </c>
      <c r="E83" s="351">
        <f>Display_All!AX53</f>
        <v>0.5469822695</v>
      </c>
      <c r="F83" s="352">
        <f>Display_All!AH53</f>
        <v>0.5109834022</v>
      </c>
      <c r="G83" s="326"/>
      <c r="H83" s="326"/>
      <c r="I83" s="326"/>
      <c r="J83" s="326"/>
      <c r="K83" s="326"/>
      <c r="L83" s="326"/>
      <c r="M83" s="326"/>
      <c r="N83" s="326"/>
      <c r="O83" s="326"/>
      <c r="P83" s="326"/>
      <c r="Q83" s="326"/>
      <c r="R83" s="326"/>
      <c r="S83" s="326"/>
      <c r="T83" s="326"/>
      <c r="U83" s="326"/>
      <c r="V83" s="326"/>
      <c r="W83" s="326"/>
      <c r="X83" s="326"/>
      <c r="Y83" s="326"/>
      <c r="Z83" s="326"/>
      <c r="AA83" s="326"/>
      <c r="AB83" s="326"/>
      <c r="AC83" s="326"/>
      <c r="AD83" s="326"/>
    </row>
    <row r="84" hidden="1">
      <c r="A84" s="327">
        <f>Raw!A84</f>
        <v>80</v>
      </c>
      <c r="B84" s="328" t="str">
        <f>Raw!AQ84</f>
        <v>passive</v>
      </c>
      <c r="C84" s="328" t="str">
        <f>Display_All!AC84</f>
        <v>NR</v>
      </c>
      <c r="D84" s="338">
        <f>Display_All!AP84</f>
        <v>9.747474747</v>
      </c>
      <c r="E84" s="351" t="str">
        <f>Display_All!AX84</f>
        <v>na</v>
      </c>
      <c r="F84" s="352">
        <f>Display_All!AH84</f>
        <v>0.4869245253</v>
      </c>
      <c r="G84" s="326"/>
      <c r="H84" s="326"/>
      <c r="I84" s="326"/>
      <c r="J84" s="326"/>
      <c r="K84" s="326"/>
      <c r="L84" s="326"/>
      <c r="M84" s="326"/>
      <c r="N84" s="326"/>
      <c r="O84" s="326"/>
      <c r="P84" s="326"/>
      <c r="Q84" s="326"/>
      <c r="R84" s="326"/>
      <c r="S84" s="326"/>
      <c r="T84" s="326"/>
      <c r="U84" s="326"/>
      <c r="V84" s="326"/>
      <c r="W84" s="326"/>
      <c r="X84" s="326"/>
      <c r="Y84" s="326"/>
      <c r="Z84" s="326"/>
      <c r="AA84" s="326"/>
      <c r="AB84" s="326"/>
      <c r="AC84" s="326"/>
      <c r="AD84" s="326"/>
    </row>
    <row r="85" hidden="1">
      <c r="A85" s="327">
        <f>Raw!A85</f>
        <v>81</v>
      </c>
      <c r="B85" s="328" t="str">
        <f>Raw!AQ85</f>
        <v>electric blower</v>
      </c>
      <c r="C85" s="328" t="str">
        <f>Display_All!AC85</f>
        <v>800 to 900</v>
      </c>
      <c r="D85" s="338">
        <f>Display_All!AP85</f>
        <v>6.626984127</v>
      </c>
      <c r="E85" s="351" t="str">
        <f>Display_All!AX85</f>
        <v>?</v>
      </c>
      <c r="F85" s="352" t="str">
        <f>Display_All!AH85</f>
        <v>na</v>
      </c>
      <c r="G85" s="326"/>
      <c r="H85" s="326"/>
      <c r="I85" s="326"/>
      <c r="J85" s="326"/>
      <c r="K85" s="326"/>
      <c r="L85" s="326"/>
      <c r="M85" s="326"/>
      <c r="N85" s="326"/>
      <c r="O85" s="326"/>
      <c r="P85" s="326"/>
      <c r="Q85" s="326"/>
      <c r="R85" s="326"/>
      <c r="S85" s="326"/>
      <c r="T85" s="326"/>
      <c r="U85" s="326"/>
      <c r="V85" s="326"/>
      <c r="W85" s="326"/>
      <c r="X85" s="326"/>
      <c r="Y85" s="326"/>
      <c r="Z85" s="326"/>
      <c r="AA85" s="326"/>
      <c r="AB85" s="326"/>
      <c r="AC85" s="326"/>
      <c r="AD85" s="326"/>
    </row>
    <row r="86">
      <c r="A86" s="327" t="str">
        <f>Raw!A43</f>
        <v>42 / D20</v>
      </c>
      <c r="B86" s="328" t="str">
        <f>Raw!AQ43</f>
        <v>smelt bellows</v>
      </c>
      <c r="C86" s="328" t="str">
        <f>Display_All!AC43</f>
        <v>700 (E)</v>
      </c>
      <c r="D86" s="338">
        <f>Display_All!AP43</f>
        <v>8.863636364</v>
      </c>
      <c r="E86" s="351">
        <f>Display_All!AX43</f>
        <v>0.2816613238</v>
      </c>
      <c r="F86" s="352">
        <f>Display_All!AH43</f>
        <v>0.5720029607</v>
      </c>
      <c r="G86" s="326"/>
      <c r="H86" s="326"/>
      <c r="I86" s="326"/>
      <c r="J86" s="326"/>
      <c r="K86" s="326"/>
      <c r="L86" s="326"/>
      <c r="M86" s="326"/>
      <c r="N86" s="326"/>
      <c r="O86" s="326"/>
      <c r="P86" s="326"/>
      <c r="Q86" s="326"/>
      <c r="R86" s="326"/>
      <c r="S86" s="326"/>
      <c r="T86" s="326"/>
      <c r="U86" s="326"/>
      <c r="V86" s="326"/>
      <c r="W86" s="326"/>
      <c r="X86" s="326"/>
      <c r="Y86" s="326"/>
      <c r="Z86" s="326"/>
      <c r="AA86" s="326"/>
      <c r="AB86" s="326"/>
      <c r="AC86" s="326"/>
      <c r="AD86" s="326"/>
    </row>
    <row r="87">
      <c r="A87" s="327">
        <f>Raw!A48</f>
        <v>47</v>
      </c>
      <c r="B87" s="328" t="str">
        <f>Raw!AQ48</f>
        <v>electric blower</v>
      </c>
      <c r="C87" s="328" t="str">
        <f>Display_All!AC48</f>
        <v>850</v>
      </c>
      <c r="D87" s="338">
        <f>Display_All!AP48</f>
        <v>9.365079365</v>
      </c>
      <c r="E87" s="351">
        <f>Display_All!AX48</f>
        <v>0.1301460964</v>
      </c>
      <c r="F87" s="352">
        <f>Display_All!AH48</f>
        <v>0.5828993038</v>
      </c>
      <c r="G87" s="326"/>
      <c r="H87" s="326"/>
      <c r="I87" s="326"/>
      <c r="J87" s="326"/>
      <c r="K87" s="326"/>
      <c r="L87" s="326"/>
      <c r="M87" s="326"/>
      <c r="N87" s="326"/>
      <c r="O87" s="326"/>
      <c r="P87" s="326"/>
      <c r="Q87" s="326"/>
      <c r="R87" s="326"/>
      <c r="S87" s="326"/>
      <c r="T87" s="326"/>
      <c r="U87" s="326"/>
      <c r="V87" s="326"/>
      <c r="W87" s="326"/>
      <c r="X87" s="326"/>
      <c r="Y87" s="326"/>
      <c r="Z87" s="326"/>
      <c r="AA87" s="326"/>
      <c r="AB87" s="326"/>
      <c r="AC87" s="326"/>
      <c r="AD87" s="326"/>
    </row>
    <row r="88">
      <c r="A88" s="327" t="str">
        <f>Raw!A19</f>
        <v>18 / D9</v>
      </c>
      <c r="B88" s="328" t="str">
        <f>Raw!AQ19</f>
        <v>Ubber Bellows</v>
      </c>
      <c r="C88" s="328" t="str">
        <f>Display_All!AC19</f>
        <v>600 (E)</v>
      </c>
      <c r="D88" s="338">
        <f>Display_All!AP19</f>
        <v>9.498823529</v>
      </c>
      <c r="E88" s="351">
        <f>Display_All!AX19</f>
        <v>0.2463054187</v>
      </c>
      <c r="F88" s="352">
        <f>Display_All!AH19</f>
        <v>0.58</v>
      </c>
      <c r="G88" s="326"/>
      <c r="H88" s="326"/>
      <c r="I88" s="326"/>
      <c r="J88" s="326"/>
      <c r="K88" s="326"/>
      <c r="L88" s="326"/>
      <c r="M88" s="326"/>
      <c r="N88" s="326"/>
      <c r="O88" s="326"/>
      <c r="P88" s="326"/>
      <c r="Q88" s="326"/>
      <c r="R88" s="326"/>
      <c r="S88" s="326"/>
      <c r="T88" s="326"/>
      <c r="U88" s="326"/>
      <c r="V88" s="326"/>
      <c r="W88" s="326"/>
      <c r="X88" s="326"/>
      <c r="Y88" s="326"/>
      <c r="Z88" s="326"/>
      <c r="AA88" s="326"/>
      <c r="AB88" s="326"/>
      <c r="AC88" s="326"/>
      <c r="AD88" s="326"/>
    </row>
    <row r="89">
      <c r="A89" s="327" t="str">
        <f>Raw!A12</f>
        <v>11 / D6</v>
      </c>
      <c r="B89" s="328" t="str">
        <f>Raw!AQ12</f>
        <v>Ubber Bellows</v>
      </c>
      <c r="C89" s="328" t="str">
        <f>Display_All!AC12</f>
        <v>600 (E)</v>
      </c>
      <c r="D89" s="338">
        <f>Display_All!AP12</f>
        <v>10.52857143</v>
      </c>
      <c r="E89" s="351">
        <f>Display_All!AX12</f>
        <v>0.3226599025</v>
      </c>
      <c r="F89" s="352">
        <f>Display_All!AH12</f>
        <v>0.5359585417</v>
      </c>
      <c r="G89" s="326"/>
      <c r="H89" s="326"/>
      <c r="I89" s="326"/>
      <c r="J89" s="326"/>
      <c r="K89" s="326"/>
      <c r="L89" s="326"/>
      <c r="M89" s="326"/>
      <c r="N89" s="326"/>
      <c r="O89" s="326"/>
      <c r="P89" s="326"/>
      <c r="Q89" s="326"/>
      <c r="R89" s="326"/>
      <c r="S89" s="326"/>
      <c r="T89" s="326"/>
      <c r="U89" s="326"/>
      <c r="V89" s="326"/>
      <c r="W89" s="326"/>
      <c r="X89" s="326"/>
      <c r="Y89" s="326"/>
      <c r="Z89" s="326"/>
      <c r="AA89" s="326"/>
      <c r="AB89" s="326"/>
      <c r="AC89" s="326"/>
      <c r="AD89" s="326"/>
    </row>
    <row r="90">
      <c r="A90" s="327">
        <f>Raw!A96</f>
        <v>92</v>
      </c>
      <c r="B90" s="328" t="str">
        <f>Raw!AQ96</f>
        <v>electric blower</v>
      </c>
      <c r="C90" s="328" t="str">
        <f>Display_All!AC96</f>
        <v>405 to 480</v>
      </c>
      <c r="D90" s="338">
        <f>Display_All!AP96</f>
        <v>11.18357488</v>
      </c>
      <c r="E90" s="351">
        <f>Display_All!AX96</f>
        <v>0.3486877575</v>
      </c>
      <c r="F90" s="352">
        <f>Display_All!AH96</f>
        <v>0.5411123311</v>
      </c>
      <c r="G90" s="326"/>
      <c r="H90" s="326"/>
      <c r="I90" s="326"/>
      <c r="J90" s="326"/>
      <c r="K90" s="326"/>
      <c r="L90" s="326"/>
      <c r="M90" s="326"/>
      <c r="N90" s="326"/>
      <c r="O90" s="326"/>
      <c r="P90" s="326"/>
      <c r="Q90" s="326"/>
      <c r="R90" s="326"/>
      <c r="S90" s="326"/>
      <c r="T90" s="326"/>
      <c r="U90" s="326"/>
      <c r="V90" s="326"/>
      <c r="W90" s="326"/>
      <c r="X90" s="326"/>
      <c r="Y90" s="326"/>
      <c r="Z90" s="326"/>
      <c r="AA90" s="326"/>
      <c r="AB90" s="326"/>
      <c r="AC90" s="326"/>
      <c r="AD90" s="326"/>
    </row>
    <row r="91" hidden="1">
      <c r="A91" s="327" t="str">
        <f>Raw!A91</f>
        <v>87 / D32</v>
      </c>
      <c r="B91" s="328" t="str">
        <f>Raw!AQ91</f>
        <v>electric blower</v>
      </c>
      <c r="C91" s="328" t="str">
        <f>Display_All!AC91</f>
        <v>900</v>
      </c>
      <c r="D91" s="338">
        <f>Display_All!AP91</f>
        <v>6.835222319</v>
      </c>
      <c r="E91" s="351" t="str">
        <f>Display_All!AX91</f>
        <v>?</v>
      </c>
      <c r="F91" s="352" t="str">
        <f>Display_All!AH91</f>
        <v>?</v>
      </c>
      <c r="G91" s="326"/>
      <c r="H91" s="326"/>
      <c r="I91" s="326"/>
      <c r="J91" s="326"/>
      <c r="K91" s="326"/>
      <c r="L91" s="326"/>
      <c r="M91" s="326"/>
      <c r="N91" s="326"/>
      <c r="O91" s="326"/>
      <c r="P91" s="326"/>
      <c r="Q91" s="326"/>
      <c r="R91" s="326"/>
      <c r="S91" s="326"/>
      <c r="T91" s="326"/>
      <c r="U91" s="326"/>
      <c r="V91" s="326"/>
      <c r="W91" s="326"/>
      <c r="X91" s="326"/>
      <c r="Y91" s="326"/>
      <c r="Z91" s="326"/>
      <c r="AA91" s="326"/>
      <c r="AB91" s="326"/>
      <c r="AC91" s="326"/>
      <c r="AD91" s="326"/>
    </row>
    <row r="92">
      <c r="A92" s="327">
        <f>Raw!A77</f>
        <v>73</v>
      </c>
      <c r="B92" s="328" t="str">
        <f>Raw!AQ77</f>
        <v>smelt bellows</v>
      </c>
      <c r="C92" s="328" t="str">
        <f>Display_All!AC77</f>
        <v>480 (A)</v>
      </c>
      <c r="D92" s="338">
        <f>Display_All!AP77</f>
        <v>12.2324159</v>
      </c>
      <c r="E92" s="351">
        <f>Display_All!AX77</f>
        <v>0.3242267403</v>
      </c>
      <c r="F92" s="352">
        <f>Display_All!AH77</f>
        <v>0.561817121</v>
      </c>
      <c r="G92" s="326"/>
      <c r="H92" s="326"/>
      <c r="I92" s="326"/>
      <c r="J92" s="326"/>
      <c r="K92" s="326"/>
      <c r="L92" s="326"/>
      <c r="M92" s="326"/>
      <c r="N92" s="326"/>
      <c r="O92" s="326"/>
      <c r="P92" s="326"/>
      <c r="Q92" s="326"/>
      <c r="R92" s="326"/>
      <c r="S92" s="326"/>
      <c r="T92" s="326"/>
      <c r="U92" s="326"/>
      <c r="V92" s="326"/>
      <c r="W92" s="326"/>
      <c r="X92" s="326"/>
      <c r="Y92" s="326"/>
      <c r="Z92" s="326"/>
      <c r="AA92" s="326"/>
      <c r="AB92" s="326"/>
      <c r="AC92" s="326"/>
      <c r="AD92" s="326"/>
    </row>
    <row r="93">
      <c r="A93" s="327" t="str">
        <f>Raw!A95</f>
        <v>91 / D36</v>
      </c>
      <c r="B93" s="328" t="str">
        <f>Raw!AQ95</f>
        <v>electric blower</v>
      </c>
      <c r="C93" s="328" t="str">
        <f>Display_All!AC95</f>
        <v>425</v>
      </c>
      <c r="D93" s="338">
        <f>Display_All!AP95</f>
        <v>13.14814815</v>
      </c>
      <c r="E93" s="351">
        <f>Display_All!AX95</f>
        <v>0.4881628605</v>
      </c>
      <c r="F93" s="352">
        <f>Display_All!AH95</f>
        <v>0.5411123311</v>
      </c>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row>
    <row r="94">
      <c r="A94" s="327" t="str">
        <f>Raw!A28</f>
        <v>27 / D13</v>
      </c>
      <c r="B94" s="328" t="str">
        <f>Raw!AQ28</f>
        <v>vacuum blower</v>
      </c>
      <c r="C94" s="328" t="str">
        <f>Display_All!AC28</f>
        <v>410</v>
      </c>
      <c r="D94" s="338">
        <f>Display_All!AP28</f>
        <v>13.16056911</v>
      </c>
      <c r="E94" s="351">
        <f>Display_All!AX28</f>
        <v>0.2528417421</v>
      </c>
      <c r="F94" s="352">
        <f>Display_All!AH28</f>
        <v>0.6430964471</v>
      </c>
      <c r="G94" s="326"/>
      <c r="H94" s="326"/>
      <c r="I94" s="326"/>
      <c r="J94" s="326"/>
      <c r="K94" s="326"/>
      <c r="L94" s="326"/>
      <c r="M94" s="326"/>
      <c r="N94" s="326"/>
      <c r="O94" s="326"/>
      <c r="P94" s="326"/>
      <c r="Q94" s="326"/>
      <c r="R94" s="326"/>
      <c r="S94" s="326"/>
      <c r="T94" s="326"/>
      <c r="U94" s="326"/>
      <c r="V94" s="326"/>
      <c r="W94" s="326"/>
      <c r="X94" s="326"/>
      <c r="Y94" s="326"/>
      <c r="Z94" s="326"/>
      <c r="AA94" s="326"/>
      <c r="AB94" s="326"/>
      <c r="AC94" s="326"/>
      <c r="AD94" s="326"/>
    </row>
    <row r="95">
      <c r="A95" s="327">
        <f>Raw!A2</f>
        <v>1</v>
      </c>
      <c r="B95" s="328" t="str">
        <f>Raw!AQ2</f>
        <v>Norse twin smith's</v>
      </c>
      <c r="C95" s="328" t="str">
        <f>Display_All!AC2</f>
        <v>120 (E)</v>
      </c>
      <c r="D95" s="338">
        <f>Display_All!AP2</f>
        <v>13.55555556</v>
      </c>
      <c r="E95" s="351">
        <f>Display_All!AX2</f>
        <v>0.1056246008</v>
      </c>
      <c r="F95" s="352">
        <f>Display_All!AH2</f>
        <v>0.6311660934</v>
      </c>
      <c r="G95" s="326"/>
      <c r="H95" s="326"/>
      <c r="I95" s="326"/>
      <c r="J95" s="326"/>
      <c r="K95" s="326"/>
      <c r="L95" s="326"/>
      <c r="M95" s="326"/>
      <c r="N95" s="326"/>
      <c r="O95" s="326"/>
      <c r="P95" s="326"/>
      <c r="Q95" s="326"/>
      <c r="R95" s="326"/>
      <c r="S95" s="326"/>
      <c r="T95" s="326"/>
      <c r="U95" s="326"/>
      <c r="V95" s="326"/>
      <c r="W95" s="326"/>
      <c r="X95" s="326"/>
      <c r="Y95" s="326"/>
      <c r="Z95" s="326"/>
      <c r="AA95" s="326"/>
      <c r="AB95" s="326"/>
      <c r="AC95" s="326"/>
      <c r="AD95" s="326"/>
    </row>
    <row r="96">
      <c r="A96" s="327" t="str">
        <f>Raw!A98</f>
        <v>94 / D37</v>
      </c>
      <c r="B96" s="328" t="str">
        <f>Raw!AQ98</f>
        <v>blower / sliding gate</v>
      </c>
      <c r="C96" s="328" t="str">
        <f>Display_All!AC98</f>
        <v>instrument fail</v>
      </c>
      <c r="D96" s="338">
        <f>Display_All!AP98</f>
        <v>17.88288288</v>
      </c>
      <c r="E96" s="351">
        <f>Display_All!AX98</f>
        <v>0.315072711</v>
      </c>
      <c r="F96" s="352">
        <f>Display_All!AH98</f>
        <v>0.5482634678</v>
      </c>
      <c r="G96" s="326"/>
      <c r="H96" s="326"/>
      <c r="I96" s="326"/>
      <c r="J96" s="326"/>
      <c r="K96" s="326"/>
      <c r="L96" s="326"/>
      <c r="M96" s="326"/>
      <c r="N96" s="326"/>
      <c r="O96" s="326"/>
      <c r="P96" s="326"/>
      <c r="Q96" s="326"/>
      <c r="R96" s="326"/>
      <c r="S96" s="326"/>
      <c r="T96" s="326"/>
      <c r="U96" s="326"/>
      <c r="V96" s="326"/>
      <c r="W96" s="326"/>
      <c r="X96" s="326"/>
      <c r="Y96" s="326"/>
      <c r="Z96" s="326"/>
      <c r="AA96" s="326"/>
      <c r="AB96" s="326"/>
      <c r="AC96" s="326"/>
      <c r="AD96" s="326"/>
    </row>
    <row r="97">
      <c r="A97" s="327" t="str">
        <f>Raw!A7</f>
        <v>6 / D4</v>
      </c>
      <c r="B97" s="328" t="str">
        <f>Raw!AQ7</f>
        <v>vacuum blower</v>
      </c>
      <c r="C97" s="328" t="str">
        <f>Display_All!AC7</f>
        <v>550</v>
      </c>
      <c r="D97" s="338">
        <f>Display_All!AP7</f>
        <v>19.11013942</v>
      </c>
      <c r="E97" s="351">
        <f>Display_All!AX7</f>
        <v>0.4310344828</v>
      </c>
      <c r="F97" s="352">
        <f>Display_All!AH7</f>
        <v>0.58</v>
      </c>
      <c r="G97" s="326"/>
      <c r="H97" s="326"/>
      <c r="I97" s="326"/>
      <c r="J97" s="326"/>
      <c r="K97" s="326"/>
      <c r="L97" s="326"/>
      <c r="M97" s="326"/>
      <c r="N97" s="326"/>
      <c r="O97" s="326"/>
      <c r="P97" s="326"/>
      <c r="Q97" s="326"/>
      <c r="R97" s="326"/>
      <c r="S97" s="326"/>
      <c r="T97" s="326"/>
      <c r="U97" s="326"/>
      <c r="V97" s="326"/>
      <c r="W97" s="326"/>
      <c r="X97" s="326"/>
      <c r="Y97" s="326"/>
      <c r="Z97" s="326"/>
      <c r="AA97" s="326"/>
      <c r="AB97" s="326"/>
      <c r="AC97" s="326"/>
      <c r="AD97" s="326"/>
    </row>
    <row r="98">
      <c r="A98" s="327">
        <f>Raw!A67</f>
        <v>63</v>
      </c>
      <c r="B98" s="328" t="str">
        <f>Raw!AQ67</f>
        <v>multiple twin</v>
      </c>
      <c r="C98" s="328" t="str">
        <f>Display_All!AC67</f>
        <v>NR</v>
      </c>
      <c r="D98" s="338">
        <f>Display_All!AP67</f>
        <v>19.44444444</v>
      </c>
      <c r="E98" s="351">
        <f>Display_All!AX67</f>
        <v>0.4663758511</v>
      </c>
      <c r="F98" s="352">
        <f>Display_All!AH67</f>
        <v>0.5333272807</v>
      </c>
      <c r="G98" s="326"/>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row>
    <row r="99" hidden="1">
      <c r="A99" s="327" t="str">
        <f>Raw!A99</f>
        <v>95 / D38</v>
      </c>
      <c r="B99" s="328" t="str">
        <f>Raw!AQ99</f>
        <v>blower / sliding gate</v>
      </c>
      <c r="C99" s="328" t="str">
        <f>Display_All!AC99</f>
        <v>525 (A) (E)</v>
      </c>
      <c r="D99" s="338">
        <f>Display_All!AP99</f>
        <v>11.9924812</v>
      </c>
      <c r="E99" s="351" t="str">
        <f>Display_All!AX99</f>
        <v>NR</v>
      </c>
      <c r="F99" s="352">
        <f>Display_All!AH99</f>
        <v>0.5482634678</v>
      </c>
      <c r="G99" s="326"/>
      <c r="H99" s="326"/>
      <c r="I99" s="326"/>
      <c r="J99" s="326"/>
      <c r="K99" s="326"/>
      <c r="L99" s="326"/>
      <c r="M99" s="326"/>
      <c r="N99" s="326"/>
      <c r="O99" s="326"/>
      <c r="P99" s="326"/>
      <c r="Q99" s="326"/>
      <c r="R99" s="326"/>
      <c r="S99" s="326"/>
      <c r="T99" s="326"/>
      <c r="U99" s="326"/>
      <c r="V99" s="326"/>
      <c r="W99" s="326"/>
      <c r="X99" s="326"/>
      <c r="Y99" s="326"/>
      <c r="Z99" s="326"/>
      <c r="AA99" s="326"/>
      <c r="AB99" s="326"/>
      <c r="AC99" s="326"/>
      <c r="AD99" s="326"/>
    </row>
    <row r="100">
      <c r="A100" s="327" t="str">
        <f>Raw!A100</f>
        <v>96 / D39</v>
      </c>
      <c r="B100" s="328" t="str">
        <f>Raw!AQ100</f>
        <v>blower / sliding gate</v>
      </c>
      <c r="C100" s="303">
        <f>Raw!AT100</f>
        <v>601.035</v>
      </c>
      <c r="D100" s="338">
        <f>Raw!CA100</f>
        <v>20.75</v>
      </c>
      <c r="E100" s="351">
        <f>Display_All!AX100</f>
        <v>0.4015101247</v>
      </c>
      <c r="F100" s="352">
        <f>Display_All!AH100</f>
        <v>0.5482634678</v>
      </c>
      <c r="G100" s="326"/>
      <c r="H100" s="326"/>
      <c r="I100" s="326"/>
      <c r="J100" s="326"/>
      <c r="K100" s="326"/>
      <c r="L100" s="326"/>
      <c r="M100" s="326"/>
      <c r="N100" s="326"/>
      <c r="O100" s="326"/>
      <c r="P100" s="326"/>
      <c r="Q100" s="326"/>
      <c r="R100" s="326"/>
      <c r="S100" s="326"/>
      <c r="T100" s="326"/>
      <c r="U100" s="326"/>
      <c r="V100" s="326"/>
      <c r="W100" s="326"/>
      <c r="X100" s="326"/>
      <c r="Y100" s="326"/>
      <c r="Z100" s="326"/>
      <c r="AA100" s="326"/>
      <c r="AB100" s="326"/>
      <c r="AC100" s="326"/>
      <c r="AD100" s="326"/>
    </row>
    <row r="101" hidden="1">
      <c r="A101" s="327">
        <f>Raw!A101</f>
        <v>97</v>
      </c>
      <c r="B101" s="328" t="str">
        <f>Raw!AQ101</f>
        <v>blower (bouncy castle)</v>
      </c>
      <c r="C101" s="328" t="str">
        <f>Raw!AT101</f>
        <v>NR</v>
      </c>
      <c r="D101" s="338">
        <f>Raw!CA101</f>
        <v>13.12964492</v>
      </c>
      <c r="E101" s="351" t="str">
        <f>Display_All!AX101</f>
        <v>?</v>
      </c>
      <c r="F101" s="352" t="str">
        <f>Display_All!AH101</f>
        <v>?</v>
      </c>
      <c r="G101" s="326"/>
      <c r="H101" s="326"/>
      <c r="I101" s="326"/>
      <c r="J101" s="326"/>
      <c r="K101" s="326"/>
      <c r="L101" s="326"/>
      <c r="M101" s="326"/>
      <c r="N101" s="326"/>
      <c r="O101" s="326"/>
      <c r="P101" s="326"/>
      <c r="Q101" s="326"/>
      <c r="R101" s="326"/>
      <c r="S101" s="326"/>
      <c r="T101" s="326"/>
      <c r="U101" s="326"/>
      <c r="V101" s="326"/>
      <c r="W101" s="326"/>
      <c r="X101" s="326"/>
      <c r="Y101" s="326"/>
      <c r="Z101" s="326"/>
      <c r="AA101" s="326"/>
      <c r="AB101" s="326"/>
      <c r="AC101" s="326"/>
      <c r="AD101" s="326"/>
    </row>
    <row r="102">
      <c r="A102" s="327" t="str">
        <f>Raw!A44</f>
        <v>43 / D21</v>
      </c>
      <c r="B102" s="328" t="str">
        <f>Raw!AQ44</f>
        <v>smelt bellows</v>
      </c>
      <c r="C102" s="328" t="str">
        <f>Display_All!AC44</f>
        <v>700 (E)</v>
      </c>
      <c r="D102" s="338" t="str">
        <f>Display_All!AP44</f>
        <v>NR</v>
      </c>
      <c r="E102" s="351">
        <f>Display_All!AX44</f>
        <v>0.1380782443</v>
      </c>
      <c r="F102" s="352">
        <f>Display_All!AH44</f>
        <v>0.5793816429</v>
      </c>
      <c r="G102" s="326"/>
      <c r="H102" s="326"/>
      <c r="I102" s="326"/>
      <c r="J102" s="326"/>
      <c r="K102" s="326"/>
      <c r="L102" s="326"/>
      <c r="M102" s="326"/>
      <c r="N102" s="326"/>
      <c r="O102" s="326"/>
      <c r="P102" s="326"/>
      <c r="Q102" s="326"/>
      <c r="R102" s="326"/>
      <c r="S102" s="326"/>
      <c r="T102" s="326"/>
      <c r="U102" s="326"/>
      <c r="V102" s="326"/>
      <c r="W102" s="326"/>
      <c r="X102" s="326"/>
      <c r="Y102" s="326"/>
      <c r="Z102" s="326"/>
      <c r="AA102" s="326"/>
      <c r="AB102" s="326"/>
      <c r="AC102" s="326"/>
      <c r="AD102" s="326"/>
    </row>
    <row r="103" hidden="1">
      <c r="A103" s="327">
        <f>Raw!A103</f>
        <v>99</v>
      </c>
      <c r="B103" s="328" t="str">
        <f>Raw!AQ103</f>
        <v>electric blower</v>
      </c>
      <c r="C103" s="328">
        <f>Raw!AT103</f>
        <v>700</v>
      </c>
      <c r="D103" s="338">
        <f>Raw!CA103</f>
        <v>6.744186047</v>
      </c>
      <c r="E103" s="351" t="str">
        <f>Display_All!AX103</f>
        <v>?</v>
      </c>
      <c r="F103" s="352" t="str">
        <f>Display_All!AH103</f>
        <v>?</v>
      </c>
      <c r="G103" s="326"/>
      <c r="H103" s="326"/>
      <c r="I103" s="326"/>
      <c r="J103" s="326"/>
      <c r="K103" s="326"/>
      <c r="L103" s="326"/>
      <c r="M103" s="326"/>
      <c r="N103" s="326"/>
      <c r="O103" s="326"/>
      <c r="P103" s="326"/>
      <c r="Q103" s="326"/>
      <c r="R103" s="326"/>
      <c r="S103" s="326"/>
      <c r="T103" s="326"/>
      <c r="U103" s="326"/>
      <c r="V103" s="326"/>
      <c r="W103" s="326"/>
      <c r="X103" s="326"/>
      <c r="Y103" s="326"/>
      <c r="Z103" s="326"/>
      <c r="AA103" s="326"/>
      <c r="AB103" s="326"/>
      <c r="AC103" s="326"/>
      <c r="AD103" s="326"/>
    </row>
    <row r="104" hidden="1">
      <c r="A104" s="340">
        <f>Raw!A104</f>
        <v>100</v>
      </c>
      <c r="B104" s="341" t="str">
        <f>Raw!AQ104</f>
        <v/>
      </c>
      <c r="C104" s="341" t="str">
        <f>Raw!AT104</f>
        <v/>
      </c>
      <c r="D104" s="342" t="str">
        <f>Raw!CA104</f>
        <v/>
      </c>
      <c r="E104" s="355" t="str">
        <f>Display_All!AX104</f>
        <v>None</v>
      </c>
      <c r="F104" s="356" t="str">
        <f>Display_All!AH104</f>
        <v/>
      </c>
      <c r="G104" s="326"/>
      <c r="H104" s="326"/>
      <c r="I104" s="326"/>
      <c r="J104" s="326"/>
      <c r="K104" s="326"/>
      <c r="L104" s="326"/>
      <c r="M104" s="326"/>
      <c r="N104" s="326"/>
      <c r="O104" s="326"/>
      <c r="P104" s="326"/>
      <c r="Q104" s="326"/>
      <c r="R104" s="326"/>
      <c r="S104" s="326"/>
      <c r="T104" s="326"/>
      <c r="U104" s="326"/>
      <c r="V104" s="326"/>
      <c r="W104" s="326"/>
      <c r="X104" s="326"/>
      <c r="Y104" s="326"/>
      <c r="Z104" s="326"/>
      <c r="AA104" s="326"/>
      <c r="AB104" s="326"/>
      <c r="AC104" s="326"/>
      <c r="AD104" s="326"/>
    </row>
    <row r="105">
      <c r="A105" s="326"/>
      <c r="B105" s="326"/>
      <c r="C105" s="326"/>
      <c r="D105" s="326"/>
      <c r="E105" s="326"/>
      <c r="F105" s="326"/>
      <c r="G105" s="326"/>
      <c r="H105" s="326"/>
      <c r="I105" s="326"/>
      <c r="J105" s="326"/>
      <c r="K105" s="326"/>
      <c r="L105" s="326"/>
      <c r="M105" s="326"/>
      <c r="N105" s="326"/>
      <c r="O105" s="326"/>
      <c r="P105" s="326"/>
      <c r="Q105" s="326"/>
      <c r="R105" s="326"/>
      <c r="S105" s="326"/>
      <c r="T105" s="326"/>
      <c r="U105" s="326"/>
      <c r="V105" s="326"/>
      <c r="W105" s="326"/>
      <c r="X105" s="326"/>
      <c r="Y105" s="326"/>
      <c r="Z105" s="326"/>
      <c r="AA105" s="326"/>
      <c r="AB105" s="326"/>
      <c r="AC105" s="326"/>
      <c r="AD105" s="326"/>
    </row>
    <row r="106">
      <c r="A106" s="326"/>
      <c r="B106" s="326"/>
      <c r="C106" s="326"/>
      <c r="D106" s="326"/>
      <c r="E106" s="326"/>
      <c r="F106" s="326"/>
      <c r="G106" s="326"/>
      <c r="H106" s="326"/>
      <c r="I106" s="326"/>
      <c r="J106" s="326"/>
      <c r="K106" s="326"/>
      <c r="L106" s="326"/>
      <c r="M106" s="326"/>
      <c r="N106" s="326"/>
      <c r="O106" s="326"/>
      <c r="P106" s="326"/>
      <c r="Q106" s="326"/>
      <c r="R106" s="326"/>
      <c r="S106" s="326"/>
      <c r="T106" s="326"/>
      <c r="U106" s="326"/>
      <c r="V106" s="326"/>
      <c r="W106" s="326"/>
      <c r="X106" s="326"/>
      <c r="Y106" s="326"/>
      <c r="Z106" s="326"/>
      <c r="AA106" s="326"/>
      <c r="AB106" s="326"/>
      <c r="AC106" s="326"/>
      <c r="AD106" s="326"/>
    </row>
    <row r="107">
      <c r="A107" s="326"/>
      <c r="B107" s="326"/>
      <c r="C107" s="326"/>
      <c r="D107" s="326"/>
      <c r="E107" s="326"/>
      <c r="F107" s="326"/>
      <c r="G107" s="326"/>
      <c r="H107" s="326"/>
      <c r="I107" s="326"/>
      <c r="J107" s="326"/>
      <c r="K107" s="326"/>
      <c r="L107" s="326"/>
      <c r="M107" s="326"/>
      <c r="N107" s="326"/>
      <c r="O107" s="326"/>
      <c r="P107" s="326"/>
      <c r="Q107" s="326"/>
      <c r="R107" s="326"/>
      <c r="S107" s="326"/>
      <c r="T107" s="326"/>
      <c r="U107" s="326"/>
      <c r="V107" s="326"/>
      <c r="W107" s="326"/>
      <c r="X107" s="326"/>
      <c r="Y107" s="326"/>
      <c r="Z107" s="326"/>
      <c r="AA107" s="326"/>
      <c r="AB107" s="326"/>
      <c r="AC107" s="326"/>
      <c r="AD107" s="326"/>
    </row>
    <row r="108">
      <c r="A108" s="326"/>
      <c r="B108" s="326"/>
      <c r="C108" s="326"/>
      <c r="D108" s="326"/>
      <c r="E108" s="326"/>
      <c r="F108" s="326"/>
      <c r="G108" s="326"/>
      <c r="H108" s="326"/>
      <c r="I108" s="326"/>
      <c r="J108" s="326"/>
      <c r="K108" s="326"/>
      <c r="L108" s="326"/>
      <c r="M108" s="326"/>
      <c r="N108" s="326"/>
      <c r="O108" s="326"/>
      <c r="P108" s="326"/>
      <c r="Q108" s="326"/>
      <c r="R108" s="326"/>
      <c r="S108" s="326"/>
      <c r="T108" s="326"/>
      <c r="U108" s="326"/>
      <c r="V108" s="326"/>
      <c r="W108" s="326"/>
      <c r="X108" s="326"/>
      <c r="Y108" s="326"/>
      <c r="Z108" s="326"/>
      <c r="AA108" s="326"/>
      <c r="AB108" s="326"/>
      <c r="AC108" s="326"/>
      <c r="AD108" s="326"/>
    </row>
    <row r="109">
      <c r="A109" s="326"/>
      <c r="B109" s="326"/>
      <c r="C109" s="326"/>
      <c r="D109" s="326"/>
      <c r="E109" s="326"/>
      <c r="F109" s="326"/>
      <c r="G109" s="326"/>
      <c r="H109" s="326"/>
      <c r="I109" s="326"/>
      <c r="J109" s="326"/>
      <c r="K109" s="326"/>
      <c r="L109" s="326"/>
      <c r="M109" s="326"/>
      <c r="N109" s="326"/>
      <c r="O109" s="326"/>
      <c r="P109" s="326"/>
      <c r="Q109" s="326"/>
      <c r="R109" s="326"/>
      <c r="S109" s="326"/>
      <c r="T109" s="326"/>
      <c r="U109" s="326"/>
      <c r="V109" s="326"/>
      <c r="W109" s="326"/>
      <c r="X109" s="326"/>
      <c r="Y109" s="326"/>
      <c r="Z109" s="326"/>
      <c r="AA109" s="326"/>
      <c r="AB109" s="326"/>
      <c r="AC109" s="326"/>
      <c r="AD109" s="326"/>
    </row>
    <row r="110">
      <c r="A110" s="326"/>
      <c r="B110" s="326"/>
      <c r="C110" s="326"/>
      <c r="D110" s="326"/>
      <c r="E110" s="326"/>
      <c r="F110" s="326"/>
      <c r="G110" s="326"/>
      <c r="H110" s="326"/>
      <c r="I110" s="326"/>
      <c r="J110" s="326"/>
      <c r="K110" s="326"/>
      <c r="L110" s="326"/>
      <c r="M110" s="326"/>
      <c r="N110" s="326"/>
      <c r="O110" s="326"/>
      <c r="P110" s="326"/>
      <c r="Q110" s="326"/>
      <c r="R110" s="326"/>
      <c r="S110" s="326"/>
      <c r="T110" s="326"/>
      <c r="U110" s="326"/>
      <c r="V110" s="326"/>
      <c r="W110" s="326"/>
      <c r="X110" s="326"/>
      <c r="Y110" s="326"/>
      <c r="Z110" s="326"/>
      <c r="AA110" s="326"/>
      <c r="AB110" s="326"/>
      <c r="AC110" s="326"/>
      <c r="AD110" s="326"/>
    </row>
    <row r="111">
      <c r="A111" s="326"/>
      <c r="B111" s="326"/>
      <c r="C111" s="326"/>
      <c r="D111" s="326"/>
      <c r="E111" s="326"/>
      <c r="F111" s="326"/>
      <c r="G111" s="326"/>
      <c r="H111" s="326"/>
      <c r="I111" s="326"/>
      <c r="J111" s="326"/>
      <c r="K111" s="326"/>
      <c r="L111" s="326"/>
      <c r="M111" s="326"/>
      <c r="N111" s="326"/>
      <c r="O111" s="326"/>
      <c r="P111" s="326"/>
      <c r="Q111" s="326"/>
      <c r="R111" s="326"/>
      <c r="S111" s="326"/>
      <c r="T111" s="326"/>
      <c r="U111" s="326"/>
      <c r="V111" s="326"/>
      <c r="W111" s="326"/>
      <c r="X111" s="326"/>
      <c r="Y111" s="326"/>
      <c r="Z111" s="326"/>
      <c r="AA111" s="326"/>
      <c r="AB111" s="326"/>
      <c r="AC111" s="326"/>
      <c r="AD111" s="326"/>
    </row>
    <row r="112">
      <c r="A112" s="326"/>
      <c r="B112" s="326"/>
      <c r="C112" s="326"/>
      <c r="D112" s="326"/>
      <c r="E112" s="326"/>
      <c r="F112" s="326"/>
      <c r="G112" s="326"/>
      <c r="H112" s="326"/>
      <c r="I112" s="326"/>
      <c r="J112" s="326"/>
      <c r="K112" s="326"/>
      <c r="L112" s="326"/>
      <c r="M112" s="326"/>
      <c r="N112" s="326"/>
      <c r="O112" s="326"/>
      <c r="P112" s="326"/>
      <c r="Q112" s="326"/>
      <c r="R112" s="326"/>
      <c r="S112" s="326"/>
      <c r="T112" s="326"/>
      <c r="U112" s="326"/>
      <c r="V112" s="326"/>
      <c r="W112" s="326"/>
      <c r="X112" s="326"/>
      <c r="Y112" s="326"/>
      <c r="Z112" s="326"/>
      <c r="AA112" s="326"/>
      <c r="AB112" s="326"/>
      <c r="AC112" s="326"/>
      <c r="AD112" s="326"/>
    </row>
    <row r="113">
      <c r="A113" s="326"/>
      <c r="B113" s="326"/>
      <c r="C113" s="326"/>
      <c r="D113" s="326"/>
      <c r="E113" s="326"/>
      <c r="F113" s="326"/>
      <c r="G113" s="326"/>
      <c r="H113" s="326"/>
      <c r="I113" s="326"/>
      <c r="J113" s="326"/>
      <c r="K113" s="326"/>
      <c r="L113" s="326"/>
      <c r="M113" s="326"/>
      <c r="N113" s="326"/>
      <c r="O113" s="326"/>
      <c r="P113" s="326"/>
      <c r="Q113" s="326"/>
      <c r="R113" s="326"/>
      <c r="S113" s="326"/>
      <c r="T113" s="326"/>
      <c r="U113" s="326"/>
      <c r="V113" s="326"/>
      <c r="W113" s="326"/>
      <c r="X113" s="326"/>
      <c r="Y113" s="326"/>
      <c r="Z113" s="326"/>
      <c r="AA113" s="326"/>
      <c r="AB113" s="326"/>
      <c r="AC113" s="326"/>
      <c r="AD113" s="326"/>
    </row>
    <row r="114">
      <c r="A114" s="326"/>
      <c r="B114" s="326"/>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row>
    <row r="115">
      <c r="A115" s="326"/>
      <c r="B115" s="326"/>
      <c r="C115" s="326"/>
      <c r="D115" s="326"/>
      <c r="E115" s="326"/>
      <c r="F115" s="326"/>
      <c r="G115" s="326"/>
      <c r="H115" s="326"/>
      <c r="I115" s="326"/>
      <c r="J115" s="326"/>
      <c r="K115" s="326"/>
      <c r="L115" s="326"/>
      <c r="M115" s="326"/>
      <c r="N115" s="326"/>
      <c r="O115" s="326"/>
      <c r="P115" s="326"/>
      <c r="Q115" s="326"/>
      <c r="R115" s="326"/>
      <c r="S115" s="326"/>
      <c r="T115" s="326"/>
      <c r="U115" s="326"/>
      <c r="V115" s="326"/>
      <c r="W115" s="326"/>
      <c r="X115" s="326"/>
      <c r="Y115" s="326"/>
      <c r="Z115" s="326"/>
      <c r="AA115" s="326"/>
      <c r="AB115" s="326"/>
      <c r="AC115" s="326"/>
      <c r="AD115" s="326"/>
    </row>
    <row r="116">
      <c r="A116" s="326"/>
      <c r="B116" s="326"/>
      <c r="C116" s="326"/>
      <c r="D116" s="326"/>
      <c r="E116" s="326"/>
      <c r="F116" s="326"/>
      <c r="G116" s="326"/>
      <c r="H116" s="326"/>
      <c r="I116" s="326"/>
      <c r="J116" s="326"/>
      <c r="K116" s="326"/>
      <c r="L116" s="326"/>
      <c r="M116" s="326"/>
      <c r="N116" s="326"/>
      <c r="O116" s="326"/>
      <c r="P116" s="326"/>
      <c r="Q116" s="326"/>
      <c r="R116" s="326"/>
      <c r="S116" s="326"/>
      <c r="T116" s="326"/>
      <c r="U116" s="326"/>
      <c r="V116" s="326"/>
      <c r="W116" s="326"/>
      <c r="X116" s="326"/>
      <c r="Y116" s="326"/>
      <c r="Z116" s="326"/>
      <c r="AA116" s="326"/>
      <c r="AB116" s="326"/>
      <c r="AC116" s="326"/>
      <c r="AD116" s="326"/>
    </row>
    <row r="117">
      <c r="A117" s="326"/>
      <c r="B117" s="326"/>
      <c r="C117" s="326"/>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row>
    <row r="118">
      <c r="A118" s="326"/>
      <c r="B118" s="326"/>
      <c r="C118" s="326"/>
      <c r="D118" s="326"/>
      <c r="E118" s="326"/>
      <c r="F118" s="326"/>
      <c r="G118" s="326"/>
      <c r="H118" s="326"/>
      <c r="I118" s="326"/>
      <c r="J118" s="326"/>
      <c r="K118" s="326"/>
      <c r="L118" s="326"/>
      <c r="M118" s="326"/>
      <c r="N118" s="326"/>
      <c r="O118" s="326"/>
      <c r="P118" s="326"/>
      <c r="Q118" s="326"/>
      <c r="R118" s="326"/>
      <c r="S118" s="326"/>
      <c r="T118" s="326"/>
      <c r="U118" s="326"/>
      <c r="V118" s="326"/>
      <c r="W118" s="326"/>
      <c r="X118" s="326"/>
      <c r="Y118" s="326"/>
      <c r="Z118" s="326"/>
      <c r="AA118" s="326"/>
      <c r="AB118" s="326"/>
      <c r="AC118" s="326"/>
      <c r="AD118" s="326"/>
    </row>
    <row r="119">
      <c r="A119" s="326"/>
      <c r="B119" s="326"/>
      <c r="C119" s="326"/>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6"/>
      <c r="AD119" s="326"/>
    </row>
    <row r="120">
      <c r="A120" s="326"/>
      <c r="B120" s="326"/>
      <c r="C120" s="326"/>
      <c r="D120" s="326"/>
      <c r="E120" s="326"/>
      <c r="F120" s="326"/>
      <c r="G120" s="326"/>
      <c r="H120" s="326"/>
      <c r="I120" s="326"/>
      <c r="J120" s="326"/>
      <c r="K120" s="326"/>
      <c r="L120" s="326"/>
      <c r="M120" s="326"/>
      <c r="N120" s="326"/>
      <c r="O120" s="326"/>
      <c r="P120" s="326"/>
      <c r="Q120" s="326"/>
      <c r="R120" s="326"/>
      <c r="S120" s="326"/>
      <c r="T120" s="326"/>
      <c r="U120" s="326"/>
      <c r="V120" s="326"/>
      <c r="W120" s="326"/>
      <c r="X120" s="326"/>
      <c r="Y120" s="326"/>
      <c r="Z120" s="326"/>
      <c r="AA120" s="326"/>
      <c r="AB120" s="326"/>
      <c r="AC120" s="326"/>
      <c r="AD120" s="326"/>
    </row>
    <row r="121">
      <c r="A121" s="326"/>
      <c r="B121" s="326"/>
      <c r="C121" s="326"/>
      <c r="D121" s="326"/>
      <c r="E121" s="326"/>
      <c r="F121" s="326"/>
      <c r="G121" s="326"/>
      <c r="H121" s="326"/>
      <c r="I121" s="326"/>
      <c r="J121" s="326"/>
      <c r="K121" s="326"/>
      <c r="L121" s="326"/>
      <c r="M121" s="326"/>
      <c r="N121" s="326"/>
      <c r="O121" s="326"/>
      <c r="P121" s="326"/>
      <c r="Q121" s="326"/>
      <c r="R121" s="326"/>
      <c r="S121" s="326"/>
      <c r="T121" s="326"/>
      <c r="U121" s="326"/>
      <c r="V121" s="326"/>
      <c r="W121" s="326"/>
      <c r="X121" s="326"/>
      <c r="Y121" s="326"/>
      <c r="Z121" s="326"/>
      <c r="AA121" s="326"/>
      <c r="AB121" s="326"/>
      <c r="AC121" s="326"/>
      <c r="AD121" s="326"/>
    </row>
    <row r="122">
      <c r="A122" s="326"/>
      <c r="B122" s="326"/>
      <c r="C122" s="326"/>
      <c r="D122" s="326"/>
      <c r="E122" s="326"/>
      <c r="F122" s="326"/>
      <c r="G122" s="326"/>
      <c r="H122" s="326"/>
      <c r="I122" s="326"/>
      <c r="J122" s="326"/>
      <c r="K122" s="326"/>
      <c r="L122" s="326"/>
      <c r="M122" s="326"/>
      <c r="N122" s="326"/>
      <c r="O122" s="326"/>
      <c r="P122" s="326"/>
      <c r="Q122" s="326"/>
      <c r="R122" s="326"/>
      <c r="S122" s="326"/>
      <c r="T122" s="326"/>
      <c r="U122" s="326"/>
      <c r="V122" s="326"/>
      <c r="W122" s="326"/>
      <c r="X122" s="326"/>
      <c r="Y122" s="326"/>
      <c r="Z122" s="326"/>
      <c r="AA122" s="326"/>
      <c r="AB122" s="326"/>
      <c r="AC122" s="326"/>
      <c r="AD122" s="326"/>
    </row>
    <row r="123">
      <c r="A123" s="326"/>
      <c r="B123" s="326"/>
      <c r="C123" s="326"/>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row>
    <row r="124">
      <c r="A124" s="326"/>
      <c r="B124" s="326"/>
      <c r="C124" s="326"/>
      <c r="D124" s="326"/>
      <c r="E124" s="326"/>
      <c r="F124" s="326"/>
      <c r="G124" s="326"/>
      <c r="H124" s="326"/>
      <c r="I124" s="326"/>
      <c r="J124" s="326"/>
      <c r="K124" s="326"/>
      <c r="L124" s="326"/>
      <c r="M124" s="326"/>
      <c r="N124" s="326"/>
      <c r="O124" s="326"/>
      <c r="P124" s="326"/>
      <c r="Q124" s="326"/>
      <c r="R124" s="326"/>
      <c r="S124" s="326"/>
      <c r="T124" s="326"/>
      <c r="U124" s="326"/>
      <c r="V124" s="326"/>
      <c r="W124" s="326"/>
      <c r="X124" s="326"/>
      <c r="Y124" s="326"/>
      <c r="Z124" s="326"/>
      <c r="AA124" s="326"/>
      <c r="AB124" s="326"/>
      <c r="AC124" s="326"/>
      <c r="AD124" s="326"/>
    </row>
    <row r="125">
      <c r="A125" s="326"/>
      <c r="B125" s="326"/>
      <c r="C125" s="326"/>
      <c r="D125" s="326"/>
      <c r="E125" s="326"/>
      <c r="F125" s="326"/>
      <c r="G125" s="326"/>
      <c r="H125" s="326"/>
      <c r="I125" s="326"/>
      <c r="J125" s="326"/>
      <c r="K125" s="326"/>
      <c r="L125" s="326"/>
      <c r="M125" s="326"/>
      <c r="N125" s="326"/>
      <c r="O125" s="326"/>
      <c r="P125" s="326"/>
      <c r="Q125" s="326"/>
      <c r="R125" s="326"/>
      <c r="S125" s="326"/>
      <c r="T125" s="326"/>
      <c r="U125" s="326"/>
      <c r="V125" s="326"/>
      <c r="W125" s="326"/>
      <c r="X125" s="326"/>
      <c r="Y125" s="326"/>
      <c r="Z125" s="326"/>
      <c r="AA125" s="326"/>
      <c r="AB125" s="326"/>
      <c r="AC125" s="326"/>
      <c r="AD125" s="326"/>
    </row>
    <row r="126">
      <c r="A126" s="326"/>
      <c r="B126" s="326"/>
      <c r="C126" s="326"/>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326"/>
      <c r="Z126" s="326"/>
      <c r="AA126" s="326"/>
      <c r="AB126" s="326"/>
      <c r="AC126" s="326"/>
      <c r="AD126" s="326"/>
    </row>
    <row r="127">
      <c r="A127" s="326"/>
      <c r="B127" s="326"/>
      <c r="C127" s="326"/>
      <c r="D127" s="326"/>
      <c r="E127" s="326"/>
      <c r="F127" s="326"/>
      <c r="G127" s="326"/>
      <c r="H127" s="326"/>
      <c r="I127" s="326"/>
      <c r="J127" s="326"/>
      <c r="K127" s="326"/>
      <c r="L127" s="326"/>
      <c r="M127" s="326"/>
      <c r="N127" s="326"/>
      <c r="O127" s="326"/>
      <c r="P127" s="326"/>
      <c r="Q127" s="326"/>
      <c r="R127" s="326"/>
      <c r="S127" s="326"/>
      <c r="T127" s="326"/>
      <c r="U127" s="326"/>
      <c r="V127" s="326"/>
      <c r="W127" s="326"/>
      <c r="X127" s="326"/>
      <c r="Y127" s="326"/>
      <c r="Z127" s="326"/>
      <c r="AA127" s="326"/>
      <c r="AB127" s="326"/>
      <c r="AC127" s="326"/>
      <c r="AD127" s="326"/>
    </row>
    <row r="128">
      <c r="A128" s="326"/>
      <c r="B128" s="326"/>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c r="Z128" s="326"/>
      <c r="AA128" s="326"/>
      <c r="AB128" s="326"/>
      <c r="AC128" s="326"/>
      <c r="AD128" s="326"/>
    </row>
    <row r="129">
      <c r="A129" s="326"/>
      <c r="B129" s="326"/>
      <c r="C129" s="326"/>
      <c r="D129" s="326"/>
      <c r="E129" s="326"/>
      <c r="F129" s="326"/>
      <c r="G129" s="326"/>
      <c r="H129" s="326"/>
      <c r="I129" s="326"/>
      <c r="J129" s="326"/>
      <c r="K129" s="326"/>
      <c r="L129" s="326"/>
      <c r="M129" s="326"/>
      <c r="N129" s="326"/>
      <c r="O129" s="326"/>
      <c r="P129" s="326"/>
      <c r="Q129" s="326"/>
      <c r="R129" s="326"/>
      <c r="S129" s="326"/>
      <c r="T129" s="326"/>
      <c r="U129" s="326"/>
      <c r="V129" s="326"/>
      <c r="W129" s="326"/>
      <c r="X129" s="326"/>
      <c r="Y129" s="326"/>
      <c r="Z129" s="326"/>
      <c r="AA129" s="326"/>
      <c r="AB129" s="326"/>
      <c r="AC129" s="326"/>
      <c r="AD129" s="326"/>
    </row>
    <row r="130">
      <c r="A130" s="326"/>
      <c r="B130" s="326"/>
      <c r="C130" s="326"/>
      <c r="D130" s="326"/>
      <c r="E130" s="326"/>
      <c r="F130" s="326"/>
      <c r="G130" s="326"/>
      <c r="H130" s="326"/>
      <c r="I130" s="326"/>
      <c r="J130" s="326"/>
      <c r="K130" s="326"/>
      <c r="L130" s="326"/>
      <c r="M130" s="326"/>
      <c r="N130" s="326"/>
      <c r="O130" s="326"/>
      <c r="P130" s="326"/>
      <c r="Q130" s="326"/>
      <c r="R130" s="326"/>
      <c r="S130" s="326"/>
      <c r="T130" s="326"/>
      <c r="U130" s="326"/>
      <c r="V130" s="326"/>
      <c r="W130" s="326"/>
      <c r="X130" s="326"/>
      <c r="Y130" s="326"/>
      <c r="Z130" s="326"/>
      <c r="AA130" s="326"/>
      <c r="AB130" s="326"/>
      <c r="AC130" s="326"/>
      <c r="AD130" s="326"/>
    </row>
    <row r="131">
      <c r="A131" s="326"/>
      <c r="B131" s="326"/>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row>
    <row r="132">
      <c r="A132" s="326"/>
      <c r="B132" s="326"/>
      <c r="C132" s="326"/>
      <c r="D132" s="326"/>
      <c r="E132" s="326"/>
      <c r="F132" s="326"/>
      <c r="G132" s="326"/>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row>
    <row r="133">
      <c r="A133" s="326"/>
      <c r="B133" s="326"/>
      <c r="C133" s="326"/>
      <c r="D133" s="326"/>
      <c r="E133" s="326"/>
      <c r="F133" s="326"/>
      <c r="G133" s="326"/>
      <c r="H133" s="326"/>
      <c r="I133" s="326"/>
      <c r="J133" s="326"/>
      <c r="K133" s="326"/>
      <c r="L133" s="326"/>
      <c r="M133" s="326"/>
      <c r="N133" s="326"/>
      <c r="O133" s="326"/>
      <c r="P133" s="326"/>
      <c r="Q133" s="326"/>
      <c r="R133" s="326"/>
      <c r="S133" s="326"/>
      <c r="T133" s="326"/>
      <c r="U133" s="326"/>
      <c r="V133" s="326"/>
      <c r="W133" s="326"/>
      <c r="X133" s="326"/>
      <c r="Y133" s="326"/>
      <c r="Z133" s="326"/>
      <c r="AA133" s="326"/>
      <c r="AB133" s="326"/>
      <c r="AC133" s="326"/>
      <c r="AD133" s="326"/>
    </row>
    <row r="134">
      <c r="A134" s="326"/>
      <c r="B134" s="326"/>
      <c r="C134" s="326"/>
      <c r="D134" s="326"/>
      <c r="E134" s="326"/>
      <c r="F134" s="326"/>
      <c r="G134" s="326"/>
      <c r="H134" s="326"/>
      <c r="I134" s="326"/>
      <c r="J134" s="326"/>
      <c r="K134" s="326"/>
      <c r="L134" s="326"/>
      <c r="M134" s="326"/>
      <c r="N134" s="326"/>
      <c r="O134" s="326"/>
      <c r="P134" s="326"/>
      <c r="Q134" s="326"/>
      <c r="R134" s="326"/>
      <c r="S134" s="326"/>
      <c r="T134" s="326"/>
      <c r="U134" s="326"/>
      <c r="V134" s="326"/>
      <c r="W134" s="326"/>
      <c r="X134" s="326"/>
      <c r="Y134" s="326"/>
      <c r="Z134" s="326"/>
      <c r="AA134" s="326"/>
      <c r="AB134" s="326"/>
      <c r="AC134" s="326"/>
      <c r="AD134" s="326"/>
    </row>
    <row r="135">
      <c r="A135" s="326"/>
      <c r="B135" s="326"/>
      <c r="C135" s="326"/>
      <c r="D135" s="326"/>
      <c r="E135" s="326"/>
      <c r="F135" s="326"/>
      <c r="G135" s="326"/>
      <c r="H135" s="326"/>
      <c r="I135" s="326"/>
      <c r="J135" s="326"/>
      <c r="K135" s="326"/>
      <c r="L135" s="326"/>
      <c r="M135" s="326"/>
      <c r="N135" s="326"/>
      <c r="O135" s="326"/>
      <c r="P135" s="326"/>
      <c r="Q135" s="326"/>
      <c r="R135" s="326"/>
      <c r="S135" s="326"/>
      <c r="T135" s="326"/>
      <c r="U135" s="326"/>
      <c r="V135" s="326"/>
      <c r="W135" s="326"/>
      <c r="X135" s="326"/>
      <c r="Y135" s="326"/>
      <c r="Z135" s="326"/>
      <c r="AA135" s="326"/>
      <c r="AB135" s="326"/>
      <c r="AC135" s="326"/>
      <c r="AD135" s="326"/>
    </row>
    <row r="136">
      <c r="A136" s="326"/>
      <c r="B136" s="326"/>
      <c r="C136" s="326"/>
      <c r="D136" s="326"/>
      <c r="E136" s="326"/>
      <c r="F136" s="326"/>
      <c r="G136" s="326"/>
      <c r="H136" s="326"/>
      <c r="I136" s="326"/>
      <c r="J136" s="326"/>
      <c r="K136" s="326"/>
      <c r="L136" s="326"/>
      <c r="M136" s="326"/>
      <c r="N136" s="326"/>
      <c r="O136" s="326"/>
      <c r="P136" s="326"/>
      <c r="Q136" s="326"/>
      <c r="R136" s="326"/>
      <c r="S136" s="326"/>
      <c r="T136" s="326"/>
      <c r="U136" s="326"/>
      <c r="V136" s="326"/>
      <c r="W136" s="326"/>
      <c r="X136" s="326"/>
      <c r="Y136" s="326"/>
      <c r="Z136" s="326"/>
      <c r="AA136" s="326"/>
      <c r="AB136" s="326"/>
      <c r="AC136" s="326"/>
      <c r="AD136" s="326"/>
    </row>
    <row r="137">
      <c r="A137" s="326"/>
      <c r="B137" s="326"/>
      <c r="C137" s="326"/>
      <c r="D137" s="326"/>
      <c r="E137" s="326"/>
      <c r="F137" s="326"/>
      <c r="G137" s="326"/>
      <c r="H137" s="326"/>
      <c r="I137" s="326"/>
      <c r="J137" s="326"/>
      <c r="K137" s="326"/>
      <c r="L137" s="326"/>
      <c r="M137" s="326"/>
      <c r="N137" s="326"/>
      <c r="O137" s="326"/>
      <c r="P137" s="326"/>
      <c r="Q137" s="326"/>
      <c r="R137" s="326"/>
      <c r="S137" s="326"/>
      <c r="T137" s="326"/>
      <c r="U137" s="326"/>
      <c r="V137" s="326"/>
      <c r="W137" s="326"/>
      <c r="X137" s="326"/>
      <c r="Y137" s="326"/>
      <c r="Z137" s="326"/>
      <c r="AA137" s="326"/>
      <c r="AB137" s="326"/>
      <c r="AC137" s="326"/>
      <c r="AD137" s="326"/>
    </row>
    <row r="138">
      <c r="A138" s="326"/>
      <c r="B138" s="326"/>
      <c r="C138" s="326"/>
      <c r="D138" s="326"/>
      <c r="E138" s="326"/>
      <c r="F138" s="326"/>
      <c r="G138" s="326"/>
      <c r="H138" s="326"/>
      <c r="I138" s="326"/>
      <c r="J138" s="326"/>
      <c r="K138" s="326"/>
      <c r="L138" s="326"/>
      <c r="M138" s="326"/>
      <c r="N138" s="326"/>
      <c r="O138" s="326"/>
      <c r="P138" s="326"/>
      <c r="Q138" s="326"/>
      <c r="R138" s="326"/>
      <c r="S138" s="326"/>
      <c r="T138" s="326"/>
      <c r="U138" s="326"/>
      <c r="V138" s="326"/>
      <c r="W138" s="326"/>
      <c r="X138" s="326"/>
      <c r="Y138" s="326"/>
      <c r="Z138" s="326"/>
      <c r="AA138" s="326"/>
      <c r="AB138" s="326"/>
      <c r="AC138" s="326"/>
      <c r="AD138" s="326"/>
    </row>
    <row r="139">
      <c r="A139" s="326"/>
      <c r="B139" s="326"/>
      <c r="C139" s="326"/>
      <c r="D139" s="326"/>
      <c r="E139" s="326"/>
      <c r="F139" s="326"/>
      <c r="G139" s="326"/>
      <c r="H139" s="326"/>
      <c r="I139" s="326"/>
      <c r="J139" s="326"/>
      <c r="K139" s="326"/>
      <c r="L139" s="326"/>
      <c r="M139" s="326"/>
      <c r="N139" s="326"/>
      <c r="O139" s="326"/>
      <c r="P139" s="326"/>
      <c r="Q139" s="326"/>
      <c r="R139" s="326"/>
      <c r="S139" s="326"/>
      <c r="T139" s="326"/>
      <c r="U139" s="326"/>
      <c r="V139" s="326"/>
      <c r="W139" s="326"/>
      <c r="X139" s="326"/>
      <c r="Y139" s="326"/>
      <c r="Z139" s="326"/>
      <c r="AA139" s="326"/>
      <c r="AB139" s="326"/>
      <c r="AC139" s="326"/>
      <c r="AD139" s="326"/>
    </row>
    <row r="140">
      <c r="A140" s="326"/>
      <c r="B140" s="326"/>
      <c r="C140" s="326"/>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c r="AA140" s="326"/>
      <c r="AB140" s="326"/>
      <c r="AC140" s="326"/>
      <c r="AD140" s="326"/>
    </row>
    <row r="141">
      <c r="A141" s="326"/>
      <c r="B141" s="326"/>
      <c r="C141" s="326"/>
      <c r="D141" s="326"/>
      <c r="E141" s="326"/>
      <c r="F141" s="326"/>
      <c r="G141" s="326"/>
      <c r="H141" s="326"/>
      <c r="I141" s="326"/>
      <c r="J141" s="326"/>
      <c r="K141" s="326"/>
      <c r="L141" s="326"/>
      <c r="M141" s="326"/>
      <c r="N141" s="326"/>
      <c r="O141" s="326"/>
      <c r="P141" s="326"/>
      <c r="Q141" s="326"/>
      <c r="R141" s="326"/>
      <c r="S141" s="326"/>
      <c r="T141" s="326"/>
      <c r="U141" s="326"/>
      <c r="V141" s="326"/>
      <c r="W141" s="326"/>
      <c r="X141" s="326"/>
      <c r="Y141" s="326"/>
      <c r="Z141" s="326"/>
      <c r="AA141" s="326"/>
      <c r="AB141" s="326"/>
      <c r="AC141" s="326"/>
      <c r="AD141" s="326"/>
    </row>
    <row r="142">
      <c r="A142" s="326"/>
      <c r="B142" s="326"/>
      <c r="C142" s="326"/>
      <c r="D142" s="326"/>
      <c r="E142" s="326"/>
      <c r="F142" s="326"/>
      <c r="G142" s="326"/>
      <c r="H142" s="326"/>
      <c r="I142" s="326"/>
      <c r="J142" s="326"/>
      <c r="K142" s="326"/>
      <c r="L142" s="326"/>
      <c r="M142" s="326"/>
      <c r="N142" s="326"/>
      <c r="O142" s="326"/>
      <c r="P142" s="326"/>
      <c r="Q142" s="326"/>
      <c r="R142" s="326"/>
      <c r="S142" s="326"/>
      <c r="T142" s="326"/>
      <c r="U142" s="326"/>
      <c r="V142" s="326"/>
      <c r="W142" s="326"/>
      <c r="X142" s="326"/>
      <c r="Y142" s="326"/>
      <c r="Z142" s="326"/>
      <c r="AA142" s="326"/>
      <c r="AB142" s="326"/>
      <c r="AC142" s="326"/>
      <c r="AD142" s="326"/>
    </row>
    <row r="143">
      <c r="A143" s="326"/>
      <c r="B143" s="326"/>
      <c r="C143" s="326"/>
      <c r="D143" s="326"/>
      <c r="E143" s="326"/>
      <c r="F143" s="326"/>
      <c r="G143" s="326"/>
      <c r="H143" s="326"/>
      <c r="I143" s="326"/>
      <c r="J143" s="326"/>
      <c r="K143" s="326"/>
      <c r="L143" s="326"/>
      <c r="M143" s="326"/>
      <c r="N143" s="326"/>
      <c r="O143" s="326"/>
      <c r="P143" s="326"/>
      <c r="Q143" s="326"/>
      <c r="R143" s="326"/>
      <c r="S143" s="326"/>
      <c r="T143" s="326"/>
      <c r="U143" s="326"/>
      <c r="V143" s="326"/>
      <c r="W143" s="326"/>
      <c r="X143" s="326"/>
      <c r="Y143" s="326"/>
      <c r="Z143" s="326"/>
      <c r="AA143" s="326"/>
      <c r="AB143" s="326"/>
      <c r="AC143" s="326"/>
      <c r="AD143" s="326"/>
    </row>
    <row r="144">
      <c r="A144" s="326"/>
      <c r="B144" s="326"/>
      <c r="C144" s="326"/>
      <c r="D144" s="326"/>
      <c r="E144" s="326"/>
      <c r="F144" s="326"/>
      <c r="G144" s="326"/>
      <c r="H144" s="326"/>
      <c r="I144" s="326"/>
      <c r="J144" s="326"/>
      <c r="K144" s="326"/>
      <c r="L144" s="326"/>
      <c r="M144" s="326"/>
      <c r="N144" s="326"/>
      <c r="O144" s="326"/>
      <c r="P144" s="326"/>
      <c r="Q144" s="326"/>
      <c r="R144" s="326"/>
      <c r="S144" s="326"/>
      <c r="T144" s="326"/>
      <c r="U144" s="326"/>
      <c r="V144" s="326"/>
      <c r="W144" s="326"/>
      <c r="X144" s="326"/>
      <c r="Y144" s="326"/>
      <c r="Z144" s="326"/>
      <c r="AA144" s="326"/>
      <c r="AB144" s="326"/>
      <c r="AC144" s="326"/>
      <c r="AD144" s="326"/>
    </row>
    <row r="145">
      <c r="A145" s="326"/>
      <c r="B145" s="326"/>
      <c r="C145" s="326"/>
      <c r="D145" s="326"/>
      <c r="E145" s="326"/>
      <c r="F145" s="326"/>
      <c r="G145" s="326"/>
      <c r="H145" s="326"/>
      <c r="I145" s="326"/>
      <c r="J145" s="326"/>
      <c r="K145" s="326"/>
      <c r="L145" s="326"/>
      <c r="M145" s="326"/>
      <c r="N145" s="326"/>
      <c r="O145" s="326"/>
      <c r="P145" s="326"/>
      <c r="Q145" s="326"/>
      <c r="R145" s="326"/>
      <c r="S145" s="326"/>
      <c r="T145" s="326"/>
      <c r="U145" s="326"/>
      <c r="V145" s="326"/>
      <c r="W145" s="326"/>
      <c r="X145" s="326"/>
      <c r="Y145" s="326"/>
      <c r="Z145" s="326"/>
      <c r="AA145" s="326"/>
      <c r="AB145" s="326"/>
      <c r="AC145" s="326"/>
      <c r="AD145" s="326"/>
    </row>
    <row r="146">
      <c r="A146" s="326"/>
      <c r="B146" s="326"/>
      <c r="C146" s="326"/>
      <c r="D146" s="326"/>
      <c r="E146" s="326"/>
      <c r="F146" s="326"/>
      <c r="G146" s="326"/>
      <c r="H146" s="326"/>
      <c r="I146" s="326"/>
      <c r="J146" s="326"/>
      <c r="K146" s="326"/>
      <c r="L146" s="326"/>
      <c r="M146" s="326"/>
      <c r="N146" s="326"/>
      <c r="O146" s="326"/>
      <c r="P146" s="326"/>
      <c r="Q146" s="326"/>
      <c r="R146" s="326"/>
      <c r="S146" s="326"/>
      <c r="T146" s="326"/>
      <c r="U146" s="326"/>
      <c r="V146" s="326"/>
      <c r="W146" s="326"/>
      <c r="X146" s="326"/>
      <c r="Y146" s="326"/>
      <c r="Z146" s="326"/>
      <c r="AA146" s="326"/>
      <c r="AB146" s="326"/>
      <c r="AC146" s="326"/>
      <c r="AD146" s="326"/>
    </row>
    <row r="147">
      <c r="A147" s="326"/>
      <c r="B147" s="326"/>
      <c r="C147" s="326"/>
      <c r="D147" s="326"/>
      <c r="E147" s="326"/>
      <c r="F147" s="326"/>
      <c r="G147" s="326"/>
      <c r="H147" s="326"/>
      <c r="I147" s="326"/>
      <c r="J147" s="326"/>
      <c r="K147" s="326"/>
      <c r="L147" s="326"/>
      <c r="M147" s="326"/>
      <c r="N147" s="326"/>
      <c r="O147" s="326"/>
      <c r="P147" s="326"/>
      <c r="Q147" s="326"/>
      <c r="R147" s="326"/>
      <c r="S147" s="326"/>
      <c r="T147" s="326"/>
      <c r="U147" s="326"/>
      <c r="V147" s="326"/>
      <c r="W147" s="326"/>
      <c r="X147" s="326"/>
      <c r="Y147" s="326"/>
      <c r="Z147" s="326"/>
      <c r="AA147" s="326"/>
      <c r="AB147" s="326"/>
      <c r="AC147" s="326"/>
      <c r="AD147" s="326"/>
    </row>
    <row r="148">
      <c r="A148" s="326"/>
      <c r="B148" s="326"/>
      <c r="C148" s="326"/>
      <c r="D148" s="326"/>
      <c r="E148" s="326"/>
      <c r="F148" s="326"/>
      <c r="G148" s="326"/>
      <c r="H148" s="326"/>
      <c r="I148" s="326"/>
      <c r="J148" s="326"/>
      <c r="K148" s="326"/>
      <c r="L148" s="326"/>
      <c r="M148" s="326"/>
      <c r="N148" s="326"/>
      <c r="O148" s="326"/>
      <c r="P148" s="326"/>
      <c r="Q148" s="326"/>
      <c r="R148" s="326"/>
      <c r="S148" s="326"/>
      <c r="T148" s="326"/>
      <c r="U148" s="326"/>
      <c r="V148" s="326"/>
      <c r="W148" s="326"/>
      <c r="X148" s="326"/>
      <c r="Y148" s="326"/>
      <c r="Z148" s="326"/>
      <c r="AA148" s="326"/>
      <c r="AB148" s="326"/>
      <c r="AC148" s="326"/>
      <c r="AD148" s="326"/>
    </row>
    <row r="149">
      <c r="A149" s="326"/>
      <c r="B149" s="326"/>
      <c r="C149" s="326"/>
      <c r="D149" s="326"/>
      <c r="E149" s="326"/>
      <c r="F149" s="326"/>
      <c r="G149" s="326"/>
      <c r="H149" s="326"/>
      <c r="I149" s="326"/>
      <c r="J149" s="326"/>
      <c r="K149" s="326"/>
      <c r="L149" s="326"/>
      <c r="M149" s="326"/>
      <c r="N149" s="326"/>
      <c r="O149" s="326"/>
      <c r="P149" s="326"/>
      <c r="Q149" s="326"/>
      <c r="R149" s="326"/>
      <c r="S149" s="326"/>
      <c r="T149" s="326"/>
      <c r="U149" s="326"/>
      <c r="V149" s="326"/>
      <c r="W149" s="326"/>
      <c r="X149" s="326"/>
      <c r="Y149" s="326"/>
      <c r="Z149" s="326"/>
      <c r="AA149" s="326"/>
      <c r="AB149" s="326"/>
      <c r="AC149" s="326"/>
      <c r="AD149" s="326"/>
    </row>
    <row r="150">
      <c r="A150" s="326"/>
      <c r="B150" s="326"/>
      <c r="C150" s="326"/>
      <c r="D150" s="326"/>
      <c r="E150" s="326"/>
      <c r="F150" s="326"/>
      <c r="G150" s="326"/>
      <c r="H150" s="326"/>
      <c r="I150" s="326"/>
      <c r="J150" s="326"/>
      <c r="K150" s="326"/>
      <c r="L150" s="326"/>
      <c r="M150" s="326"/>
      <c r="N150" s="326"/>
      <c r="O150" s="326"/>
      <c r="P150" s="326"/>
      <c r="Q150" s="326"/>
      <c r="R150" s="326"/>
      <c r="S150" s="326"/>
      <c r="T150" s="326"/>
      <c r="U150" s="326"/>
      <c r="V150" s="326"/>
      <c r="W150" s="326"/>
      <c r="X150" s="326"/>
      <c r="Y150" s="326"/>
      <c r="Z150" s="326"/>
      <c r="AA150" s="326"/>
      <c r="AB150" s="326"/>
      <c r="AC150" s="326"/>
      <c r="AD150" s="326"/>
    </row>
    <row r="151">
      <c r="A151" s="326"/>
      <c r="B151" s="326"/>
      <c r="C151" s="326"/>
      <c r="D151" s="326"/>
      <c r="E151" s="326"/>
      <c r="F151" s="326"/>
      <c r="G151" s="326"/>
      <c r="H151" s="326"/>
      <c r="I151" s="326"/>
      <c r="J151" s="326"/>
      <c r="K151" s="326"/>
      <c r="L151" s="326"/>
      <c r="M151" s="326"/>
      <c r="N151" s="326"/>
      <c r="O151" s="326"/>
      <c r="P151" s="326"/>
      <c r="Q151" s="326"/>
      <c r="R151" s="326"/>
      <c r="S151" s="326"/>
      <c r="T151" s="326"/>
      <c r="U151" s="326"/>
      <c r="V151" s="326"/>
      <c r="W151" s="326"/>
      <c r="X151" s="326"/>
      <c r="Y151" s="326"/>
      <c r="Z151" s="326"/>
      <c r="AA151" s="326"/>
      <c r="AB151" s="326"/>
      <c r="AC151" s="326"/>
      <c r="AD151" s="326"/>
    </row>
    <row r="152">
      <c r="A152" s="326"/>
      <c r="B152" s="326"/>
      <c r="C152" s="326"/>
      <c r="D152" s="326"/>
      <c r="E152" s="326"/>
      <c r="F152" s="326"/>
      <c r="G152" s="326"/>
      <c r="H152" s="326"/>
      <c r="I152" s="326"/>
      <c r="J152" s="326"/>
      <c r="K152" s="326"/>
      <c r="L152" s="326"/>
      <c r="M152" s="326"/>
      <c r="N152" s="326"/>
      <c r="O152" s="326"/>
      <c r="P152" s="326"/>
      <c r="Q152" s="326"/>
      <c r="R152" s="326"/>
      <c r="S152" s="326"/>
      <c r="T152" s="326"/>
      <c r="U152" s="326"/>
      <c r="V152" s="326"/>
      <c r="W152" s="326"/>
      <c r="X152" s="326"/>
      <c r="Y152" s="326"/>
      <c r="Z152" s="326"/>
      <c r="AA152" s="326"/>
      <c r="AB152" s="326"/>
      <c r="AC152" s="326"/>
      <c r="AD152" s="326"/>
    </row>
    <row r="153">
      <c r="A153" s="326"/>
      <c r="B153" s="326"/>
      <c r="C153" s="326"/>
      <c r="D153" s="326"/>
      <c r="E153" s="326"/>
      <c r="F153" s="326"/>
      <c r="G153" s="326"/>
      <c r="H153" s="326"/>
      <c r="I153" s="326"/>
      <c r="J153" s="326"/>
      <c r="K153" s="326"/>
      <c r="L153" s="326"/>
      <c r="M153" s="326"/>
      <c r="N153" s="326"/>
      <c r="O153" s="326"/>
      <c r="P153" s="326"/>
      <c r="Q153" s="326"/>
      <c r="R153" s="326"/>
      <c r="S153" s="326"/>
      <c r="T153" s="326"/>
      <c r="U153" s="326"/>
      <c r="V153" s="326"/>
      <c r="W153" s="326"/>
      <c r="X153" s="326"/>
      <c r="Y153" s="326"/>
      <c r="Z153" s="326"/>
      <c r="AA153" s="326"/>
      <c r="AB153" s="326"/>
      <c r="AC153" s="326"/>
      <c r="AD153" s="326"/>
    </row>
    <row r="154">
      <c r="A154" s="326"/>
      <c r="B154" s="326"/>
      <c r="C154" s="326"/>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row>
    <row r="155">
      <c r="A155" s="326"/>
      <c r="B155" s="326"/>
      <c r="C155" s="326"/>
      <c r="D155" s="326"/>
      <c r="E155" s="326"/>
      <c r="F155" s="326"/>
      <c r="G155" s="326"/>
      <c r="H155" s="326"/>
      <c r="I155" s="326"/>
      <c r="J155" s="326"/>
      <c r="K155" s="326"/>
      <c r="L155" s="326"/>
      <c r="M155" s="326"/>
      <c r="N155" s="326"/>
      <c r="O155" s="326"/>
      <c r="P155" s="326"/>
      <c r="Q155" s="326"/>
      <c r="R155" s="326"/>
      <c r="S155" s="326"/>
      <c r="T155" s="326"/>
      <c r="U155" s="326"/>
      <c r="V155" s="326"/>
      <c r="W155" s="326"/>
      <c r="X155" s="326"/>
      <c r="Y155" s="326"/>
      <c r="Z155" s="326"/>
      <c r="AA155" s="326"/>
      <c r="AB155" s="326"/>
      <c r="AC155" s="326"/>
      <c r="AD155" s="326"/>
    </row>
    <row r="156">
      <c r="A156" s="326"/>
      <c r="B156" s="326"/>
      <c r="C156" s="326"/>
      <c r="D156" s="326"/>
      <c r="E156" s="326"/>
      <c r="F156" s="326"/>
      <c r="G156" s="326"/>
      <c r="H156" s="326"/>
      <c r="I156" s="326"/>
      <c r="J156" s="326"/>
      <c r="K156" s="326"/>
      <c r="L156" s="326"/>
      <c r="M156" s="326"/>
      <c r="N156" s="326"/>
      <c r="O156" s="326"/>
      <c r="P156" s="326"/>
      <c r="Q156" s="326"/>
      <c r="R156" s="326"/>
      <c r="S156" s="326"/>
      <c r="T156" s="326"/>
      <c r="U156" s="326"/>
      <c r="V156" s="326"/>
      <c r="W156" s="326"/>
      <c r="X156" s="326"/>
      <c r="Y156" s="326"/>
      <c r="Z156" s="326"/>
      <c r="AA156" s="326"/>
      <c r="AB156" s="326"/>
      <c r="AC156" s="326"/>
      <c r="AD156" s="326"/>
    </row>
    <row r="157">
      <c r="A157" s="326"/>
      <c r="B157" s="326"/>
      <c r="C157" s="326"/>
      <c r="D157" s="326"/>
      <c r="E157" s="326"/>
      <c r="F157" s="326"/>
      <c r="G157" s="326"/>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row>
    <row r="158">
      <c r="A158" s="326"/>
      <c r="B158" s="326"/>
      <c r="C158" s="326"/>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row>
    <row r="159">
      <c r="A159" s="326"/>
      <c r="B159" s="326"/>
      <c r="C159" s="326"/>
      <c r="D159" s="326"/>
      <c r="E159" s="326"/>
      <c r="F159" s="326"/>
      <c r="G159" s="326"/>
      <c r="H159" s="326"/>
      <c r="I159" s="326"/>
      <c r="J159" s="326"/>
      <c r="K159" s="326"/>
      <c r="L159" s="326"/>
      <c r="M159" s="326"/>
      <c r="N159" s="326"/>
      <c r="O159" s="326"/>
      <c r="P159" s="326"/>
      <c r="Q159" s="326"/>
      <c r="R159" s="326"/>
      <c r="S159" s="326"/>
      <c r="T159" s="326"/>
      <c r="U159" s="326"/>
      <c r="V159" s="326"/>
      <c r="W159" s="326"/>
      <c r="X159" s="326"/>
      <c r="Y159" s="326"/>
      <c r="Z159" s="326"/>
      <c r="AA159" s="326"/>
      <c r="AB159" s="326"/>
      <c r="AC159" s="326"/>
      <c r="AD159" s="326"/>
    </row>
    <row r="160">
      <c r="A160" s="326"/>
      <c r="B160" s="326"/>
      <c r="C160" s="326"/>
      <c r="D160" s="326"/>
      <c r="E160" s="326"/>
      <c r="F160" s="326"/>
      <c r="G160" s="326"/>
      <c r="H160" s="326"/>
      <c r="I160" s="326"/>
      <c r="J160" s="326"/>
      <c r="K160" s="326"/>
      <c r="L160" s="326"/>
      <c r="M160" s="326"/>
      <c r="N160" s="326"/>
      <c r="O160" s="326"/>
      <c r="P160" s="326"/>
      <c r="Q160" s="326"/>
      <c r="R160" s="326"/>
      <c r="S160" s="326"/>
      <c r="T160" s="326"/>
      <c r="U160" s="326"/>
      <c r="V160" s="326"/>
      <c r="W160" s="326"/>
      <c r="X160" s="326"/>
      <c r="Y160" s="326"/>
      <c r="Z160" s="326"/>
      <c r="AA160" s="326"/>
      <c r="AB160" s="326"/>
      <c r="AC160" s="326"/>
      <c r="AD160" s="326"/>
    </row>
    <row r="161">
      <c r="A161" s="326"/>
      <c r="B161" s="326"/>
      <c r="C161" s="326"/>
      <c r="D161" s="326"/>
      <c r="E161" s="326"/>
      <c r="F161" s="326"/>
      <c r="G161" s="326"/>
      <c r="H161" s="326"/>
      <c r="I161" s="326"/>
      <c r="J161" s="326"/>
      <c r="K161" s="326"/>
      <c r="L161" s="326"/>
      <c r="M161" s="326"/>
      <c r="N161" s="326"/>
      <c r="O161" s="326"/>
      <c r="P161" s="326"/>
      <c r="Q161" s="326"/>
      <c r="R161" s="326"/>
      <c r="S161" s="326"/>
      <c r="T161" s="326"/>
      <c r="U161" s="326"/>
      <c r="V161" s="326"/>
      <c r="W161" s="326"/>
      <c r="X161" s="326"/>
      <c r="Y161" s="326"/>
      <c r="Z161" s="326"/>
      <c r="AA161" s="326"/>
      <c r="AB161" s="326"/>
      <c r="AC161" s="326"/>
      <c r="AD161" s="326"/>
    </row>
    <row r="162">
      <c r="A162" s="326"/>
      <c r="B162" s="326"/>
      <c r="C162" s="326"/>
      <c r="D162" s="326"/>
      <c r="E162" s="326"/>
      <c r="F162" s="326"/>
      <c r="G162" s="326"/>
      <c r="H162" s="326"/>
      <c r="I162" s="326"/>
      <c r="J162" s="326"/>
      <c r="K162" s="326"/>
      <c r="L162" s="326"/>
      <c r="M162" s="326"/>
      <c r="N162" s="326"/>
      <c r="O162" s="326"/>
      <c r="P162" s="326"/>
      <c r="Q162" s="326"/>
      <c r="R162" s="326"/>
      <c r="S162" s="326"/>
      <c r="T162" s="326"/>
      <c r="U162" s="326"/>
      <c r="V162" s="326"/>
      <c r="W162" s="326"/>
      <c r="X162" s="326"/>
      <c r="Y162" s="326"/>
      <c r="Z162" s="326"/>
      <c r="AA162" s="326"/>
      <c r="AB162" s="326"/>
      <c r="AC162" s="326"/>
      <c r="AD162" s="326"/>
    </row>
    <row r="163">
      <c r="A163" s="326"/>
      <c r="B163" s="326"/>
      <c r="C163" s="326"/>
      <c r="D163" s="326"/>
      <c r="E163" s="326"/>
      <c r="F163" s="326"/>
      <c r="G163" s="326"/>
      <c r="H163" s="326"/>
      <c r="I163" s="326"/>
      <c r="J163" s="326"/>
      <c r="K163" s="326"/>
      <c r="L163" s="326"/>
      <c r="M163" s="326"/>
      <c r="N163" s="326"/>
      <c r="O163" s="326"/>
      <c r="P163" s="326"/>
      <c r="Q163" s="326"/>
      <c r="R163" s="326"/>
      <c r="S163" s="326"/>
      <c r="T163" s="326"/>
      <c r="U163" s="326"/>
      <c r="V163" s="326"/>
      <c r="W163" s="326"/>
      <c r="X163" s="326"/>
      <c r="Y163" s="326"/>
      <c r="Z163" s="326"/>
      <c r="AA163" s="326"/>
      <c r="AB163" s="326"/>
      <c r="AC163" s="326"/>
      <c r="AD163" s="326"/>
    </row>
    <row r="164">
      <c r="A164" s="326"/>
      <c r="B164" s="326"/>
      <c r="C164" s="326"/>
      <c r="D164" s="326"/>
      <c r="E164" s="326"/>
      <c r="F164" s="326"/>
      <c r="G164" s="326"/>
      <c r="H164" s="326"/>
      <c r="I164" s="326"/>
      <c r="J164" s="326"/>
      <c r="K164" s="326"/>
      <c r="L164" s="326"/>
      <c r="M164" s="326"/>
      <c r="N164" s="326"/>
      <c r="O164" s="326"/>
      <c r="P164" s="326"/>
      <c r="Q164" s="326"/>
      <c r="R164" s="326"/>
      <c r="S164" s="326"/>
      <c r="T164" s="326"/>
      <c r="U164" s="326"/>
      <c r="V164" s="326"/>
      <c r="W164" s="326"/>
      <c r="X164" s="326"/>
      <c r="Y164" s="326"/>
      <c r="Z164" s="326"/>
      <c r="AA164" s="326"/>
      <c r="AB164" s="326"/>
      <c r="AC164" s="326"/>
      <c r="AD164" s="326"/>
    </row>
    <row r="165">
      <c r="A165" s="326"/>
      <c r="B165" s="326"/>
      <c r="C165" s="326"/>
      <c r="D165" s="326"/>
      <c r="E165" s="326"/>
      <c r="F165" s="326"/>
      <c r="G165" s="326"/>
      <c r="H165" s="326"/>
      <c r="I165" s="326"/>
      <c r="J165" s="326"/>
      <c r="K165" s="326"/>
      <c r="L165" s="326"/>
      <c r="M165" s="326"/>
      <c r="N165" s="326"/>
      <c r="O165" s="326"/>
      <c r="P165" s="326"/>
      <c r="Q165" s="326"/>
      <c r="R165" s="326"/>
      <c r="S165" s="326"/>
      <c r="T165" s="326"/>
      <c r="U165" s="326"/>
      <c r="V165" s="326"/>
      <c r="W165" s="326"/>
      <c r="X165" s="326"/>
      <c r="Y165" s="326"/>
      <c r="Z165" s="326"/>
      <c r="AA165" s="326"/>
      <c r="AB165" s="326"/>
      <c r="AC165" s="326"/>
      <c r="AD165" s="326"/>
    </row>
    <row r="166">
      <c r="A166" s="326"/>
      <c r="B166" s="326"/>
      <c r="C166" s="326"/>
      <c r="D166" s="326"/>
      <c r="E166" s="326"/>
      <c r="F166" s="326"/>
      <c r="G166" s="326"/>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row>
    <row r="167">
      <c r="A167" s="326"/>
      <c r="B167" s="326"/>
      <c r="C167" s="326"/>
      <c r="D167" s="326"/>
      <c r="E167" s="326"/>
      <c r="F167" s="326"/>
      <c r="G167" s="326"/>
      <c r="H167" s="326"/>
      <c r="I167" s="326"/>
      <c r="J167" s="326"/>
      <c r="K167" s="326"/>
      <c r="L167" s="326"/>
      <c r="M167" s="326"/>
      <c r="N167" s="326"/>
      <c r="O167" s="326"/>
      <c r="P167" s="326"/>
      <c r="Q167" s="326"/>
      <c r="R167" s="326"/>
      <c r="S167" s="326"/>
      <c r="T167" s="326"/>
      <c r="U167" s="326"/>
      <c r="V167" s="326"/>
      <c r="W167" s="326"/>
      <c r="X167" s="326"/>
      <c r="Y167" s="326"/>
      <c r="Z167" s="326"/>
      <c r="AA167" s="326"/>
      <c r="AB167" s="326"/>
      <c r="AC167" s="326"/>
      <c r="AD167" s="326"/>
    </row>
    <row r="168">
      <c r="A168" s="326"/>
      <c r="B168" s="326"/>
      <c r="C168" s="326"/>
      <c r="D168" s="326"/>
      <c r="E168" s="326"/>
      <c r="F168" s="326"/>
      <c r="G168" s="326"/>
      <c r="H168" s="326"/>
      <c r="I168" s="326"/>
      <c r="J168" s="326"/>
      <c r="K168" s="326"/>
      <c r="L168" s="326"/>
      <c r="M168" s="326"/>
      <c r="N168" s="326"/>
      <c r="O168" s="326"/>
      <c r="P168" s="326"/>
      <c r="Q168" s="326"/>
      <c r="R168" s="326"/>
      <c r="S168" s="326"/>
      <c r="T168" s="326"/>
      <c r="U168" s="326"/>
      <c r="V168" s="326"/>
      <c r="W168" s="326"/>
      <c r="X168" s="326"/>
      <c r="Y168" s="326"/>
      <c r="Z168" s="326"/>
      <c r="AA168" s="326"/>
      <c r="AB168" s="326"/>
      <c r="AC168" s="326"/>
      <c r="AD168" s="326"/>
    </row>
    <row r="169">
      <c r="A169" s="326"/>
      <c r="B169" s="326"/>
      <c r="C169" s="326"/>
      <c r="D169" s="326"/>
      <c r="E169" s="326"/>
      <c r="F169" s="326"/>
      <c r="G169" s="326"/>
      <c r="H169" s="326"/>
      <c r="I169" s="326"/>
      <c r="J169" s="326"/>
      <c r="K169" s="326"/>
      <c r="L169" s="326"/>
      <c r="M169" s="326"/>
      <c r="N169" s="326"/>
      <c r="O169" s="326"/>
      <c r="P169" s="326"/>
      <c r="Q169" s="326"/>
      <c r="R169" s="326"/>
      <c r="S169" s="326"/>
      <c r="T169" s="326"/>
      <c r="U169" s="326"/>
      <c r="V169" s="326"/>
      <c r="W169" s="326"/>
      <c r="X169" s="326"/>
      <c r="Y169" s="326"/>
      <c r="Z169" s="326"/>
      <c r="AA169" s="326"/>
      <c r="AB169" s="326"/>
      <c r="AC169" s="326"/>
      <c r="AD169" s="326"/>
    </row>
    <row r="170">
      <c r="A170" s="326"/>
      <c r="B170" s="326"/>
      <c r="C170" s="326"/>
      <c r="D170" s="326"/>
      <c r="E170" s="326"/>
      <c r="F170" s="326"/>
      <c r="G170" s="326"/>
      <c r="H170" s="326"/>
      <c r="I170" s="326"/>
      <c r="J170" s="326"/>
      <c r="K170" s="326"/>
      <c r="L170" s="326"/>
      <c r="M170" s="326"/>
      <c r="N170" s="326"/>
      <c r="O170" s="326"/>
      <c r="P170" s="326"/>
      <c r="Q170" s="326"/>
      <c r="R170" s="326"/>
      <c r="S170" s="326"/>
      <c r="T170" s="326"/>
      <c r="U170" s="326"/>
      <c r="V170" s="326"/>
      <c r="W170" s="326"/>
      <c r="X170" s="326"/>
      <c r="Y170" s="326"/>
      <c r="Z170" s="326"/>
      <c r="AA170" s="326"/>
      <c r="AB170" s="326"/>
      <c r="AC170" s="326"/>
      <c r="AD170" s="326"/>
    </row>
    <row r="171">
      <c r="A171" s="326"/>
      <c r="B171" s="326"/>
      <c r="C171" s="326"/>
      <c r="D171" s="326"/>
      <c r="E171" s="326"/>
      <c r="F171" s="326"/>
      <c r="G171" s="326"/>
      <c r="H171" s="326"/>
      <c r="I171" s="326"/>
      <c r="J171" s="326"/>
      <c r="K171" s="326"/>
      <c r="L171" s="326"/>
      <c r="M171" s="326"/>
      <c r="N171" s="326"/>
      <c r="O171" s="326"/>
      <c r="P171" s="326"/>
      <c r="Q171" s="326"/>
      <c r="R171" s="326"/>
      <c r="S171" s="326"/>
      <c r="T171" s="326"/>
      <c r="U171" s="326"/>
      <c r="V171" s="326"/>
      <c r="W171" s="326"/>
      <c r="X171" s="326"/>
      <c r="Y171" s="326"/>
      <c r="Z171" s="326"/>
      <c r="AA171" s="326"/>
      <c r="AB171" s="326"/>
      <c r="AC171" s="326"/>
      <c r="AD171" s="326"/>
    </row>
    <row r="172">
      <c r="A172" s="326"/>
      <c r="B172" s="326"/>
      <c r="C172" s="326"/>
      <c r="D172" s="326"/>
      <c r="E172" s="326"/>
      <c r="F172" s="326"/>
      <c r="G172" s="326"/>
      <c r="H172" s="326"/>
      <c r="I172" s="326"/>
      <c r="J172" s="326"/>
      <c r="K172" s="326"/>
      <c r="L172" s="326"/>
      <c r="M172" s="326"/>
      <c r="N172" s="326"/>
      <c r="O172" s="326"/>
      <c r="P172" s="326"/>
      <c r="Q172" s="326"/>
      <c r="R172" s="326"/>
      <c r="S172" s="326"/>
      <c r="T172" s="326"/>
      <c r="U172" s="326"/>
      <c r="V172" s="326"/>
      <c r="W172" s="326"/>
      <c r="X172" s="326"/>
      <c r="Y172" s="326"/>
      <c r="Z172" s="326"/>
      <c r="AA172" s="326"/>
      <c r="AB172" s="326"/>
      <c r="AC172" s="326"/>
      <c r="AD172" s="326"/>
    </row>
    <row r="173">
      <c r="A173" s="326"/>
      <c r="B173" s="326"/>
      <c r="C173" s="326"/>
      <c r="D173" s="326"/>
      <c r="E173" s="326"/>
      <c r="F173" s="326"/>
      <c r="G173" s="326"/>
      <c r="H173" s="326"/>
      <c r="I173" s="326"/>
      <c r="J173" s="326"/>
      <c r="K173" s="326"/>
      <c r="L173" s="326"/>
      <c r="M173" s="326"/>
      <c r="N173" s="326"/>
      <c r="O173" s="326"/>
      <c r="P173" s="326"/>
      <c r="Q173" s="326"/>
      <c r="R173" s="326"/>
      <c r="S173" s="326"/>
      <c r="T173" s="326"/>
      <c r="U173" s="326"/>
      <c r="V173" s="326"/>
      <c r="W173" s="326"/>
      <c r="X173" s="326"/>
      <c r="Y173" s="326"/>
      <c r="Z173" s="326"/>
      <c r="AA173" s="326"/>
      <c r="AB173" s="326"/>
      <c r="AC173" s="326"/>
      <c r="AD173" s="326"/>
    </row>
    <row r="174">
      <c r="A174" s="326"/>
      <c r="B174" s="326"/>
      <c r="C174" s="326"/>
      <c r="D174" s="326"/>
      <c r="E174" s="326"/>
      <c r="F174" s="326"/>
      <c r="G174" s="326"/>
      <c r="H174" s="326"/>
      <c r="I174" s="326"/>
      <c r="J174" s="326"/>
      <c r="K174" s="326"/>
      <c r="L174" s="326"/>
      <c r="M174" s="326"/>
      <c r="N174" s="326"/>
      <c r="O174" s="326"/>
      <c r="P174" s="326"/>
      <c r="Q174" s="326"/>
      <c r="R174" s="326"/>
      <c r="S174" s="326"/>
      <c r="T174" s="326"/>
      <c r="U174" s="326"/>
      <c r="V174" s="326"/>
      <c r="W174" s="326"/>
      <c r="X174" s="326"/>
      <c r="Y174" s="326"/>
      <c r="Z174" s="326"/>
      <c r="AA174" s="326"/>
      <c r="AB174" s="326"/>
      <c r="AC174" s="326"/>
      <c r="AD174" s="326"/>
    </row>
    <row r="175">
      <c r="A175" s="326"/>
      <c r="B175" s="326"/>
      <c r="C175" s="326"/>
      <c r="D175" s="326"/>
      <c r="E175" s="326"/>
      <c r="F175" s="326"/>
      <c r="G175" s="326"/>
      <c r="H175" s="326"/>
      <c r="I175" s="326"/>
      <c r="J175" s="326"/>
      <c r="K175" s="326"/>
      <c r="L175" s="326"/>
      <c r="M175" s="326"/>
      <c r="N175" s="326"/>
      <c r="O175" s="326"/>
      <c r="P175" s="326"/>
      <c r="Q175" s="326"/>
      <c r="R175" s="326"/>
      <c r="S175" s="326"/>
      <c r="T175" s="326"/>
      <c r="U175" s="326"/>
      <c r="V175" s="326"/>
      <c r="W175" s="326"/>
      <c r="X175" s="326"/>
      <c r="Y175" s="326"/>
      <c r="Z175" s="326"/>
      <c r="AA175" s="326"/>
      <c r="AB175" s="326"/>
      <c r="AC175" s="326"/>
      <c r="AD175" s="326"/>
    </row>
    <row r="176">
      <c r="A176" s="326"/>
      <c r="B176" s="326"/>
      <c r="C176" s="326"/>
      <c r="D176" s="326"/>
      <c r="E176" s="326"/>
      <c r="F176" s="326"/>
      <c r="G176" s="326"/>
      <c r="H176" s="326"/>
      <c r="I176" s="326"/>
      <c r="J176" s="326"/>
      <c r="K176" s="326"/>
      <c r="L176" s="326"/>
      <c r="M176" s="326"/>
      <c r="N176" s="326"/>
      <c r="O176" s="326"/>
      <c r="P176" s="326"/>
      <c r="Q176" s="326"/>
      <c r="R176" s="326"/>
      <c r="S176" s="326"/>
      <c r="T176" s="326"/>
      <c r="U176" s="326"/>
      <c r="V176" s="326"/>
      <c r="W176" s="326"/>
      <c r="X176" s="326"/>
      <c r="Y176" s="326"/>
      <c r="Z176" s="326"/>
      <c r="AA176" s="326"/>
      <c r="AB176" s="326"/>
      <c r="AC176" s="326"/>
      <c r="AD176" s="326"/>
    </row>
    <row r="177">
      <c r="A177" s="326"/>
      <c r="B177" s="326"/>
      <c r="C177" s="326"/>
      <c r="D177" s="326"/>
      <c r="E177" s="326"/>
      <c r="F177" s="326"/>
      <c r="G177" s="326"/>
      <c r="H177" s="326"/>
      <c r="I177" s="326"/>
      <c r="J177" s="326"/>
      <c r="K177" s="326"/>
      <c r="L177" s="326"/>
      <c r="M177" s="326"/>
      <c r="N177" s="326"/>
      <c r="O177" s="326"/>
      <c r="P177" s="326"/>
      <c r="Q177" s="326"/>
      <c r="R177" s="326"/>
      <c r="S177" s="326"/>
      <c r="T177" s="326"/>
      <c r="U177" s="326"/>
      <c r="V177" s="326"/>
      <c r="W177" s="326"/>
      <c r="X177" s="326"/>
      <c r="Y177" s="326"/>
      <c r="Z177" s="326"/>
      <c r="AA177" s="326"/>
      <c r="AB177" s="326"/>
      <c r="AC177" s="326"/>
      <c r="AD177" s="326"/>
    </row>
    <row r="178">
      <c r="A178" s="326"/>
      <c r="B178" s="326"/>
      <c r="C178" s="326"/>
      <c r="D178" s="326"/>
      <c r="E178" s="326"/>
      <c r="F178" s="326"/>
      <c r="G178" s="326"/>
      <c r="H178" s="326"/>
      <c r="I178" s="326"/>
      <c r="J178" s="326"/>
      <c r="K178" s="326"/>
      <c r="L178" s="326"/>
      <c r="M178" s="326"/>
      <c r="N178" s="326"/>
      <c r="O178" s="326"/>
      <c r="P178" s="326"/>
      <c r="Q178" s="326"/>
      <c r="R178" s="326"/>
      <c r="S178" s="326"/>
      <c r="T178" s="326"/>
      <c r="U178" s="326"/>
      <c r="V178" s="326"/>
      <c r="W178" s="326"/>
      <c r="X178" s="326"/>
      <c r="Y178" s="326"/>
      <c r="Z178" s="326"/>
      <c r="AA178" s="326"/>
      <c r="AB178" s="326"/>
      <c r="AC178" s="326"/>
      <c r="AD178" s="326"/>
    </row>
    <row r="179">
      <c r="A179" s="326"/>
      <c r="B179" s="326"/>
      <c r="C179" s="326"/>
      <c r="D179" s="326"/>
      <c r="E179" s="326"/>
      <c r="F179" s="326"/>
      <c r="G179" s="326"/>
      <c r="H179" s="326"/>
      <c r="I179" s="326"/>
      <c r="J179" s="326"/>
      <c r="K179" s="326"/>
      <c r="L179" s="326"/>
      <c r="M179" s="326"/>
      <c r="N179" s="326"/>
      <c r="O179" s="326"/>
      <c r="P179" s="326"/>
      <c r="Q179" s="326"/>
      <c r="R179" s="326"/>
      <c r="S179" s="326"/>
      <c r="T179" s="326"/>
      <c r="U179" s="326"/>
      <c r="V179" s="326"/>
      <c r="W179" s="326"/>
      <c r="X179" s="326"/>
      <c r="Y179" s="326"/>
      <c r="Z179" s="326"/>
      <c r="AA179" s="326"/>
      <c r="AB179" s="326"/>
      <c r="AC179" s="326"/>
      <c r="AD179" s="326"/>
    </row>
    <row r="180">
      <c r="A180" s="326"/>
      <c r="B180" s="326"/>
      <c r="C180" s="326"/>
      <c r="D180" s="326"/>
      <c r="E180" s="326"/>
      <c r="F180" s="326"/>
      <c r="G180" s="326"/>
      <c r="H180" s="326"/>
      <c r="I180" s="326"/>
      <c r="J180" s="326"/>
      <c r="K180" s="326"/>
      <c r="L180" s="326"/>
      <c r="M180" s="326"/>
      <c r="N180" s="326"/>
      <c r="O180" s="326"/>
      <c r="P180" s="326"/>
      <c r="Q180" s="326"/>
      <c r="R180" s="326"/>
      <c r="S180" s="326"/>
      <c r="T180" s="326"/>
      <c r="U180" s="326"/>
      <c r="V180" s="326"/>
      <c r="W180" s="326"/>
      <c r="X180" s="326"/>
      <c r="Y180" s="326"/>
      <c r="Z180" s="326"/>
      <c r="AA180" s="326"/>
      <c r="AB180" s="326"/>
      <c r="AC180" s="326"/>
      <c r="AD180" s="326"/>
    </row>
    <row r="181">
      <c r="A181" s="326"/>
      <c r="B181" s="326"/>
      <c r="C181" s="326"/>
      <c r="D181" s="326"/>
      <c r="E181" s="326"/>
      <c r="F181" s="326"/>
      <c r="G181" s="326"/>
      <c r="H181" s="326"/>
      <c r="I181" s="326"/>
      <c r="J181" s="326"/>
      <c r="K181" s="326"/>
      <c r="L181" s="326"/>
      <c r="M181" s="326"/>
      <c r="N181" s="326"/>
      <c r="O181" s="326"/>
      <c r="P181" s="326"/>
      <c r="Q181" s="326"/>
      <c r="R181" s="326"/>
      <c r="S181" s="326"/>
      <c r="T181" s="326"/>
      <c r="U181" s="326"/>
      <c r="V181" s="326"/>
      <c r="W181" s="326"/>
      <c r="X181" s="326"/>
      <c r="Y181" s="326"/>
      <c r="Z181" s="326"/>
      <c r="AA181" s="326"/>
      <c r="AB181" s="326"/>
      <c r="AC181" s="326"/>
      <c r="AD181" s="326"/>
    </row>
    <row r="182">
      <c r="A182" s="326"/>
      <c r="B182" s="326"/>
      <c r="C182" s="326"/>
      <c r="D182" s="326"/>
      <c r="E182" s="326"/>
      <c r="F182" s="326"/>
      <c r="G182" s="326"/>
      <c r="H182" s="326"/>
      <c r="I182" s="326"/>
      <c r="J182" s="326"/>
      <c r="K182" s="326"/>
      <c r="L182" s="326"/>
      <c r="M182" s="326"/>
      <c r="N182" s="326"/>
      <c r="O182" s="326"/>
      <c r="P182" s="326"/>
      <c r="Q182" s="326"/>
      <c r="R182" s="326"/>
      <c r="S182" s="326"/>
      <c r="T182" s="326"/>
      <c r="U182" s="326"/>
      <c r="V182" s="326"/>
      <c r="W182" s="326"/>
      <c r="X182" s="326"/>
      <c r="Y182" s="326"/>
      <c r="Z182" s="326"/>
      <c r="AA182" s="326"/>
      <c r="AB182" s="326"/>
      <c r="AC182" s="326"/>
      <c r="AD182" s="326"/>
    </row>
    <row r="183">
      <c r="A183" s="326"/>
      <c r="B183" s="326"/>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c r="AA183" s="326"/>
      <c r="AB183" s="326"/>
      <c r="AC183" s="326"/>
      <c r="AD183" s="326"/>
    </row>
    <row r="184">
      <c r="A184" s="326"/>
      <c r="B184" s="326"/>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c r="AA184" s="326"/>
      <c r="AB184" s="326"/>
      <c r="AC184" s="326"/>
      <c r="AD184" s="326"/>
    </row>
    <row r="185">
      <c r="A185" s="326"/>
      <c r="B185" s="326"/>
      <c r="C185" s="326"/>
      <c r="D185" s="326"/>
      <c r="E185" s="326"/>
      <c r="F185" s="326"/>
      <c r="G185" s="326"/>
      <c r="H185" s="326"/>
      <c r="I185" s="326"/>
      <c r="J185" s="326"/>
      <c r="K185" s="326"/>
      <c r="L185" s="326"/>
      <c r="M185" s="326"/>
      <c r="N185" s="326"/>
      <c r="O185" s="326"/>
      <c r="P185" s="326"/>
      <c r="Q185" s="326"/>
      <c r="R185" s="326"/>
      <c r="S185" s="326"/>
      <c r="T185" s="326"/>
      <c r="U185" s="326"/>
      <c r="V185" s="326"/>
      <c r="W185" s="326"/>
      <c r="X185" s="326"/>
      <c r="Y185" s="326"/>
      <c r="Z185" s="326"/>
      <c r="AA185" s="326"/>
      <c r="AB185" s="326"/>
      <c r="AC185" s="326"/>
      <c r="AD185" s="326"/>
    </row>
    <row r="186">
      <c r="A186" s="326"/>
      <c r="B186" s="326"/>
      <c r="C186" s="326"/>
      <c r="D186" s="326"/>
      <c r="E186" s="326"/>
      <c r="F186" s="326"/>
      <c r="G186" s="326"/>
      <c r="H186" s="326"/>
      <c r="I186" s="326"/>
      <c r="J186" s="326"/>
      <c r="K186" s="326"/>
      <c r="L186" s="326"/>
      <c r="M186" s="326"/>
      <c r="N186" s="326"/>
      <c r="O186" s="326"/>
      <c r="P186" s="326"/>
      <c r="Q186" s="326"/>
      <c r="R186" s="326"/>
      <c r="S186" s="326"/>
      <c r="T186" s="326"/>
      <c r="U186" s="326"/>
      <c r="V186" s="326"/>
      <c r="W186" s="326"/>
      <c r="X186" s="326"/>
      <c r="Y186" s="326"/>
      <c r="Z186" s="326"/>
      <c r="AA186" s="326"/>
      <c r="AB186" s="326"/>
      <c r="AC186" s="326"/>
      <c r="AD186" s="326"/>
    </row>
    <row r="187">
      <c r="A187" s="326"/>
      <c r="B187" s="326"/>
      <c r="C187" s="326"/>
      <c r="D187" s="326"/>
      <c r="E187" s="326"/>
      <c r="F187" s="326"/>
      <c r="G187" s="326"/>
      <c r="H187" s="326"/>
      <c r="I187" s="326"/>
      <c r="J187" s="326"/>
      <c r="K187" s="326"/>
      <c r="L187" s="326"/>
      <c r="M187" s="326"/>
      <c r="N187" s="326"/>
      <c r="O187" s="326"/>
      <c r="P187" s="326"/>
      <c r="Q187" s="326"/>
      <c r="R187" s="326"/>
      <c r="S187" s="326"/>
      <c r="T187" s="326"/>
      <c r="U187" s="326"/>
      <c r="V187" s="326"/>
      <c r="W187" s="326"/>
      <c r="X187" s="326"/>
      <c r="Y187" s="326"/>
      <c r="Z187" s="326"/>
      <c r="AA187" s="326"/>
      <c r="AB187" s="326"/>
      <c r="AC187" s="326"/>
      <c r="AD187" s="326"/>
    </row>
    <row r="188">
      <c r="A188" s="326"/>
      <c r="B188" s="326"/>
      <c r="C188" s="326"/>
      <c r="D188" s="326"/>
      <c r="E188" s="326"/>
      <c r="F188" s="326"/>
      <c r="G188" s="326"/>
      <c r="H188" s="326"/>
      <c r="I188" s="326"/>
      <c r="J188" s="326"/>
      <c r="K188" s="326"/>
      <c r="L188" s="326"/>
      <c r="M188" s="326"/>
      <c r="N188" s="326"/>
      <c r="O188" s="326"/>
      <c r="P188" s="326"/>
      <c r="Q188" s="326"/>
      <c r="R188" s="326"/>
      <c r="S188" s="326"/>
      <c r="T188" s="326"/>
      <c r="U188" s="326"/>
      <c r="V188" s="326"/>
      <c r="W188" s="326"/>
      <c r="X188" s="326"/>
      <c r="Y188" s="326"/>
      <c r="Z188" s="326"/>
      <c r="AA188" s="326"/>
      <c r="AB188" s="326"/>
      <c r="AC188" s="326"/>
      <c r="AD188" s="326"/>
    </row>
    <row r="189">
      <c r="A189" s="326"/>
      <c r="B189" s="326"/>
      <c r="C189" s="326"/>
      <c r="D189" s="326"/>
      <c r="E189" s="326"/>
      <c r="F189" s="326"/>
      <c r="G189" s="326"/>
      <c r="H189" s="326"/>
      <c r="I189" s="326"/>
      <c r="J189" s="326"/>
      <c r="K189" s="326"/>
      <c r="L189" s="326"/>
      <c r="M189" s="326"/>
      <c r="N189" s="326"/>
      <c r="O189" s="326"/>
      <c r="P189" s="326"/>
      <c r="Q189" s="326"/>
      <c r="R189" s="326"/>
      <c r="S189" s="326"/>
      <c r="T189" s="326"/>
      <c r="U189" s="326"/>
      <c r="V189" s="326"/>
      <c r="W189" s="326"/>
      <c r="X189" s="326"/>
      <c r="Y189" s="326"/>
      <c r="Z189" s="326"/>
      <c r="AA189" s="326"/>
      <c r="AB189" s="326"/>
      <c r="AC189" s="326"/>
      <c r="AD189" s="326"/>
    </row>
    <row r="190">
      <c r="A190" s="326"/>
      <c r="B190" s="326"/>
      <c r="C190" s="326"/>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row>
    <row r="191">
      <c r="A191" s="326"/>
      <c r="B191" s="326"/>
      <c r="C191" s="326"/>
      <c r="D191" s="326"/>
      <c r="E191" s="326"/>
      <c r="F191" s="326"/>
      <c r="G191" s="326"/>
      <c r="H191" s="326"/>
      <c r="I191" s="326"/>
      <c r="J191" s="326"/>
      <c r="K191" s="326"/>
      <c r="L191" s="326"/>
      <c r="M191" s="326"/>
      <c r="N191" s="326"/>
      <c r="O191" s="326"/>
      <c r="P191" s="326"/>
      <c r="Q191" s="326"/>
      <c r="R191" s="326"/>
      <c r="S191" s="326"/>
      <c r="T191" s="326"/>
      <c r="U191" s="326"/>
      <c r="V191" s="326"/>
      <c r="W191" s="326"/>
      <c r="X191" s="326"/>
      <c r="Y191" s="326"/>
      <c r="Z191" s="326"/>
      <c r="AA191" s="326"/>
      <c r="AB191" s="326"/>
      <c r="AC191" s="326"/>
      <c r="AD191" s="326"/>
    </row>
    <row r="192">
      <c r="A192" s="326"/>
      <c r="B192" s="326"/>
      <c r="C192" s="326"/>
      <c r="D192" s="326"/>
      <c r="E192" s="326"/>
      <c r="F192" s="326"/>
      <c r="G192" s="326"/>
      <c r="H192" s="326"/>
      <c r="I192" s="326"/>
      <c r="J192" s="326"/>
      <c r="K192" s="326"/>
      <c r="L192" s="326"/>
      <c r="M192" s="326"/>
      <c r="N192" s="326"/>
      <c r="O192" s="326"/>
      <c r="P192" s="326"/>
      <c r="Q192" s="326"/>
      <c r="R192" s="326"/>
      <c r="S192" s="326"/>
      <c r="T192" s="326"/>
      <c r="U192" s="326"/>
      <c r="V192" s="326"/>
      <c r="W192" s="326"/>
      <c r="X192" s="326"/>
      <c r="Y192" s="326"/>
      <c r="Z192" s="326"/>
      <c r="AA192" s="326"/>
      <c r="AB192" s="326"/>
      <c r="AC192" s="326"/>
      <c r="AD192" s="326"/>
    </row>
    <row r="193">
      <c r="A193" s="326"/>
      <c r="B193" s="326"/>
      <c r="C193" s="326"/>
      <c r="D193" s="326"/>
      <c r="E193" s="326"/>
      <c r="F193" s="326"/>
      <c r="G193" s="326"/>
      <c r="H193" s="326"/>
      <c r="I193" s="326"/>
      <c r="J193" s="326"/>
      <c r="K193" s="326"/>
      <c r="L193" s="326"/>
      <c r="M193" s="326"/>
      <c r="N193" s="326"/>
      <c r="O193" s="326"/>
      <c r="P193" s="326"/>
      <c r="Q193" s="326"/>
      <c r="R193" s="326"/>
      <c r="S193" s="326"/>
      <c r="T193" s="326"/>
      <c r="U193" s="326"/>
      <c r="V193" s="326"/>
      <c r="W193" s="326"/>
      <c r="X193" s="326"/>
      <c r="Y193" s="326"/>
      <c r="Z193" s="326"/>
      <c r="AA193" s="326"/>
      <c r="AB193" s="326"/>
      <c r="AC193" s="326"/>
      <c r="AD193" s="326"/>
    </row>
    <row r="194">
      <c r="A194" s="326"/>
      <c r="B194" s="326"/>
      <c r="C194" s="326"/>
      <c r="D194" s="326"/>
      <c r="E194" s="326"/>
      <c r="F194" s="326"/>
      <c r="G194" s="326"/>
      <c r="H194" s="326"/>
      <c r="I194" s="326"/>
      <c r="J194" s="326"/>
      <c r="K194" s="326"/>
      <c r="L194" s="326"/>
      <c r="M194" s="326"/>
      <c r="N194" s="326"/>
      <c r="O194" s="326"/>
      <c r="P194" s="326"/>
      <c r="Q194" s="326"/>
      <c r="R194" s="326"/>
      <c r="S194" s="326"/>
      <c r="T194" s="326"/>
      <c r="U194" s="326"/>
      <c r="V194" s="326"/>
      <c r="W194" s="326"/>
      <c r="X194" s="326"/>
      <c r="Y194" s="326"/>
      <c r="Z194" s="326"/>
      <c r="AA194" s="326"/>
      <c r="AB194" s="326"/>
      <c r="AC194" s="326"/>
      <c r="AD194" s="326"/>
    </row>
    <row r="195">
      <c r="A195" s="326"/>
      <c r="B195" s="326"/>
      <c r="C195" s="326"/>
      <c r="D195" s="326"/>
      <c r="E195" s="326"/>
      <c r="F195" s="326"/>
      <c r="G195" s="326"/>
      <c r="H195" s="326"/>
      <c r="I195" s="326"/>
      <c r="J195" s="326"/>
      <c r="K195" s="326"/>
      <c r="L195" s="326"/>
      <c r="M195" s="326"/>
      <c r="N195" s="326"/>
      <c r="O195" s="326"/>
      <c r="P195" s="326"/>
      <c r="Q195" s="326"/>
      <c r="R195" s="326"/>
      <c r="S195" s="326"/>
      <c r="T195" s="326"/>
      <c r="U195" s="326"/>
      <c r="V195" s="326"/>
      <c r="W195" s="326"/>
      <c r="X195" s="326"/>
      <c r="Y195" s="326"/>
      <c r="Z195" s="326"/>
      <c r="AA195" s="326"/>
      <c r="AB195" s="326"/>
      <c r="AC195" s="326"/>
      <c r="AD195" s="326"/>
    </row>
    <row r="196">
      <c r="A196" s="326"/>
      <c r="B196" s="326"/>
      <c r="C196" s="326"/>
      <c r="D196" s="326"/>
      <c r="E196" s="326"/>
      <c r="F196" s="326"/>
      <c r="G196" s="326"/>
      <c r="H196" s="326"/>
      <c r="I196" s="326"/>
      <c r="J196" s="326"/>
      <c r="K196" s="326"/>
      <c r="L196" s="326"/>
      <c r="M196" s="326"/>
      <c r="N196" s="326"/>
      <c r="O196" s="326"/>
      <c r="P196" s="326"/>
      <c r="Q196" s="326"/>
      <c r="R196" s="326"/>
      <c r="S196" s="326"/>
      <c r="T196" s="326"/>
      <c r="U196" s="326"/>
      <c r="V196" s="326"/>
      <c r="W196" s="326"/>
      <c r="X196" s="326"/>
      <c r="Y196" s="326"/>
      <c r="Z196" s="326"/>
      <c r="AA196" s="326"/>
      <c r="AB196" s="326"/>
      <c r="AC196" s="326"/>
      <c r="AD196" s="326"/>
    </row>
    <row r="197">
      <c r="A197" s="326"/>
      <c r="B197" s="326"/>
      <c r="C197" s="326"/>
      <c r="D197" s="326"/>
      <c r="E197" s="326"/>
      <c r="F197" s="326"/>
      <c r="G197" s="326"/>
      <c r="H197" s="326"/>
      <c r="I197" s="326"/>
      <c r="J197" s="326"/>
      <c r="K197" s="326"/>
      <c r="L197" s="326"/>
      <c r="M197" s="326"/>
      <c r="N197" s="326"/>
      <c r="O197" s="326"/>
      <c r="P197" s="326"/>
      <c r="Q197" s="326"/>
      <c r="R197" s="326"/>
      <c r="S197" s="326"/>
      <c r="T197" s="326"/>
      <c r="U197" s="326"/>
      <c r="V197" s="326"/>
      <c r="W197" s="326"/>
      <c r="X197" s="326"/>
      <c r="Y197" s="326"/>
      <c r="Z197" s="326"/>
      <c r="AA197" s="326"/>
      <c r="AB197" s="326"/>
      <c r="AC197" s="326"/>
      <c r="AD197" s="326"/>
    </row>
    <row r="198">
      <c r="A198" s="326"/>
      <c r="B198" s="326"/>
      <c r="C198" s="326"/>
      <c r="D198" s="326"/>
      <c r="E198" s="326"/>
      <c r="F198" s="326"/>
      <c r="G198" s="326"/>
      <c r="H198" s="326"/>
      <c r="I198" s="326"/>
      <c r="J198" s="326"/>
      <c r="K198" s="326"/>
      <c r="L198" s="326"/>
      <c r="M198" s="326"/>
      <c r="N198" s="326"/>
      <c r="O198" s="326"/>
      <c r="P198" s="326"/>
      <c r="Q198" s="326"/>
      <c r="R198" s="326"/>
      <c r="S198" s="326"/>
      <c r="T198" s="326"/>
      <c r="U198" s="326"/>
      <c r="V198" s="326"/>
      <c r="W198" s="326"/>
      <c r="X198" s="326"/>
      <c r="Y198" s="326"/>
      <c r="Z198" s="326"/>
      <c r="AA198" s="326"/>
      <c r="AB198" s="326"/>
      <c r="AC198" s="326"/>
      <c r="AD198" s="326"/>
    </row>
    <row r="199">
      <c r="A199" s="326"/>
      <c r="B199" s="326"/>
      <c r="C199" s="326"/>
      <c r="D199" s="326"/>
      <c r="E199" s="326"/>
      <c r="F199" s="326"/>
      <c r="G199" s="326"/>
      <c r="H199" s="326"/>
      <c r="I199" s="326"/>
      <c r="J199" s="326"/>
      <c r="K199" s="326"/>
      <c r="L199" s="326"/>
      <c r="M199" s="326"/>
      <c r="N199" s="326"/>
      <c r="O199" s="326"/>
      <c r="P199" s="326"/>
      <c r="Q199" s="326"/>
      <c r="R199" s="326"/>
      <c r="S199" s="326"/>
      <c r="T199" s="326"/>
      <c r="U199" s="326"/>
      <c r="V199" s="326"/>
      <c r="W199" s="326"/>
      <c r="X199" s="326"/>
      <c r="Y199" s="326"/>
      <c r="Z199" s="326"/>
      <c r="AA199" s="326"/>
      <c r="AB199" s="326"/>
      <c r="AC199" s="326"/>
      <c r="AD199" s="326"/>
    </row>
    <row r="200">
      <c r="A200" s="326"/>
      <c r="B200" s="326"/>
      <c r="C200" s="326"/>
      <c r="D200" s="326"/>
      <c r="E200" s="326"/>
      <c r="F200" s="326"/>
      <c r="G200" s="326"/>
      <c r="H200" s="326"/>
      <c r="I200" s="326"/>
      <c r="J200" s="326"/>
      <c r="K200" s="326"/>
      <c r="L200" s="326"/>
      <c r="M200" s="326"/>
      <c r="N200" s="326"/>
      <c r="O200" s="326"/>
      <c r="P200" s="326"/>
      <c r="Q200" s="326"/>
      <c r="R200" s="326"/>
      <c r="S200" s="326"/>
      <c r="T200" s="326"/>
      <c r="U200" s="326"/>
      <c r="V200" s="326"/>
      <c r="W200" s="326"/>
      <c r="X200" s="326"/>
      <c r="Y200" s="326"/>
      <c r="Z200" s="326"/>
      <c r="AA200" s="326"/>
      <c r="AB200" s="326"/>
      <c r="AC200" s="326"/>
      <c r="AD200" s="326"/>
    </row>
    <row r="201">
      <c r="A201" s="326"/>
      <c r="B201" s="326"/>
      <c r="C201" s="326"/>
      <c r="D201" s="326"/>
      <c r="E201" s="326"/>
      <c r="F201" s="326"/>
      <c r="G201" s="326"/>
      <c r="H201" s="326"/>
      <c r="I201" s="326"/>
      <c r="J201" s="326"/>
      <c r="K201" s="326"/>
      <c r="L201" s="326"/>
      <c r="M201" s="326"/>
      <c r="N201" s="326"/>
      <c r="O201" s="326"/>
      <c r="P201" s="326"/>
      <c r="Q201" s="326"/>
      <c r="R201" s="326"/>
      <c r="S201" s="326"/>
      <c r="T201" s="326"/>
      <c r="U201" s="326"/>
      <c r="V201" s="326"/>
      <c r="W201" s="326"/>
      <c r="X201" s="326"/>
      <c r="Y201" s="326"/>
      <c r="Z201" s="326"/>
      <c r="AA201" s="326"/>
      <c r="AB201" s="326"/>
      <c r="AC201" s="326"/>
      <c r="AD201" s="326"/>
    </row>
    <row r="202">
      <c r="A202" s="326"/>
      <c r="B202" s="326"/>
      <c r="C202" s="326"/>
      <c r="D202" s="326"/>
      <c r="E202" s="326"/>
      <c r="F202" s="326"/>
      <c r="G202" s="326"/>
      <c r="H202" s="326"/>
      <c r="I202" s="326"/>
      <c r="J202" s="326"/>
      <c r="K202" s="326"/>
      <c r="L202" s="326"/>
      <c r="M202" s="326"/>
      <c r="N202" s="326"/>
      <c r="O202" s="326"/>
      <c r="P202" s="326"/>
      <c r="Q202" s="326"/>
      <c r="R202" s="326"/>
      <c r="S202" s="326"/>
      <c r="T202" s="326"/>
      <c r="U202" s="326"/>
      <c r="V202" s="326"/>
      <c r="W202" s="326"/>
      <c r="X202" s="326"/>
      <c r="Y202" s="326"/>
      <c r="Z202" s="326"/>
      <c r="AA202" s="326"/>
      <c r="AB202" s="326"/>
      <c r="AC202" s="326"/>
      <c r="AD202" s="326"/>
    </row>
    <row r="203">
      <c r="A203" s="326"/>
      <c r="B203" s="326"/>
      <c r="C203" s="326"/>
      <c r="D203" s="326"/>
      <c r="E203" s="326"/>
      <c r="F203" s="326"/>
      <c r="G203" s="326"/>
      <c r="H203" s="326"/>
      <c r="I203" s="326"/>
      <c r="J203" s="326"/>
      <c r="K203" s="326"/>
      <c r="L203" s="326"/>
      <c r="M203" s="326"/>
      <c r="N203" s="326"/>
      <c r="O203" s="326"/>
      <c r="P203" s="326"/>
      <c r="Q203" s="326"/>
      <c r="R203" s="326"/>
      <c r="S203" s="326"/>
      <c r="T203" s="326"/>
      <c r="U203" s="326"/>
      <c r="V203" s="326"/>
      <c r="W203" s="326"/>
      <c r="X203" s="326"/>
      <c r="Y203" s="326"/>
      <c r="Z203" s="326"/>
      <c r="AA203" s="326"/>
      <c r="AB203" s="326"/>
      <c r="AC203" s="326"/>
      <c r="AD203" s="326"/>
    </row>
    <row r="204">
      <c r="A204" s="326"/>
      <c r="B204" s="326"/>
      <c r="C204" s="326"/>
      <c r="D204" s="326"/>
      <c r="E204" s="326"/>
      <c r="F204" s="326"/>
      <c r="G204" s="326"/>
      <c r="H204" s="326"/>
      <c r="I204" s="326"/>
      <c r="J204" s="326"/>
      <c r="K204" s="326"/>
      <c r="L204" s="326"/>
      <c r="M204" s="326"/>
      <c r="N204" s="326"/>
      <c r="O204" s="326"/>
      <c r="P204" s="326"/>
      <c r="Q204" s="326"/>
      <c r="R204" s="326"/>
      <c r="S204" s="326"/>
      <c r="T204" s="326"/>
      <c r="U204" s="326"/>
      <c r="V204" s="326"/>
      <c r="W204" s="326"/>
      <c r="X204" s="326"/>
      <c r="Y204" s="326"/>
      <c r="Z204" s="326"/>
      <c r="AA204" s="326"/>
      <c r="AB204" s="326"/>
      <c r="AC204" s="326"/>
      <c r="AD204" s="326"/>
    </row>
    <row r="205">
      <c r="A205" s="326"/>
      <c r="B205" s="326"/>
      <c r="C205" s="326"/>
      <c r="D205" s="326"/>
      <c r="E205" s="326"/>
      <c r="F205" s="326"/>
      <c r="G205" s="326"/>
      <c r="H205" s="326"/>
      <c r="I205" s="326"/>
      <c r="J205" s="326"/>
      <c r="K205" s="326"/>
      <c r="L205" s="326"/>
      <c r="M205" s="326"/>
      <c r="N205" s="326"/>
      <c r="O205" s="326"/>
      <c r="P205" s="326"/>
      <c r="Q205" s="326"/>
      <c r="R205" s="326"/>
      <c r="S205" s="326"/>
      <c r="T205" s="326"/>
      <c r="U205" s="326"/>
      <c r="V205" s="326"/>
      <c r="W205" s="326"/>
      <c r="X205" s="326"/>
      <c r="Y205" s="326"/>
      <c r="Z205" s="326"/>
      <c r="AA205" s="326"/>
      <c r="AB205" s="326"/>
      <c r="AC205" s="326"/>
      <c r="AD205" s="326"/>
    </row>
    <row r="206">
      <c r="A206" s="326"/>
      <c r="B206" s="326"/>
      <c r="C206" s="326"/>
      <c r="D206" s="326"/>
      <c r="E206" s="326"/>
      <c r="F206" s="326"/>
      <c r="G206" s="326"/>
      <c r="H206" s="326"/>
      <c r="I206" s="326"/>
      <c r="J206" s="326"/>
      <c r="K206" s="326"/>
      <c r="L206" s="326"/>
      <c r="M206" s="326"/>
      <c r="N206" s="326"/>
      <c r="O206" s="326"/>
      <c r="P206" s="326"/>
      <c r="Q206" s="326"/>
      <c r="R206" s="326"/>
      <c r="S206" s="326"/>
      <c r="T206" s="326"/>
      <c r="U206" s="326"/>
      <c r="V206" s="326"/>
      <c r="W206" s="326"/>
      <c r="X206" s="326"/>
      <c r="Y206" s="326"/>
      <c r="Z206" s="326"/>
      <c r="AA206" s="326"/>
      <c r="AB206" s="326"/>
      <c r="AC206" s="326"/>
      <c r="AD206" s="326"/>
    </row>
    <row r="207">
      <c r="A207" s="326"/>
      <c r="B207" s="326"/>
      <c r="C207" s="326"/>
      <c r="D207" s="326"/>
      <c r="E207" s="326"/>
      <c r="F207" s="326"/>
      <c r="G207" s="326"/>
      <c r="H207" s="326"/>
      <c r="I207" s="326"/>
      <c r="J207" s="326"/>
      <c r="K207" s="326"/>
      <c r="L207" s="326"/>
      <c r="M207" s="326"/>
      <c r="N207" s="326"/>
      <c r="O207" s="326"/>
      <c r="P207" s="326"/>
      <c r="Q207" s="326"/>
      <c r="R207" s="326"/>
      <c r="S207" s="326"/>
      <c r="T207" s="326"/>
      <c r="U207" s="326"/>
      <c r="V207" s="326"/>
      <c r="W207" s="326"/>
      <c r="X207" s="326"/>
      <c r="Y207" s="326"/>
      <c r="Z207" s="326"/>
      <c r="AA207" s="326"/>
      <c r="AB207" s="326"/>
      <c r="AC207" s="326"/>
      <c r="AD207" s="326"/>
    </row>
    <row r="208">
      <c r="A208" s="326"/>
      <c r="B208" s="326"/>
      <c r="C208" s="326"/>
      <c r="D208" s="326"/>
      <c r="E208" s="326"/>
      <c r="F208" s="326"/>
      <c r="G208" s="326"/>
      <c r="H208" s="326"/>
      <c r="I208" s="326"/>
      <c r="J208" s="326"/>
      <c r="K208" s="326"/>
      <c r="L208" s="326"/>
      <c r="M208" s="326"/>
      <c r="N208" s="326"/>
      <c r="O208" s="326"/>
      <c r="P208" s="326"/>
      <c r="Q208" s="326"/>
      <c r="R208" s="326"/>
      <c r="S208" s="326"/>
      <c r="T208" s="326"/>
      <c r="U208" s="326"/>
      <c r="V208" s="326"/>
      <c r="W208" s="326"/>
      <c r="X208" s="326"/>
      <c r="Y208" s="326"/>
      <c r="Z208" s="326"/>
      <c r="AA208" s="326"/>
      <c r="AB208" s="326"/>
      <c r="AC208" s="326"/>
      <c r="AD208" s="326"/>
    </row>
    <row r="209">
      <c r="A209" s="326"/>
      <c r="B209" s="326"/>
      <c r="C209" s="326"/>
      <c r="D209" s="326"/>
      <c r="E209" s="326"/>
      <c r="F209" s="326"/>
      <c r="G209" s="326"/>
      <c r="H209" s="326"/>
      <c r="I209" s="326"/>
      <c r="J209" s="326"/>
      <c r="K209" s="326"/>
      <c r="L209" s="326"/>
      <c r="M209" s="326"/>
      <c r="N209" s="326"/>
      <c r="O209" s="326"/>
      <c r="P209" s="326"/>
      <c r="Q209" s="326"/>
      <c r="R209" s="326"/>
      <c r="S209" s="326"/>
      <c r="T209" s="326"/>
      <c r="U209" s="326"/>
      <c r="V209" s="326"/>
      <c r="W209" s="326"/>
      <c r="X209" s="326"/>
      <c r="Y209" s="326"/>
      <c r="Z209" s="326"/>
      <c r="AA209" s="326"/>
      <c r="AB209" s="326"/>
      <c r="AC209" s="326"/>
      <c r="AD209" s="326"/>
    </row>
    <row r="210">
      <c r="A210" s="326"/>
      <c r="B210" s="326"/>
      <c r="C210" s="326"/>
      <c r="D210" s="326"/>
      <c r="E210" s="326"/>
      <c r="F210" s="326"/>
      <c r="G210" s="326"/>
      <c r="H210" s="326"/>
      <c r="I210" s="326"/>
      <c r="J210" s="326"/>
      <c r="K210" s="326"/>
      <c r="L210" s="326"/>
      <c r="M210" s="326"/>
      <c r="N210" s="326"/>
      <c r="O210" s="326"/>
      <c r="P210" s="326"/>
      <c r="Q210" s="326"/>
      <c r="R210" s="326"/>
      <c r="S210" s="326"/>
      <c r="T210" s="326"/>
      <c r="U210" s="326"/>
      <c r="V210" s="326"/>
      <c r="W210" s="326"/>
      <c r="X210" s="326"/>
      <c r="Y210" s="326"/>
      <c r="Z210" s="326"/>
      <c r="AA210" s="326"/>
      <c r="AB210" s="326"/>
      <c r="AC210" s="326"/>
      <c r="AD210" s="326"/>
    </row>
    <row r="211">
      <c r="A211" s="326"/>
      <c r="B211" s="326"/>
      <c r="C211" s="326"/>
      <c r="D211" s="326"/>
      <c r="E211" s="326"/>
      <c r="F211" s="326"/>
      <c r="G211" s="326"/>
      <c r="H211" s="326"/>
      <c r="I211" s="326"/>
      <c r="J211" s="326"/>
      <c r="K211" s="326"/>
      <c r="L211" s="326"/>
      <c r="M211" s="326"/>
      <c r="N211" s="326"/>
      <c r="O211" s="326"/>
      <c r="P211" s="326"/>
      <c r="Q211" s="326"/>
      <c r="R211" s="326"/>
      <c r="S211" s="326"/>
      <c r="T211" s="326"/>
      <c r="U211" s="326"/>
      <c r="V211" s="326"/>
      <c r="W211" s="326"/>
      <c r="X211" s="326"/>
      <c r="Y211" s="326"/>
      <c r="Z211" s="326"/>
      <c r="AA211" s="326"/>
      <c r="AB211" s="326"/>
      <c r="AC211" s="326"/>
      <c r="AD211" s="326"/>
    </row>
    <row r="212">
      <c r="A212" s="326"/>
      <c r="B212" s="326"/>
      <c r="C212" s="326"/>
      <c r="D212" s="326"/>
      <c r="E212" s="326"/>
      <c r="F212" s="326"/>
      <c r="G212" s="326"/>
      <c r="H212" s="326"/>
      <c r="I212" s="326"/>
      <c r="J212" s="326"/>
      <c r="K212" s="326"/>
      <c r="L212" s="326"/>
      <c r="M212" s="326"/>
      <c r="N212" s="326"/>
      <c r="O212" s="326"/>
      <c r="P212" s="326"/>
      <c r="Q212" s="326"/>
      <c r="R212" s="326"/>
      <c r="S212" s="326"/>
      <c r="T212" s="326"/>
      <c r="U212" s="326"/>
      <c r="V212" s="326"/>
      <c r="W212" s="326"/>
      <c r="X212" s="326"/>
      <c r="Y212" s="326"/>
      <c r="Z212" s="326"/>
      <c r="AA212" s="326"/>
      <c r="AB212" s="326"/>
      <c r="AC212" s="326"/>
      <c r="AD212" s="326"/>
    </row>
    <row r="213">
      <c r="A213" s="326"/>
      <c r="B213" s="326"/>
      <c r="C213" s="326"/>
      <c r="D213" s="326"/>
      <c r="E213" s="326"/>
      <c r="F213" s="326"/>
      <c r="G213" s="326"/>
      <c r="H213" s="326"/>
      <c r="I213" s="326"/>
      <c r="J213" s="326"/>
      <c r="K213" s="326"/>
      <c r="L213" s="326"/>
      <c r="M213" s="326"/>
      <c r="N213" s="326"/>
      <c r="O213" s="326"/>
      <c r="P213" s="326"/>
      <c r="Q213" s="326"/>
      <c r="R213" s="326"/>
      <c r="S213" s="326"/>
      <c r="T213" s="326"/>
      <c r="U213" s="326"/>
      <c r="V213" s="326"/>
      <c r="W213" s="326"/>
      <c r="X213" s="326"/>
      <c r="Y213" s="326"/>
      <c r="Z213" s="326"/>
      <c r="AA213" s="326"/>
      <c r="AB213" s="326"/>
      <c r="AC213" s="326"/>
      <c r="AD213" s="326"/>
    </row>
    <row r="214">
      <c r="A214" s="326"/>
      <c r="B214" s="326"/>
      <c r="C214" s="326"/>
      <c r="D214" s="326"/>
      <c r="E214" s="326"/>
      <c r="F214" s="326"/>
      <c r="G214" s="326"/>
      <c r="H214" s="326"/>
      <c r="I214" s="326"/>
      <c r="J214" s="326"/>
      <c r="K214" s="326"/>
      <c r="L214" s="326"/>
      <c r="M214" s="326"/>
      <c r="N214" s="326"/>
      <c r="O214" s="326"/>
      <c r="P214" s="326"/>
      <c r="Q214" s="326"/>
      <c r="R214" s="326"/>
      <c r="S214" s="326"/>
      <c r="T214" s="326"/>
      <c r="U214" s="326"/>
      <c r="V214" s="326"/>
      <c r="W214" s="326"/>
      <c r="X214" s="326"/>
      <c r="Y214" s="326"/>
      <c r="Z214" s="326"/>
      <c r="AA214" s="326"/>
      <c r="AB214" s="326"/>
      <c r="AC214" s="326"/>
      <c r="AD214" s="326"/>
    </row>
    <row r="215">
      <c r="A215" s="326"/>
      <c r="B215" s="326"/>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c r="AA215" s="326"/>
      <c r="AB215" s="326"/>
      <c r="AC215" s="326"/>
      <c r="AD215" s="326"/>
    </row>
    <row r="216">
      <c r="A216" s="326"/>
      <c r="B216" s="326"/>
      <c r="C216" s="326"/>
      <c r="D216" s="326"/>
      <c r="E216" s="326"/>
      <c r="F216" s="326"/>
      <c r="G216" s="326"/>
      <c r="H216" s="326"/>
      <c r="I216" s="326"/>
      <c r="J216" s="326"/>
      <c r="K216" s="326"/>
      <c r="L216" s="326"/>
      <c r="M216" s="326"/>
      <c r="N216" s="326"/>
      <c r="O216" s="326"/>
      <c r="P216" s="326"/>
      <c r="Q216" s="326"/>
      <c r="R216" s="326"/>
      <c r="S216" s="326"/>
      <c r="T216" s="326"/>
      <c r="U216" s="326"/>
      <c r="V216" s="326"/>
      <c r="W216" s="326"/>
      <c r="X216" s="326"/>
      <c r="Y216" s="326"/>
      <c r="Z216" s="326"/>
      <c r="AA216" s="326"/>
      <c r="AB216" s="326"/>
      <c r="AC216" s="326"/>
      <c r="AD216" s="326"/>
    </row>
    <row r="217">
      <c r="A217" s="326"/>
      <c r="B217" s="326"/>
      <c r="C217" s="326"/>
      <c r="D217" s="326"/>
      <c r="E217" s="326"/>
      <c r="F217" s="326"/>
      <c r="G217" s="326"/>
      <c r="H217" s="326"/>
      <c r="I217" s="326"/>
      <c r="J217" s="326"/>
      <c r="K217" s="326"/>
      <c r="L217" s="326"/>
      <c r="M217" s="326"/>
      <c r="N217" s="326"/>
      <c r="O217" s="326"/>
      <c r="P217" s="326"/>
      <c r="Q217" s="326"/>
      <c r="R217" s="326"/>
      <c r="S217" s="326"/>
      <c r="T217" s="326"/>
      <c r="U217" s="326"/>
      <c r="V217" s="326"/>
      <c r="W217" s="326"/>
      <c r="X217" s="326"/>
      <c r="Y217" s="326"/>
      <c r="Z217" s="326"/>
      <c r="AA217" s="326"/>
      <c r="AB217" s="326"/>
      <c r="AC217" s="326"/>
      <c r="AD217" s="326"/>
    </row>
    <row r="218">
      <c r="A218" s="326"/>
      <c r="B218" s="326"/>
      <c r="C218" s="326"/>
      <c r="D218" s="326"/>
      <c r="E218" s="326"/>
      <c r="F218" s="326"/>
      <c r="G218" s="326"/>
      <c r="H218" s="326"/>
      <c r="I218" s="326"/>
      <c r="J218" s="326"/>
      <c r="K218" s="326"/>
      <c r="L218" s="326"/>
      <c r="M218" s="326"/>
      <c r="N218" s="326"/>
      <c r="O218" s="326"/>
      <c r="P218" s="326"/>
      <c r="Q218" s="326"/>
      <c r="R218" s="326"/>
      <c r="S218" s="326"/>
      <c r="T218" s="326"/>
      <c r="U218" s="326"/>
      <c r="V218" s="326"/>
      <c r="W218" s="326"/>
      <c r="X218" s="326"/>
      <c r="Y218" s="326"/>
      <c r="Z218" s="326"/>
      <c r="AA218" s="326"/>
      <c r="AB218" s="326"/>
      <c r="AC218" s="326"/>
      <c r="AD218" s="326"/>
    </row>
    <row r="219">
      <c r="A219" s="326"/>
      <c r="B219" s="326"/>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c r="AA219" s="326"/>
      <c r="AB219" s="326"/>
      <c r="AC219" s="326"/>
      <c r="AD219" s="326"/>
    </row>
    <row r="220">
      <c r="A220" s="326"/>
      <c r="B220" s="326"/>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c r="AA220" s="326"/>
      <c r="AB220" s="326"/>
      <c r="AC220" s="326"/>
      <c r="AD220" s="326"/>
    </row>
    <row r="221">
      <c r="A221" s="326"/>
      <c r="B221" s="326"/>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c r="AA221" s="326"/>
      <c r="AB221" s="326"/>
      <c r="AC221" s="326"/>
      <c r="AD221" s="326"/>
    </row>
    <row r="222">
      <c r="A222" s="326"/>
      <c r="B222" s="326"/>
      <c r="C222" s="326"/>
      <c r="D222" s="326"/>
      <c r="E222" s="326"/>
      <c r="F222" s="326"/>
      <c r="G222" s="326"/>
      <c r="H222" s="326"/>
      <c r="I222" s="326"/>
      <c r="J222" s="326"/>
      <c r="K222" s="326"/>
      <c r="L222" s="326"/>
      <c r="M222" s="326"/>
      <c r="N222" s="326"/>
      <c r="O222" s="326"/>
      <c r="P222" s="326"/>
      <c r="Q222" s="326"/>
      <c r="R222" s="326"/>
      <c r="S222" s="326"/>
      <c r="T222" s="326"/>
      <c r="U222" s="326"/>
      <c r="V222" s="326"/>
      <c r="W222" s="326"/>
      <c r="X222" s="326"/>
      <c r="Y222" s="326"/>
      <c r="Z222" s="326"/>
      <c r="AA222" s="326"/>
      <c r="AB222" s="326"/>
      <c r="AC222" s="326"/>
      <c r="AD222" s="326"/>
    </row>
    <row r="223">
      <c r="A223" s="326"/>
      <c r="B223" s="326"/>
      <c r="C223" s="326"/>
      <c r="D223" s="326"/>
      <c r="E223" s="326"/>
      <c r="F223" s="326"/>
      <c r="G223" s="326"/>
      <c r="H223" s="326"/>
      <c r="I223" s="326"/>
      <c r="J223" s="326"/>
      <c r="K223" s="326"/>
      <c r="L223" s="326"/>
      <c r="M223" s="326"/>
      <c r="N223" s="326"/>
      <c r="O223" s="326"/>
      <c r="P223" s="326"/>
      <c r="Q223" s="326"/>
      <c r="R223" s="326"/>
      <c r="S223" s="326"/>
      <c r="T223" s="326"/>
      <c r="U223" s="326"/>
      <c r="V223" s="326"/>
      <c r="W223" s="326"/>
      <c r="X223" s="326"/>
      <c r="Y223" s="326"/>
      <c r="Z223" s="326"/>
      <c r="AA223" s="326"/>
      <c r="AB223" s="326"/>
      <c r="AC223" s="326"/>
      <c r="AD223" s="326"/>
    </row>
    <row r="224">
      <c r="A224" s="326"/>
      <c r="B224" s="326"/>
      <c r="C224" s="326"/>
      <c r="D224" s="326"/>
      <c r="E224" s="326"/>
      <c r="F224" s="326"/>
      <c r="G224" s="326"/>
      <c r="H224" s="326"/>
      <c r="I224" s="326"/>
      <c r="J224" s="326"/>
      <c r="K224" s="326"/>
      <c r="L224" s="326"/>
      <c r="M224" s="326"/>
      <c r="N224" s="326"/>
      <c r="O224" s="326"/>
      <c r="P224" s="326"/>
      <c r="Q224" s="326"/>
      <c r="R224" s="326"/>
      <c r="S224" s="326"/>
      <c r="T224" s="326"/>
      <c r="U224" s="326"/>
      <c r="V224" s="326"/>
      <c r="W224" s="326"/>
      <c r="X224" s="326"/>
      <c r="Y224" s="326"/>
      <c r="Z224" s="326"/>
      <c r="AA224" s="326"/>
      <c r="AB224" s="326"/>
      <c r="AC224" s="326"/>
      <c r="AD224" s="326"/>
    </row>
    <row r="225">
      <c r="A225" s="326"/>
      <c r="B225" s="326"/>
      <c r="C225" s="326"/>
      <c r="D225" s="326"/>
      <c r="E225" s="326"/>
      <c r="F225" s="326"/>
      <c r="G225" s="326"/>
      <c r="H225" s="326"/>
      <c r="I225" s="326"/>
      <c r="J225" s="326"/>
      <c r="K225" s="326"/>
      <c r="L225" s="326"/>
      <c r="M225" s="326"/>
      <c r="N225" s="326"/>
      <c r="O225" s="326"/>
      <c r="P225" s="326"/>
      <c r="Q225" s="326"/>
      <c r="R225" s="326"/>
      <c r="S225" s="326"/>
      <c r="T225" s="326"/>
      <c r="U225" s="326"/>
      <c r="V225" s="326"/>
      <c r="W225" s="326"/>
      <c r="X225" s="326"/>
      <c r="Y225" s="326"/>
      <c r="Z225" s="326"/>
      <c r="AA225" s="326"/>
      <c r="AB225" s="326"/>
      <c r="AC225" s="326"/>
      <c r="AD225" s="326"/>
    </row>
    <row r="226">
      <c r="A226" s="326"/>
      <c r="B226" s="326"/>
      <c r="C226" s="326"/>
      <c r="D226" s="326"/>
      <c r="E226" s="326"/>
      <c r="F226" s="326"/>
      <c r="G226" s="326"/>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row>
    <row r="227">
      <c r="A227" s="326"/>
      <c r="B227" s="326"/>
      <c r="C227" s="326"/>
      <c r="D227" s="326"/>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row>
    <row r="228">
      <c r="A228" s="326"/>
      <c r="B228" s="326"/>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c r="AA228" s="326"/>
      <c r="AB228" s="326"/>
      <c r="AC228" s="326"/>
      <c r="AD228" s="326"/>
    </row>
    <row r="229">
      <c r="A229" s="326"/>
      <c r="B229" s="326"/>
      <c r="C229" s="326"/>
      <c r="D229" s="326"/>
      <c r="E229" s="326"/>
      <c r="F229" s="326"/>
      <c r="G229" s="326"/>
      <c r="H229" s="326"/>
      <c r="I229" s="326"/>
      <c r="J229" s="326"/>
      <c r="K229" s="326"/>
      <c r="L229" s="326"/>
      <c r="M229" s="326"/>
      <c r="N229" s="326"/>
      <c r="O229" s="326"/>
      <c r="P229" s="326"/>
      <c r="Q229" s="326"/>
      <c r="R229" s="326"/>
      <c r="S229" s="326"/>
      <c r="T229" s="326"/>
      <c r="U229" s="326"/>
      <c r="V229" s="326"/>
      <c r="W229" s="326"/>
      <c r="X229" s="326"/>
      <c r="Y229" s="326"/>
      <c r="Z229" s="326"/>
      <c r="AA229" s="326"/>
      <c r="AB229" s="326"/>
      <c r="AC229" s="326"/>
      <c r="AD229" s="326"/>
    </row>
    <row r="230">
      <c r="A230" s="326"/>
      <c r="B230" s="326"/>
      <c r="C230" s="326"/>
      <c r="D230" s="326"/>
      <c r="E230" s="326"/>
      <c r="F230" s="326"/>
      <c r="G230" s="326"/>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row>
    <row r="231">
      <c r="A231" s="326"/>
      <c r="B231" s="326"/>
      <c r="C231" s="326"/>
      <c r="D231" s="326"/>
      <c r="E231" s="326"/>
      <c r="F231" s="326"/>
      <c r="G231" s="326"/>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row>
    <row r="232">
      <c r="A232" s="326"/>
      <c r="B232" s="326"/>
      <c r="C232" s="326"/>
      <c r="D232" s="326"/>
      <c r="E232" s="326"/>
      <c r="F232" s="326"/>
      <c r="G232" s="326"/>
      <c r="H232" s="326"/>
      <c r="I232" s="326"/>
      <c r="J232" s="326"/>
      <c r="K232" s="326"/>
      <c r="L232" s="326"/>
      <c r="M232" s="326"/>
      <c r="N232" s="326"/>
      <c r="O232" s="326"/>
      <c r="P232" s="326"/>
      <c r="Q232" s="326"/>
      <c r="R232" s="326"/>
      <c r="S232" s="326"/>
      <c r="T232" s="326"/>
      <c r="U232" s="326"/>
      <c r="V232" s="326"/>
      <c r="W232" s="326"/>
      <c r="X232" s="326"/>
      <c r="Y232" s="326"/>
      <c r="Z232" s="326"/>
      <c r="AA232" s="326"/>
      <c r="AB232" s="326"/>
      <c r="AC232" s="326"/>
      <c r="AD232" s="326"/>
    </row>
    <row r="233">
      <c r="A233" s="326"/>
      <c r="B233" s="326"/>
      <c r="C233" s="326"/>
      <c r="D233" s="326"/>
      <c r="E233" s="326"/>
      <c r="F233" s="326"/>
      <c r="G233" s="326"/>
      <c r="H233" s="326"/>
      <c r="I233" s="326"/>
      <c r="J233" s="326"/>
      <c r="K233" s="326"/>
      <c r="L233" s="326"/>
      <c r="M233" s="326"/>
      <c r="N233" s="326"/>
      <c r="O233" s="326"/>
      <c r="P233" s="326"/>
      <c r="Q233" s="326"/>
      <c r="R233" s="326"/>
      <c r="S233" s="326"/>
      <c r="T233" s="326"/>
      <c r="U233" s="326"/>
      <c r="V233" s="326"/>
      <c r="W233" s="326"/>
      <c r="X233" s="326"/>
      <c r="Y233" s="326"/>
      <c r="Z233" s="326"/>
      <c r="AA233" s="326"/>
      <c r="AB233" s="326"/>
      <c r="AC233" s="326"/>
      <c r="AD233" s="326"/>
    </row>
    <row r="234">
      <c r="A234" s="326"/>
      <c r="B234" s="326"/>
      <c r="C234" s="326"/>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row>
    <row r="235">
      <c r="A235" s="326"/>
      <c r="B235" s="326"/>
      <c r="C235" s="326"/>
      <c r="D235" s="326"/>
      <c r="E235" s="326"/>
      <c r="F235" s="326"/>
      <c r="G235" s="326"/>
      <c r="H235" s="326"/>
      <c r="I235" s="326"/>
      <c r="J235" s="326"/>
      <c r="K235" s="326"/>
      <c r="L235" s="326"/>
      <c r="M235" s="326"/>
      <c r="N235" s="326"/>
      <c r="O235" s="326"/>
      <c r="P235" s="326"/>
      <c r="Q235" s="326"/>
      <c r="R235" s="326"/>
      <c r="S235" s="326"/>
      <c r="T235" s="326"/>
      <c r="U235" s="326"/>
      <c r="V235" s="326"/>
      <c r="W235" s="326"/>
      <c r="X235" s="326"/>
      <c r="Y235" s="326"/>
      <c r="Z235" s="326"/>
      <c r="AA235" s="326"/>
      <c r="AB235" s="326"/>
      <c r="AC235" s="326"/>
      <c r="AD235" s="326"/>
    </row>
    <row r="236">
      <c r="A236" s="326"/>
      <c r="B236" s="326"/>
      <c r="C236" s="326"/>
      <c r="D236" s="326"/>
      <c r="E236" s="326"/>
      <c r="F236" s="326"/>
      <c r="G236" s="326"/>
      <c r="H236" s="326"/>
      <c r="I236" s="326"/>
      <c r="J236" s="326"/>
      <c r="K236" s="326"/>
      <c r="L236" s="326"/>
      <c r="M236" s="326"/>
      <c r="N236" s="326"/>
      <c r="O236" s="326"/>
      <c r="P236" s="326"/>
      <c r="Q236" s="326"/>
      <c r="R236" s="326"/>
      <c r="S236" s="326"/>
      <c r="T236" s="326"/>
      <c r="U236" s="326"/>
      <c r="V236" s="326"/>
      <c r="W236" s="326"/>
      <c r="X236" s="326"/>
      <c r="Y236" s="326"/>
      <c r="Z236" s="326"/>
      <c r="AA236" s="326"/>
      <c r="AB236" s="326"/>
      <c r="AC236" s="326"/>
      <c r="AD236" s="326"/>
    </row>
    <row r="237">
      <c r="A237" s="326"/>
      <c r="B237" s="326"/>
      <c r="C237" s="326"/>
      <c r="D237" s="326"/>
      <c r="E237" s="326"/>
      <c r="F237" s="326"/>
      <c r="G237" s="326"/>
      <c r="H237" s="326"/>
      <c r="I237" s="326"/>
      <c r="J237" s="326"/>
      <c r="K237" s="326"/>
      <c r="L237" s="326"/>
      <c r="M237" s="326"/>
      <c r="N237" s="326"/>
      <c r="O237" s="326"/>
      <c r="P237" s="326"/>
      <c r="Q237" s="326"/>
      <c r="R237" s="326"/>
      <c r="S237" s="326"/>
      <c r="T237" s="326"/>
      <c r="U237" s="326"/>
      <c r="V237" s="326"/>
      <c r="W237" s="326"/>
      <c r="X237" s="326"/>
      <c r="Y237" s="326"/>
      <c r="Z237" s="326"/>
      <c r="AA237" s="326"/>
      <c r="AB237" s="326"/>
      <c r="AC237" s="326"/>
      <c r="AD237" s="326"/>
    </row>
    <row r="238">
      <c r="A238" s="326"/>
      <c r="B238" s="326"/>
      <c r="C238" s="326"/>
      <c r="D238" s="326"/>
      <c r="E238" s="326"/>
      <c r="F238" s="326"/>
      <c r="G238" s="326"/>
      <c r="H238" s="326"/>
      <c r="I238" s="326"/>
      <c r="J238" s="326"/>
      <c r="K238" s="326"/>
      <c r="L238" s="326"/>
      <c r="M238" s="326"/>
      <c r="N238" s="326"/>
      <c r="O238" s="326"/>
      <c r="P238" s="326"/>
      <c r="Q238" s="326"/>
      <c r="R238" s="326"/>
      <c r="S238" s="326"/>
      <c r="T238" s="326"/>
      <c r="U238" s="326"/>
      <c r="V238" s="326"/>
      <c r="W238" s="326"/>
      <c r="X238" s="326"/>
      <c r="Y238" s="326"/>
      <c r="Z238" s="326"/>
      <c r="AA238" s="326"/>
      <c r="AB238" s="326"/>
      <c r="AC238" s="326"/>
      <c r="AD238" s="326"/>
    </row>
    <row r="239">
      <c r="A239" s="326"/>
      <c r="B239" s="326"/>
      <c r="C239" s="326"/>
      <c r="D239" s="326"/>
      <c r="E239" s="326"/>
      <c r="F239" s="326"/>
      <c r="G239" s="326"/>
      <c r="H239" s="326"/>
      <c r="I239" s="326"/>
      <c r="J239" s="326"/>
      <c r="K239" s="326"/>
      <c r="L239" s="326"/>
      <c r="M239" s="326"/>
      <c r="N239" s="326"/>
      <c r="O239" s="326"/>
      <c r="P239" s="326"/>
      <c r="Q239" s="326"/>
      <c r="R239" s="326"/>
      <c r="S239" s="326"/>
      <c r="T239" s="326"/>
      <c r="U239" s="326"/>
      <c r="V239" s="326"/>
      <c r="W239" s="326"/>
      <c r="X239" s="326"/>
      <c r="Y239" s="326"/>
      <c r="Z239" s="326"/>
      <c r="AA239" s="326"/>
      <c r="AB239" s="326"/>
      <c r="AC239" s="326"/>
      <c r="AD239" s="326"/>
    </row>
    <row r="240">
      <c r="A240" s="326"/>
      <c r="B240" s="326"/>
      <c r="C240" s="326"/>
      <c r="D240" s="326"/>
      <c r="E240" s="326"/>
      <c r="F240" s="326"/>
      <c r="G240" s="326"/>
      <c r="H240" s="326"/>
      <c r="I240" s="326"/>
      <c r="J240" s="326"/>
      <c r="K240" s="326"/>
      <c r="L240" s="326"/>
      <c r="M240" s="326"/>
      <c r="N240" s="326"/>
      <c r="O240" s="326"/>
      <c r="P240" s="326"/>
      <c r="Q240" s="326"/>
      <c r="R240" s="326"/>
      <c r="S240" s="326"/>
      <c r="T240" s="326"/>
      <c r="U240" s="326"/>
      <c r="V240" s="326"/>
      <c r="W240" s="326"/>
      <c r="X240" s="326"/>
      <c r="Y240" s="326"/>
      <c r="Z240" s="326"/>
      <c r="AA240" s="326"/>
      <c r="AB240" s="326"/>
      <c r="AC240" s="326"/>
      <c r="AD240" s="326"/>
    </row>
    <row r="241">
      <c r="A241" s="326"/>
      <c r="B241" s="326"/>
      <c r="C241" s="326"/>
      <c r="D241" s="326"/>
      <c r="E241" s="326"/>
      <c r="F241" s="326"/>
      <c r="G241" s="326"/>
      <c r="H241" s="326"/>
      <c r="I241" s="326"/>
      <c r="J241" s="326"/>
      <c r="K241" s="326"/>
      <c r="L241" s="326"/>
      <c r="M241" s="326"/>
      <c r="N241" s="326"/>
      <c r="O241" s="326"/>
      <c r="P241" s="326"/>
      <c r="Q241" s="326"/>
      <c r="R241" s="326"/>
      <c r="S241" s="326"/>
      <c r="T241" s="326"/>
      <c r="U241" s="326"/>
      <c r="V241" s="326"/>
      <c r="W241" s="326"/>
      <c r="X241" s="326"/>
      <c r="Y241" s="326"/>
      <c r="Z241" s="326"/>
      <c r="AA241" s="326"/>
      <c r="AB241" s="326"/>
      <c r="AC241" s="326"/>
      <c r="AD241" s="326"/>
    </row>
    <row r="242">
      <c r="A242" s="326"/>
      <c r="B242" s="326"/>
      <c r="C242" s="326"/>
      <c r="D242" s="326"/>
      <c r="E242" s="326"/>
      <c r="F242" s="326"/>
      <c r="G242" s="326"/>
      <c r="H242" s="326"/>
      <c r="I242" s="326"/>
      <c r="J242" s="326"/>
      <c r="K242" s="326"/>
      <c r="L242" s="326"/>
      <c r="M242" s="326"/>
      <c r="N242" s="326"/>
      <c r="O242" s="326"/>
      <c r="P242" s="326"/>
      <c r="Q242" s="326"/>
      <c r="R242" s="326"/>
      <c r="S242" s="326"/>
      <c r="T242" s="326"/>
      <c r="U242" s="326"/>
      <c r="V242" s="326"/>
      <c r="W242" s="326"/>
      <c r="X242" s="326"/>
      <c r="Y242" s="326"/>
      <c r="Z242" s="326"/>
      <c r="AA242" s="326"/>
      <c r="AB242" s="326"/>
      <c r="AC242" s="326"/>
      <c r="AD242" s="326"/>
    </row>
    <row r="243">
      <c r="A243" s="326"/>
      <c r="B243" s="326"/>
      <c r="C243" s="326"/>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row>
    <row r="244">
      <c r="A244" s="326"/>
      <c r="B244" s="326"/>
      <c r="C244" s="326"/>
      <c r="D244" s="326"/>
      <c r="E244" s="326"/>
      <c r="F244" s="326"/>
      <c r="G244" s="326"/>
      <c r="H244" s="326"/>
      <c r="I244" s="326"/>
      <c r="J244" s="326"/>
      <c r="K244" s="326"/>
      <c r="L244" s="326"/>
      <c r="M244" s="326"/>
      <c r="N244" s="326"/>
      <c r="O244" s="326"/>
      <c r="P244" s="326"/>
      <c r="Q244" s="326"/>
      <c r="R244" s="326"/>
      <c r="S244" s="326"/>
      <c r="T244" s="326"/>
      <c r="U244" s="326"/>
      <c r="V244" s="326"/>
      <c r="W244" s="326"/>
      <c r="X244" s="326"/>
      <c r="Y244" s="326"/>
      <c r="Z244" s="326"/>
      <c r="AA244" s="326"/>
      <c r="AB244" s="326"/>
      <c r="AC244" s="326"/>
      <c r="AD244" s="326"/>
    </row>
    <row r="245">
      <c r="A245" s="326"/>
      <c r="B245" s="326"/>
      <c r="C245" s="326"/>
      <c r="D245" s="326"/>
      <c r="E245" s="326"/>
      <c r="F245" s="326"/>
      <c r="G245" s="326"/>
      <c r="H245" s="326"/>
      <c r="I245" s="326"/>
      <c r="J245" s="326"/>
      <c r="K245" s="326"/>
      <c r="L245" s="326"/>
      <c r="M245" s="326"/>
      <c r="N245" s="326"/>
      <c r="O245" s="326"/>
      <c r="P245" s="326"/>
      <c r="Q245" s="326"/>
      <c r="R245" s="326"/>
      <c r="S245" s="326"/>
      <c r="T245" s="326"/>
      <c r="U245" s="326"/>
      <c r="V245" s="326"/>
      <c r="W245" s="326"/>
      <c r="X245" s="326"/>
      <c r="Y245" s="326"/>
      <c r="Z245" s="326"/>
      <c r="AA245" s="326"/>
      <c r="AB245" s="326"/>
      <c r="AC245" s="326"/>
      <c r="AD245" s="326"/>
    </row>
    <row r="246">
      <c r="A246" s="326"/>
      <c r="B246" s="326"/>
      <c r="C246" s="326"/>
      <c r="D246" s="326"/>
      <c r="E246" s="326"/>
      <c r="F246" s="326"/>
      <c r="G246" s="326"/>
      <c r="H246" s="326"/>
      <c r="I246" s="326"/>
      <c r="J246" s="326"/>
      <c r="K246" s="326"/>
      <c r="L246" s="326"/>
      <c r="M246" s="326"/>
      <c r="N246" s="326"/>
      <c r="O246" s="326"/>
      <c r="P246" s="326"/>
      <c r="Q246" s="326"/>
      <c r="R246" s="326"/>
      <c r="S246" s="326"/>
      <c r="T246" s="326"/>
      <c r="U246" s="326"/>
      <c r="V246" s="326"/>
      <c r="W246" s="326"/>
      <c r="X246" s="326"/>
      <c r="Y246" s="326"/>
      <c r="Z246" s="326"/>
      <c r="AA246" s="326"/>
      <c r="AB246" s="326"/>
      <c r="AC246" s="326"/>
      <c r="AD246" s="326"/>
    </row>
    <row r="247">
      <c r="A247" s="326"/>
      <c r="B247" s="326"/>
      <c r="C247" s="326"/>
      <c r="D247" s="326"/>
      <c r="E247" s="326"/>
      <c r="F247" s="326"/>
      <c r="G247" s="326"/>
      <c r="H247" s="326"/>
      <c r="I247" s="326"/>
      <c r="J247" s="326"/>
      <c r="K247" s="326"/>
      <c r="L247" s="326"/>
      <c r="M247" s="326"/>
      <c r="N247" s="326"/>
      <c r="O247" s="326"/>
      <c r="P247" s="326"/>
      <c r="Q247" s="326"/>
      <c r="R247" s="326"/>
      <c r="S247" s="326"/>
      <c r="T247" s="326"/>
      <c r="U247" s="326"/>
      <c r="V247" s="326"/>
      <c r="W247" s="326"/>
      <c r="X247" s="326"/>
      <c r="Y247" s="326"/>
      <c r="Z247" s="326"/>
      <c r="AA247" s="326"/>
      <c r="AB247" s="326"/>
      <c r="AC247" s="326"/>
      <c r="AD247" s="326"/>
    </row>
    <row r="248">
      <c r="A248" s="326"/>
      <c r="B248" s="326"/>
      <c r="C248" s="326"/>
      <c r="D248" s="326"/>
      <c r="E248" s="326"/>
      <c r="F248" s="326"/>
      <c r="G248" s="326"/>
      <c r="H248" s="326"/>
      <c r="I248" s="326"/>
      <c r="J248" s="326"/>
      <c r="K248" s="326"/>
      <c r="L248" s="326"/>
      <c r="M248" s="326"/>
      <c r="N248" s="326"/>
      <c r="O248" s="326"/>
      <c r="P248" s="326"/>
      <c r="Q248" s="326"/>
      <c r="R248" s="326"/>
      <c r="S248" s="326"/>
      <c r="T248" s="326"/>
      <c r="U248" s="326"/>
      <c r="V248" s="326"/>
      <c r="W248" s="326"/>
      <c r="X248" s="326"/>
      <c r="Y248" s="326"/>
      <c r="Z248" s="326"/>
      <c r="AA248" s="326"/>
      <c r="AB248" s="326"/>
      <c r="AC248" s="326"/>
      <c r="AD248" s="326"/>
    </row>
    <row r="249">
      <c r="A249" s="326"/>
      <c r="B249" s="326"/>
      <c r="C249" s="326"/>
      <c r="D249" s="326"/>
      <c r="E249" s="326"/>
      <c r="F249" s="326"/>
      <c r="G249" s="326"/>
      <c r="H249" s="326"/>
      <c r="I249" s="326"/>
      <c r="J249" s="326"/>
      <c r="K249" s="326"/>
      <c r="L249" s="326"/>
      <c r="M249" s="326"/>
      <c r="N249" s="326"/>
      <c r="O249" s="326"/>
      <c r="P249" s="326"/>
      <c r="Q249" s="326"/>
      <c r="R249" s="326"/>
      <c r="S249" s="326"/>
      <c r="T249" s="326"/>
      <c r="U249" s="326"/>
      <c r="V249" s="326"/>
      <c r="W249" s="326"/>
      <c r="X249" s="326"/>
      <c r="Y249" s="326"/>
      <c r="Z249" s="326"/>
      <c r="AA249" s="326"/>
      <c r="AB249" s="326"/>
      <c r="AC249" s="326"/>
      <c r="AD249" s="326"/>
    </row>
    <row r="250">
      <c r="A250" s="326"/>
      <c r="B250" s="326"/>
      <c r="C250" s="326"/>
      <c r="D250" s="326"/>
      <c r="E250" s="326"/>
      <c r="F250" s="326"/>
      <c r="G250" s="326"/>
      <c r="H250" s="326"/>
      <c r="I250" s="326"/>
      <c r="J250" s="326"/>
      <c r="K250" s="326"/>
      <c r="L250" s="326"/>
      <c r="M250" s="326"/>
      <c r="N250" s="326"/>
      <c r="O250" s="326"/>
      <c r="P250" s="326"/>
      <c r="Q250" s="326"/>
      <c r="R250" s="326"/>
      <c r="S250" s="326"/>
      <c r="T250" s="326"/>
      <c r="U250" s="326"/>
      <c r="V250" s="326"/>
      <c r="W250" s="326"/>
      <c r="X250" s="326"/>
      <c r="Y250" s="326"/>
      <c r="Z250" s="326"/>
      <c r="AA250" s="326"/>
      <c r="AB250" s="326"/>
      <c r="AC250" s="326"/>
      <c r="AD250" s="326"/>
    </row>
    <row r="251">
      <c r="A251" s="326"/>
      <c r="B251" s="326"/>
      <c r="C251" s="326"/>
      <c r="D251" s="326"/>
      <c r="E251" s="326"/>
      <c r="F251" s="326"/>
      <c r="G251" s="326"/>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row>
    <row r="252">
      <c r="A252" s="326"/>
      <c r="B252" s="326"/>
      <c r="C252" s="326"/>
      <c r="D252" s="326"/>
      <c r="E252" s="326"/>
      <c r="F252" s="326"/>
      <c r="G252" s="326"/>
      <c r="H252" s="326"/>
      <c r="I252" s="326"/>
      <c r="J252" s="326"/>
      <c r="K252" s="326"/>
      <c r="L252" s="326"/>
      <c r="M252" s="326"/>
      <c r="N252" s="326"/>
      <c r="O252" s="326"/>
      <c r="P252" s="326"/>
      <c r="Q252" s="326"/>
      <c r="R252" s="326"/>
      <c r="S252" s="326"/>
      <c r="T252" s="326"/>
      <c r="U252" s="326"/>
      <c r="V252" s="326"/>
      <c r="W252" s="326"/>
      <c r="X252" s="326"/>
      <c r="Y252" s="326"/>
      <c r="Z252" s="326"/>
      <c r="AA252" s="326"/>
      <c r="AB252" s="326"/>
      <c r="AC252" s="326"/>
      <c r="AD252" s="326"/>
    </row>
    <row r="253">
      <c r="A253" s="326"/>
      <c r="B253" s="326"/>
      <c r="C253" s="326"/>
      <c r="D253" s="326"/>
      <c r="E253" s="326"/>
      <c r="F253" s="326"/>
      <c r="G253" s="326"/>
      <c r="H253" s="326"/>
      <c r="I253" s="326"/>
      <c r="J253" s="326"/>
      <c r="K253" s="326"/>
      <c r="L253" s="326"/>
      <c r="M253" s="326"/>
      <c r="N253" s="326"/>
      <c r="O253" s="326"/>
      <c r="P253" s="326"/>
      <c r="Q253" s="326"/>
      <c r="R253" s="326"/>
      <c r="S253" s="326"/>
      <c r="T253" s="326"/>
      <c r="U253" s="326"/>
      <c r="V253" s="326"/>
      <c r="W253" s="326"/>
      <c r="X253" s="326"/>
      <c r="Y253" s="326"/>
      <c r="Z253" s="326"/>
      <c r="AA253" s="326"/>
      <c r="AB253" s="326"/>
      <c r="AC253" s="326"/>
      <c r="AD253" s="326"/>
    </row>
    <row r="254">
      <c r="A254" s="326"/>
      <c r="B254" s="326"/>
      <c r="C254" s="326"/>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26"/>
      <c r="Z254" s="326"/>
      <c r="AA254" s="326"/>
      <c r="AB254" s="326"/>
      <c r="AC254" s="326"/>
      <c r="AD254" s="326"/>
    </row>
    <row r="255">
      <c r="A255" s="326"/>
      <c r="B255" s="326"/>
      <c r="C255" s="326"/>
      <c r="D255" s="326"/>
      <c r="E255" s="326"/>
      <c r="F255" s="326"/>
      <c r="G255" s="326"/>
      <c r="H255" s="326"/>
      <c r="I255" s="326"/>
      <c r="J255" s="326"/>
      <c r="K255" s="326"/>
      <c r="L255" s="326"/>
      <c r="M255" s="326"/>
      <c r="N255" s="326"/>
      <c r="O255" s="326"/>
      <c r="P255" s="326"/>
      <c r="Q255" s="326"/>
      <c r="R255" s="326"/>
      <c r="S255" s="326"/>
      <c r="T255" s="326"/>
      <c r="U255" s="326"/>
      <c r="V255" s="326"/>
      <c r="W255" s="326"/>
      <c r="X255" s="326"/>
      <c r="Y255" s="326"/>
      <c r="Z255" s="326"/>
      <c r="AA255" s="326"/>
      <c r="AB255" s="326"/>
      <c r="AC255" s="326"/>
      <c r="AD255" s="326"/>
    </row>
    <row r="256">
      <c r="A256" s="326"/>
      <c r="B256" s="326"/>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c r="Z256" s="326"/>
      <c r="AA256" s="326"/>
      <c r="AB256" s="326"/>
      <c r="AC256" s="326"/>
      <c r="AD256" s="326"/>
    </row>
    <row r="257">
      <c r="A257" s="326"/>
      <c r="B257" s="326"/>
      <c r="C257" s="326"/>
      <c r="D257" s="326"/>
      <c r="E257" s="326"/>
      <c r="F257" s="326"/>
      <c r="G257" s="326"/>
      <c r="H257" s="326"/>
      <c r="I257" s="326"/>
      <c r="J257" s="326"/>
      <c r="K257" s="326"/>
      <c r="L257" s="326"/>
      <c r="M257" s="326"/>
      <c r="N257" s="326"/>
      <c r="O257" s="326"/>
      <c r="P257" s="326"/>
      <c r="Q257" s="326"/>
      <c r="R257" s="326"/>
      <c r="S257" s="326"/>
      <c r="T257" s="326"/>
      <c r="U257" s="326"/>
      <c r="V257" s="326"/>
      <c r="W257" s="326"/>
      <c r="X257" s="326"/>
      <c r="Y257" s="326"/>
      <c r="Z257" s="326"/>
      <c r="AA257" s="326"/>
      <c r="AB257" s="326"/>
      <c r="AC257" s="326"/>
      <c r="AD257" s="326"/>
    </row>
    <row r="258">
      <c r="A258" s="326"/>
      <c r="B258" s="326"/>
      <c r="C258" s="326"/>
      <c r="D258" s="326"/>
      <c r="E258" s="326"/>
      <c r="F258" s="326"/>
      <c r="G258" s="326"/>
      <c r="H258" s="326"/>
      <c r="I258" s="326"/>
      <c r="J258" s="326"/>
      <c r="K258" s="326"/>
      <c r="L258" s="326"/>
      <c r="M258" s="326"/>
      <c r="N258" s="326"/>
      <c r="O258" s="326"/>
      <c r="P258" s="326"/>
      <c r="Q258" s="326"/>
      <c r="R258" s="326"/>
      <c r="S258" s="326"/>
      <c r="T258" s="326"/>
      <c r="U258" s="326"/>
      <c r="V258" s="326"/>
      <c r="W258" s="326"/>
      <c r="X258" s="326"/>
      <c r="Y258" s="326"/>
      <c r="Z258" s="326"/>
      <c r="AA258" s="326"/>
      <c r="AB258" s="326"/>
      <c r="AC258" s="326"/>
      <c r="AD258" s="326"/>
    </row>
    <row r="259">
      <c r="A259" s="326"/>
      <c r="B259" s="326"/>
      <c r="C259" s="326"/>
      <c r="D259" s="326"/>
      <c r="E259" s="326"/>
      <c r="F259" s="326"/>
      <c r="G259" s="326"/>
      <c r="H259" s="326"/>
      <c r="I259" s="326"/>
      <c r="J259" s="326"/>
      <c r="K259" s="326"/>
      <c r="L259" s="326"/>
      <c r="M259" s="326"/>
      <c r="N259" s="326"/>
      <c r="O259" s="326"/>
      <c r="P259" s="326"/>
      <c r="Q259" s="326"/>
      <c r="R259" s="326"/>
      <c r="S259" s="326"/>
      <c r="T259" s="326"/>
      <c r="U259" s="326"/>
      <c r="V259" s="326"/>
      <c r="W259" s="326"/>
      <c r="X259" s="326"/>
      <c r="Y259" s="326"/>
      <c r="Z259" s="326"/>
      <c r="AA259" s="326"/>
      <c r="AB259" s="326"/>
      <c r="AC259" s="326"/>
      <c r="AD259" s="326"/>
    </row>
    <row r="260">
      <c r="A260" s="326"/>
      <c r="B260" s="326"/>
      <c r="C260" s="326"/>
      <c r="D260" s="326"/>
      <c r="E260" s="326"/>
      <c r="F260" s="326"/>
      <c r="G260" s="326"/>
      <c r="H260" s="326"/>
      <c r="I260" s="326"/>
      <c r="J260" s="326"/>
      <c r="K260" s="326"/>
      <c r="L260" s="326"/>
      <c r="M260" s="326"/>
      <c r="N260" s="326"/>
      <c r="O260" s="326"/>
      <c r="P260" s="326"/>
      <c r="Q260" s="326"/>
      <c r="R260" s="326"/>
      <c r="S260" s="326"/>
      <c r="T260" s="326"/>
      <c r="U260" s="326"/>
      <c r="V260" s="326"/>
      <c r="W260" s="326"/>
      <c r="X260" s="326"/>
      <c r="Y260" s="326"/>
      <c r="Z260" s="326"/>
      <c r="AA260" s="326"/>
      <c r="AB260" s="326"/>
      <c r="AC260" s="326"/>
      <c r="AD260" s="326"/>
    </row>
    <row r="261">
      <c r="A261" s="326"/>
      <c r="B261" s="326"/>
      <c r="C261" s="326"/>
      <c r="D261" s="326"/>
      <c r="E261" s="326"/>
      <c r="F261" s="326"/>
      <c r="G261" s="326"/>
      <c r="H261" s="326"/>
      <c r="I261" s="326"/>
      <c r="J261" s="326"/>
      <c r="K261" s="326"/>
      <c r="L261" s="326"/>
      <c r="M261" s="326"/>
      <c r="N261" s="326"/>
      <c r="O261" s="326"/>
      <c r="P261" s="326"/>
      <c r="Q261" s="326"/>
      <c r="R261" s="326"/>
      <c r="S261" s="326"/>
      <c r="T261" s="326"/>
      <c r="U261" s="326"/>
      <c r="V261" s="326"/>
      <c r="W261" s="326"/>
      <c r="X261" s="326"/>
      <c r="Y261" s="326"/>
      <c r="Z261" s="326"/>
      <c r="AA261" s="326"/>
      <c r="AB261" s="326"/>
      <c r="AC261" s="326"/>
      <c r="AD261" s="326"/>
    </row>
    <row r="262">
      <c r="A262" s="326"/>
      <c r="B262" s="326"/>
      <c r="C262" s="326"/>
      <c r="D262" s="326"/>
      <c r="E262" s="326"/>
      <c r="F262" s="326"/>
      <c r="G262" s="326"/>
      <c r="H262" s="326"/>
      <c r="I262" s="326"/>
      <c r="J262" s="326"/>
      <c r="K262" s="326"/>
      <c r="L262" s="326"/>
      <c r="M262" s="326"/>
      <c r="N262" s="326"/>
      <c r="O262" s="326"/>
      <c r="P262" s="326"/>
      <c r="Q262" s="326"/>
      <c r="R262" s="326"/>
      <c r="S262" s="326"/>
      <c r="T262" s="326"/>
      <c r="U262" s="326"/>
      <c r="V262" s="326"/>
      <c r="W262" s="326"/>
      <c r="X262" s="326"/>
      <c r="Y262" s="326"/>
      <c r="Z262" s="326"/>
      <c r="AA262" s="326"/>
      <c r="AB262" s="326"/>
      <c r="AC262" s="326"/>
      <c r="AD262" s="326"/>
    </row>
    <row r="263">
      <c r="A263" s="326"/>
      <c r="B263" s="326"/>
      <c r="C263" s="326"/>
      <c r="D263" s="326"/>
      <c r="E263" s="326"/>
      <c r="F263" s="326"/>
      <c r="G263" s="326"/>
      <c r="H263" s="326"/>
      <c r="I263" s="326"/>
      <c r="J263" s="326"/>
      <c r="K263" s="326"/>
      <c r="L263" s="326"/>
      <c r="M263" s="326"/>
      <c r="N263" s="326"/>
      <c r="O263" s="326"/>
      <c r="P263" s="326"/>
      <c r="Q263" s="326"/>
      <c r="R263" s="326"/>
      <c r="S263" s="326"/>
      <c r="T263" s="326"/>
      <c r="U263" s="326"/>
      <c r="V263" s="326"/>
      <c r="W263" s="326"/>
      <c r="X263" s="326"/>
      <c r="Y263" s="326"/>
      <c r="Z263" s="326"/>
      <c r="AA263" s="326"/>
      <c r="AB263" s="326"/>
      <c r="AC263" s="326"/>
      <c r="AD263" s="326"/>
    </row>
    <row r="264">
      <c r="A264" s="326"/>
      <c r="B264" s="326"/>
      <c r="C264" s="326"/>
      <c r="D264" s="326"/>
      <c r="E264" s="326"/>
      <c r="F264" s="326"/>
      <c r="G264" s="326"/>
      <c r="H264" s="326"/>
      <c r="I264" s="326"/>
      <c r="J264" s="326"/>
      <c r="K264" s="326"/>
      <c r="L264" s="326"/>
      <c r="M264" s="326"/>
      <c r="N264" s="326"/>
      <c r="O264" s="326"/>
      <c r="P264" s="326"/>
      <c r="Q264" s="326"/>
      <c r="R264" s="326"/>
      <c r="S264" s="326"/>
      <c r="T264" s="326"/>
      <c r="U264" s="326"/>
      <c r="V264" s="326"/>
      <c r="W264" s="326"/>
      <c r="X264" s="326"/>
      <c r="Y264" s="326"/>
      <c r="Z264" s="326"/>
      <c r="AA264" s="326"/>
      <c r="AB264" s="326"/>
      <c r="AC264" s="326"/>
      <c r="AD264" s="326"/>
    </row>
    <row r="265">
      <c r="A265" s="326"/>
      <c r="B265" s="326"/>
      <c r="C265" s="326"/>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row>
    <row r="266">
      <c r="A266" s="326"/>
      <c r="B266" s="326"/>
      <c r="C266" s="326"/>
      <c r="D266" s="326"/>
      <c r="E266" s="326"/>
      <c r="F266" s="326"/>
      <c r="G266" s="326"/>
      <c r="H266" s="326"/>
      <c r="I266" s="326"/>
      <c r="J266" s="326"/>
      <c r="K266" s="326"/>
      <c r="L266" s="326"/>
      <c r="M266" s="326"/>
      <c r="N266" s="326"/>
      <c r="O266" s="326"/>
      <c r="P266" s="326"/>
      <c r="Q266" s="326"/>
      <c r="R266" s="326"/>
      <c r="S266" s="326"/>
      <c r="T266" s="326"/>
      <c r="U266" s="326"/>
      <c r="V266" s="326"/>
      <c r="W266" s="326"/>
      <c r="X266" s="326"/>
      <c r="Y266" s="326"/>
      <c r="Z266" s="326"/>
      <c r="AA266" s="326"/>
      <c r="AB266" s="326"/>
      <c r="AC266" s="326"/>
      <c r="AD266" s="326"/>
    </row>
    <row r="267">
      <c r="A267" s="326"/>
      <c r="B267" s="326"/>
      <c r="C267" s="326"/>
      <c r="D267" s="326"/>
      <c r="E267" s="326"/>
      <c r="F267" s="326"/>
      <c r="G267" s="326"/>
      <c r="H267" s="326"/>
      <c r="I267" s="326"/>
      <c r="J267" s="326"/>
      <c r="K267" s="326"/>
      <c r="L267" s="326"/>
      <c r="M267" s="326"/>
      <c r="N267" s="326"/>
      <c r="O267" s="326"/>
      <c r="P267" s="326"/>
      <c r="Q267" s="326"/>
      <c r="R267" s="326"/>
      <c r="S267" s="326"/>
      <c r="T267" s="326"/>
      <c r="U267" s="326"/>
      <c r="V267" s="326"/>
      <c r="W267" s="326"/>
      <c r="X267" s="326"/>
      <c r="Y267" s="326"/>
      <c r="Z267" s="326"/>
      <c r="AA267" s="326"/>
      <c r="AB267" s="326"/>
      <c r="AC267" s="326"/>
      <c r="AD267" s="326"/>
    </row>
    <row r="268">
      <c r="A268" s="326"/>
      <c r="B268" s="326"/>
      <c r="C268" s="326"/>
      <c r="D268" s="326"/>
      <c r="E268" s="326"/>
      <c r="F268" s="326"/>
      <c r="G268" s="326"/>
      <c r="H268" s="326"/>
      <c r="I268" s="326"/>
      <c r="J268" s="326"/>
      <c r="K268" s="326"/>
      <c r="L268" s="326"/>
      <c r="M268" s="326"/>
      <c r="N268" s="326"/>
      <c r="O268" s="326"/>
      <c r="P268" s="326"/>
      <c r="Q268" s="326"/>
      <c r="R268" s="326"/>
      <c r="S268" s="326"/>
      <c r="T268" s="326"/>
      <c r="U268" s="326"/>
      <c r="V268" s="326"/>
      <c r="W268" s="326"/>
      <c r="X268" s="326"/>
      <c r="Y268" s="326"/>
      <c r="Z268" s="326"/>
      <c r="AA268" s="326"/>
      <c r="AB268" s="326"/>
      <c r="AC268" s="326"/>
      <c r="AD268" s="326"/>
    </row>
    <row r="269">
      <c r="A269" s="326"/>
      <c r="B269" s="326"/>
      <c r="C269" s="326"/>
      <c r="D269" s="326"/>
      <c r="E269" s="326"/>
      <c r="F269" s="326"/>
      <c r="G269" s="326"/>
      <c r="H269" s="326"/>
      <c r="I269" s="326"/>
      <c r="J269" s="326"/>
      <c r="K269" s="326"/>
      <c r="L269" s="326"/>
      <c r="M269" s="326"/>
      <c r="N269" s="326"/>
      <c r="O269" s="326"/>
      <c r="P269" s="326"/>
      <c r="Q269" s="326"/>
      <c r="R269" s="326"/>
      <c r="S269" s="326"/>
      <c r="T269" s="326"/>
      <c r="U269" s="326"/>
      <c r="V269" s="326"/>
      <c r="W269" s="326"/>
      <c r="X269" s="326"/>
      <c r="Y269" s="326"/>
      <c r="Z269" s="326"/>
      <c r="AA269" s="326"/>
      <c r="AB269" s="326"/>
      <c r="AC269" s="326"/>
      <c r="AD269" s="326"/>
    </row>
    <row r="270">
      <c r="A270" s="326"/>
      <c r="B270" s="326"/>
      <c r="C270" s="326"/>
      <c r="D270" s="326"/>
      <c r="E270" s="326"/>
      <c r="F270" s="326"/>
      <c r="G270" s="326"/>
      <c r="H270" s="326"/>
      <c r="I270" s="326"/>
      <c r="J270" s="326"/>
      <c r="K270" s="326"/>
      <c r="L270" s="326"/>
      <c r="M270" s="326"/>
      <c r="N270" s="326"/>
      <c r="O270" s="326"/>
      <c r="P270" s="326"/>
      <c r="Q270" s="326"/>
      <c r="R270" s="326"/>
      <c r="S270" s="326"/>
      <c r="T270" s="326"/>
      <c r="U270" s="326"/>
      <c r="V270" s="326"/>
      <c r="W270" s="326"/>
      <c r="X270" s="326"/>
      <c r="Y270" s="326"/>
      <c r="Z270" s="326"/>
      <c r="AA270" s="326"/>
      <c r="AB270" s="326"/>
      <c r="AC270" s="326"/>
      <c r="AD270" s="326"/>
    </row>
    <row r="271">
      <c r="A271" s="326"/>
      <c r="B271" s="326"/>
      <c r="C271" s="326"/>
      <c r="D271" s="326"/>
      <c r="E271" s="326"/>
      <c r="F271" s="326"/>
      <c r="G271" s="326"/>
      <c r="H271" s="326"/>
      <c r="I271" s="326"/>
      <c r="J271" s="326"/>
      <c r="K271" s="326"/>
      <c r="L271" s="326"/>
      <c r="M271" s="326"/>
      <c r="N271" s="326"/>
      <c r="O271" s="326"/>
      <c r="P271" s="326"/>
      <c r="Q271" s="326"/>
      <c r="R271" s="326"/>
      <c r="S271" s="326"/>
      <c r="T271" s="326"/>
      <c r="U271" s="326"/>
      <c r="V271" s="326"/>
      <c r="W271" s="326"/>
      <c r="X271" s="326"/>
      <c r="Y271" s="326"/>
      <c r="Z271" s="326"/>
      <c r="AA271" s="326"/>
      <c r="AB271" s="326"/>
      <c r="AC271" s="326"/>
      <c r="AD271" s="326"/>
    </row>
    <row r="272">
      <c r="A272" s="326"/>
      <c r="B272" s="326"/>
      <c r="C272" s="326"/>
      <c r="D272" s="326"/>
      <c r="E272" s="326"/>
      <c r="F272" s="326"/>
      <c r="G272" s="326"/>
      <c r="H272" s="326"/>
      <c r="I272" s="326"/>
      <c r="J272" s="326"/>
      <c r="K272" s="326"/>
      <c r="L272" s="326"/>
      <c r="M272" s="326"/>
      <c r="N272" s="326"/>
      <c r="O272" s="326"/>
      <c r="P272" s="326"/>
      <c r="Q272" s="326"/>
      <c r="R272" s="326"/>
      <c r="S272" s="326"/>
      <c r="T272" s="326"/>
      <c r="U272" s="326"/>
      <c r="V272" s="326"/>
      <c r="W272" s="326"/>
      <c r="X272" s="326"/>
      <c r="Y272" s="326"/>
      <c r="Z272" s="326"/>
      <c r="AA272" s="326"/>
      <c r="AB272" s="326"/>
      <c r="AC272" s="326"/>
      <c r="AD272" s="326"/>
    </row>
    <row r="273">
      <c r="A273" s="326"/>
      <c r="B273" s="326"/>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c r="AA273" s="326"/>
      <c r="AB273" s="326"/>
      <c r="AC273" s="326"/>
      <c r="AD273" s="326"/>
    </row>
    <row r="274">
      <c r="A274" s="326"/>
      <c r="B274" s="326"/>
      <c r="C274" s="326"/>
      <c r="D274" s="326"/>
      <c r="E274" s="326"/>
      <c r="F274" s="326"/>
      <c r="G274" s="326"/>
      <c r="H274" s="326"/>
      <c r="I274" s="326"/>
      <c r="J274" s="326"/>
      <c r="K274" s="326"/>
      <c r="L274" s="326"/>
      <c r="M274" s="326"/>
      <c r="N274" s="326"/>
      <c r="O274" s="326"/>
      <c r="P274" s="326"/>
      <c r="Q274" s="326"/>
      <c r="R274" s="326"/>
      <c r="S274" s="326"/>
      <c r="T274" s="326"/>
      <c r="U274" s="326"/>
      <c r="V274" s="326"/>
      <c r="W274" s="326"/>
      <c r="X274" s="326"/>
      <c r="Y274" s="326"/>
      <c r="Z274" s="326"/>
      <c r="AA274" s="326"/>
      <c r="AB274" s="326"/>
      <c r="AC274" s="326"/>
      <c r="AD274" s="326"/>
    </row>
    <row r="275">
      <c r="A275" s="326"/>
      <c r="B275" s="326"/>
      <c r="C275" s="326"/>
      <c r="D275" s="326"/>
      <c r="E275" s="326"/>
      <c r="F275" s="326"/>
      <c r="G275" s="326"/>
      <c r="H275" s="326"/>
      <c r="I275" s="326"/>
      <c r="J275" s="326"/>
      <c r="K275" s="326"/>
      <c r="L275" s="326"/>
      <c r="M275" s="326"/>
      <c r="N275" s="326"/>
      <c r="O275" s="326"/>
      <c r="P275" s="326"/>
      <c r="Q275" s="326"/>
      <c r="R275" s="326"/>
      <c r="S275" s="326"/>
      <c r="T275" s="326"/>
      <c r="U275" s="326"/>
      <c r="V275" s="326"/>
      <c r="W275" s="326"/>
      <c r="X275" s="326"/>
      <c r="Y275" s="326"/>
      <c r="Z275" s="326"/>
      <c r="AA275" s="326"/>
      <c r="AB275" s="326"/>
      <c r="AC275" s="326"/>
      <c r="AD275" s="326"/>
    </row>
    <row r="276">
      <c r="A276" s="326"/>
      <c r="B276" s="326"/>
      <c r="C276" s="326"/>
      <c r="D276" s="326"/>
      <c r="E276" s="326"/>
      <c r="F276" s="326"/>
      <c r="G276" s="326"/>
      <c r="H276" s="326"/>
      <c r="I276" s="326"/>
      <c r="J276" s="326"/>
      <c r="K276" s="326"/>
      <c r="L276" s="326"/>
      <c r="M276" s="326"/>
      <c r="N276" s="326"/>
      <c r="O276" s="326"/>
      <c r="P276" s="326"/>
      <c r="Q276" s="326"/>
      <c r="R276" s="326"/>
      <c r="S276" s="326"/>
      <c r="T276" s="326"/>
      <c r="U276" s="326"/>
      <c r="V276" s="326"/>
      <c r="W276" s="326"/>
      <c r="X276" s="326"/>
      <c r="Y276" s="326"/>
      <c r="Z276" s="326"/>
      <c r="AA276" s="326"/>
      <c r="AB276" s="326"/>
      <c r="AC276" s="326"/>
      <c r="AD276" s="326"/>
    </row>
    <row r="277">
      <c r="A277" s="326"/>
      <c r="B277" s="326"/>
      <c r="C277" s="326"/>
      <c r="D277" s="326"/>
      <c r="E277" s="326"/>
      <c r="F277" s="326"/>
      <c r="G277" s="326"/>
      <c r="H277" s="326"/>
      <c r="I277" s="326"/>
      <c r="J277" s="326"/>
      <c r="K277" s="326"/>
      <c r="L277" s="326"/>
      <c r="M277" s="326"/>
      <c r="N277" s="326"/>
      <c r="O277" s="326"/>
      <c r="P277" s="326"/>
      <c r="Q277" s="326"/>
      <c r="R277" s="326"/>
      <c r="S277" s="326"/>
      <c r="T277" s="326"/>
      <c r="U277" s="326"/>
      <c r="V277" s="326"/>
      <c r="W277" s="326"/>
      <c r="X277" s="326"/>
      <c r="Y277" s="326"/>
      <c r="Z277" s="326"/>
      <c r="AA277" s="326"/>
      <c r="AB277" s="326"/>
      <c r="AC277" s="326"/>
      <c r="AD277" s="326"/>
    </row>
    <row r="278">
      <c r="A278" s="326"/>
      <c r="B278" s="326"/>
      <c r="C278" s="326"/>
      <c r="D278" s="326"/>
      <c r="E278" s="326"/>
      <c r="F278" s="326"/>
      <c r="G278" s="326"/>
      <c r="H278" s="326"/>
      <c r="I278" s="326"/>
      <c r="J278" s="326"/>
      <c r="K278" s="326"/>
      <c r="L278" s="326"/>
      <c r="M278" s="326"/>
      <c r="N278" s="326"/>
      <c r="O278" s="326"/>
      <c r="P278" s="326"/>
      <c r="Q278" s="326"/>
      <c r="R278" s="326"/>
      <c r="S278" s="326"/>
      <c r="T278" s="326"/>
      <c r="U278" s="326"/>
      <c r="V278" s="326"/>
      <c r="W278" s="326"/>
      <c r="X278" s="326"/>
      <c r="Y278" s="326"/>
      <c r="Z278" s="326"/>
      <c r="AA278" s="326"/>
      <c r="AB278" s="326"/>
      <c r="AC278" s="326"/>
      <c r="AD278" s="326"/>
    </row>
    <row r="279">
      <c r="A279" s="326"/>
      <c r="B279" s="326"/>
      <c r="C279" s="326"/>
      <c r="D279" s="326"/>
      <c r="E279" s="326"/>
      <c r="F279" s="326"/>
      <c r="G279" s="326"/>
      <c r="H279" s="326"/>
      <c r="I279" s="326"/>
      <c r="J279" s="326"/>
      <c r="K279" s="326"/>
      <c r="L279" s="326"/>
      <c r="M279" s="326"/>
      <c r="N279" s="326"/>
      <c r="O279" s="326"/>
      <c r="P279" s="326"/>
      <c r="Q279" s="326"/>
      <c r="R279" s="326"/>
      <c r="S279" s="326"/>
      <c r="T279" s="326"/>
      <c r="U279" s="326"/>
      <c r="V279" s="326"/>
      <c r="W279" s="326"/>
      <c r="X279" s="326"/>
      <c r="Y279" s="326"/>
      <c r="Z279" s="326"/>
      <c r="AA279" s="326"/>
      <c r="AB279" s="326"/>
      <c r="AC279" s="326"/>
      <c r="AD279" s="326"/>
    </row>
    <row r="280">
      <c r="A280" s="326"/>
      <c r="B280" s="326"/>
      <c r="C280" s="326"/>
      <c r="D280" s="326"/>
      <c r="E280" s="326"/>
      <c r="F280" s="326"/>
      <c r="G280" s="326"/>
      <c r="H280" s="326"/>
      <c r="I280" s="326"/>
      <c r="J280" s="326"/>
      <c r="K280" s="326"/>
      <c r="L280" s="326"/>
      <c r="M280" s="326"/>
      <c r="N280" s="326"/>
      <c r="O280" s="326"/>
      <c r="P280" s="326"/>
      <c r="Q280" s="326"/>
      <c r="R280" s="326"/>
      <c r="S280" s="326"/>
      <c r="T280" s="326"/>
      <c r="U280" s="326"/>
      <c r="V280" s="326"/>
      <c r="W280" s="326"/>
      <c r="X280" s="326"/>
      <c r="Y280" s="326"/>
      <c r="Z280" s="326"/>
      <c r="AA280" s="326"/>
      <c r="AB280" s="326"/>
      <c r="AC280" s="326"/>
      <c r="AD280" s="326"/>
    </row>
    <row r="281">
      <c r="A281" s="326"/>
      <c r="B281" s="326"/>
      <c r="C281" s="326"/>
      <c r="D281" s="326"/>
      <c r="E281" s="326"/>
      <c r="F281" s="326"/>
      <c r="G281" s="326"/>
      <c r="H281" s="326"/>
      <c r="I281" s="326"/>
      <c r="J281" s="326"/>
      <c r="K281" s="326"/>
      <c r="L281" s="326"/>
      <c r="M281" s="326"/>
      <c r="N281" s="326"/>
      <c r="O281" s="326"/>
      <c r="P281" s="326"/>
      <c r="Q281" s="326"/>
      <c r="R281" s="326"/>
      <c r="S281" s="326"/>
      <c r="T281" s="326"/>
      <c r="U281" s="326"/>
      <c r="V281" s="326"/>
      <c r="W281" s="326"/>
      <c r="X281" s="326"/>
      <c r="Y281" s="326"/>
      <c r="Z281" s="326"/>
      <c r="AA281" s="326"/>
      <c r="AB281" s="326"/>
      <c r="AC281" s="326"/>
      <c r="AD281" s="326"/>
    </row>
    <row r="282">
      <c r="A282" s="326"/>
      <c r="B282" s="326"/>
      <c r="C282" s="326"/>
      <c r="D282" s="326"/>
      <c r="E282" s="326"/>
      <c r="F282" s="326"/>
      <c r="G282" s="326"/>
      <c r="H282" s="326"/>
      <c r="I282" s="326"/>
      <c r="J282" s="326"/>
      <c r="K282" s="326"/>
      <c r="L282" s="326"/>
      <c r="M282" s="326"/>
      <c r="N282" s="326"/>
      <c r="O282" s="326"/>
      <c r="P282" s="326"/>
      <c r="Q282" s="326"/>
      <c r="R282" s="326"/>
      <c r="S282" s="326"/>
      <c r="T282" s="326"/>
      <c r="U282" s="326"/>
      <c r="V282" s="326"/>
      <c r="W282" s="326"/>
      <c r="X282" s="326"/>
      <c r="Y282" s="326"/>
      <c r="Z282" s="326"/>
      <c r="AA282" s="326"/>
      <c r="AB282" s="326"/>
      <c r="AC282" s="326"/>
      <c r="AD282" s="326"/>
    </row>
    <row r="283">
      <c r="A283" s="326"/>
      <c r="B283" s="326"/>
      <c r="C283" s="326"/>
      <c r="D283" s="326"/>
      <c r="E283" s="326"/>
      <c r="F283" s="326"/>
      <c r="G283" s="326"/>
      <c r="H283" s="326"/>
      <c r="I283" s="326"/>
      <c r="J283" s="326"/>
      <c r="K283" s="326"/>
      <c r="L283" s="326"/>
      <c r="M283" s="326"/>
      <c r="N283" s="326"/>
      <c r="O283" s="326"/>
      <c r="P283" s="326"/>
      <c r="Q283" s="326"/>
      <c r="R283" s="326"/>
      <c r="S283" s="326"/>
      <c r="T283" s="326"/>
      <c r="U283" s="326"/>
      <c r="V283" s="326"/>
      <c r="W283" s="326"/>
      <c r="X283" s="326"/>
      <c r="Y283" s="326"/>
      <c r="Z283" s="326"/>
      <c r="AA283" s="326"/>
      <c r="AB283" s="326"/>
      <c r="AC283" s="326"/>
      <c r="AD283" s="326"/>
    </row>
    <row r="284">
      <c r="A284" s="326"/>
      <c r="B284" s="326"/>
      <c r="C284" s="326"/>
      <c r="D284" s="326"/>
      <c r="E284" s="326"/>
      <c r="F284" s="326"/>
      <c r="G284" s="326"/>
      <c r="H284" s="326"/>
      <c r="I284" s="326"/>
      <c r="J284" s="326"/>
      <c r="K284" s="326"/>
      <c r="L284" s="326"/>
      <c r="M284" s="326"/>
      <c r="N284" s="326"/>
      <c r="O284" s="326"/>
      <c r="P284" s="326"/>
      <c r="Q284" s="326"/>
      <c r="R284" s="326"/>
      <c r="S284" s="326"/>
      <c r="T284" s="326"/>
      <c r="U284" s="326"/>
      <c r="V284" s="326"/>
      <c r="W284" s="326"/>
      <c r="X284" s="326"/>
      <c r="Y284" s="326"/>
      <c r="Z284" s="326"/>
      <c r="AA284" s="326"/>
      <c r="AB284" s="326"/>
      <c r="AC284" s="326"/>
      <c r="AD284" s="326"/>
    </row>
    <row r="285">
      <c r="A285" s="326"/>
      <c r="B285" s="326"/>
      <c r="C285" s="326"/>
      <c r="D285" s="326"/>
      <c r="E285" s="326"/>
      <c r="F285" s="326"/>
      <c r="G285" s="326"/>
      <c r="H285" s="326"/>
      <c r="I285" s="326"/>
      <c r="J285" s="326"/>
      <c r="K285" s="326"/>
      <c r="L285" s="326"/>
      <c r="M285" s="326"/>
      <c r="N285" s="326"/>
      <c r="O285" s="326"/>
      <c r="P285" s="326"/>
      <c r="Q285" s="326"/>
      <c r="R285" s="326"/>
      <c r="S285" s="326"/>
      <c r="T285" s="326"/>
      <c r="U285" s="326"/>
      <c r="V285" s="326"/>
      <c r="W285" s="326"/>
      <c r="X285" s="326"/>
      <c r="Y285" s="326"/>
      <c r="Z285" s="326"/>
      <c r="AA285" s="326"/>
      <c r="AB285" s="326"/>
      <c r="AC285" s="326"/>
      <c r="AD285" s="326"/>
    </row>
    <row r="286">
      <c r="A286" s="326"/>
      <c r="B286" s="326"/>
      <c r="C286" s="326"/>
      <c r="D286" s="326"/>
      <c r="E286" s="326"/>
      <c r="F286" s="326"/>
      <c r="G286" s="326"/>
      <c r="H286" s="326"/>
      <c r="I286" s="326"/>
      <c r="J286" s="326"/>
      <c r="K286" s="326"/>
      <c r="L286" s="326"/>
      <c r="M286" s="326"/>
      <c r="N286" s="326"/>
      <c r="O286" s="326"/>
      <c r="P286" s="326"/>
      <c r="Q286" s="326"/>
      <c r="R286" s="326"/>
      <c r="S286" s="326"/>
      <c r="T286" s="326"/>
      <c r="U286" s="326"/>
      <c r="V286" s="326"/>
      <c r="W286" s="326"/>
      <c r="X286" s="326"/>
      <c r="Y286" s="326"/>
      <c r="Z286" s="326"/>
      <c r="AA286" s="326"/>
      <c r="AB286" s="326"/>
      <c r="AC286" s="326"/>
      <c r="AD286" s="326"/>
    </row>
    <row r="287">
      <c r="A287" s="326"/>
      <c r="B287" s="326"/>
      <c r="C287" s="326"/>
      <c r="D287" s="326"/>
      <c r="E287" s="326"/>
      <c r="F287" s="326"/>
      <c r="G287" s="326"/>
      <c r="H287" s="326"/>
      <c r="I287" s="326"/>
      <c r="J287" s="326"/>
      <c r="K287" s="326"/>
      <c r="L287" s="326"/>
      <c r="M287" s="326"/>
      <c r="N287" s="326"/>
      <c r="O287" s="326"/>
      <c r="P287" s="326"/>
      <c r="Q287" s="326"/>
      <c r="R287" s="326"/>
      <c r="S287" s="326"/>
      <c r="T287" s="326"/>
      <c r="U287" s="326"/>
      <c r="V287" s="326"/>
      <c r="W287" s="326"/>
      <c r="X287" s="326"/>
      <c r="Y287" s="326"/>
      <c r="Z287" s="326"/>
      <c r="AA287" s="326"/>
      <c r="AB287" s="326"/>
      <c r="AC287" s="326"/>
      <c r="AD287" s="326"/>
    </row>
    <row r="288">
      <c r="A288" s="326"/>
      <c r="B288" s="326"/>
      <c r="C288" s="326"/>
      <c r="D288" s="326"/>
      <c r="E288" s="326"/>
      <c r="F288" s="326"/>
      <c r="G288" s="326"/>
      <c r="H288" s="326"/>
      <c r="I288" s="326"/>
      <c r="J288" s="326"/>
      <c r="K288" s="326"/>
      <c r="L288" s="326"/>
      <c r="M288" s="326"/>
      <c r="N288" s="326"/>
      <c r="O288" s="326"/>
      <c r="P288" s="326"/>
      <c r="Q288" s="326"/>
      <c r="R288" s="326"/>
      <c r="S288" s="326"/>
      <c r="T288" s="326"/>
      <c r="U288" s="326"/>
      <c r="V288" s="326"/>
      <c r="W288" s="326"/>
      <c r="X288" s="326"/>
      <c r="Y288" s="326"/>
      <c r="Z288" s="326"/>
      <c r="AA288" s="326"/>
      <c r="AB288" s="326"/>
      <c r="AC288" s="326"/>
      <c r="AD288" s="326"/>
    </row>
    <row r="289">
      <c r="A289" s="326"/>
      <c r="B289" s="326"/>
      <c r="C289" s="326"/>
      <c r="D289" s="326"/>
      <c r="E289" s="326"/>
      <c r="F289" s="326"/>
      <c r="G289" s="326"/>
      <c r="H289" s="326"/>
      <c r="I289" s="326"/>
      <c r="J289" s="326"/>
      <c r="K289" s="326"/>
      <c r="L289" s="326"/>
      <c r="M289" s="326"/>
      <c r="N289" s="326"/>
      <c r="O289" s="326"/>
      <c r="P289" s="326"/>
      <c r="Q289" s="326"/>
      <c r="R289" s="326"/>
      <c r="S289" s="326"/>
      <c r="T289" s="326"/>
      <c r="U289" s="326"/>
      <c r="V289" s="326"/>
      <c r="W289" s="326"/>
      <c r="X289" s="326"/>
      <c r="Y289" s="326"/>
      <c r="Z289" s="326"/>
      <c r="AA289" s="326"/>
      <c r="AB289" s="326"/>
      <c r="AC289" s="326"/>
      <c r="AD289" s="326"/>
    </row>
    <row r="290">
      <c r="A290" s="326"/>
      <c r="B290" s="326"/>
      <c r="C290" s="326"/>
      <c r="D290" s="326"/>
      <c r="E290" s="326"/>
      <c r="F290" s="326"/>
      <c r="G290" s="326"/>
      <c r="H290" s="326"/>
      <c r="I290" s="326"/>
      <c r="J290" s="326"/>
      <c r="K290" s="326"/>
      <c r="L290" s="326"/>
      <c r="M290" s="326"/>
      <c r="N290" s="326"/>
      <c r="O290" s="326"/>
      <c r="P290" s="326"/>
      <c r="Q290" s="326"/>
      <c r="R290" s="326"/>
      <c r="S290" s="326"/>
      <c r="T290" s="326"/>
      <c r="U290" s="326"/>
      <c r="V290" s="326"/>
      <c r="W290" s="326"/>
      <c r="X290" s="326"/>
      <c r="Y290" s="326"/>
      <c r="Z290" s="326"/>
      <c r="AA290" s="326"/>
      <c r="AB290" s="326"/>
      <c r="AC290" s="326"/>
      <c r="AD290" s="326"/>
    </row>
    <row r="291">
      <c r="A291" s="326"/>
      <c r="B291" s="326"/>
      <c r="C291" s="32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6"/>
      <c r="Z291" s="326"/>
      <c r="AA291" s="326"/>
      <c r="AB291" s="326"/>
      <c r="AC291" s="326"/>
      <c r="AD291" s="326"/>
    </row>
    <row r="292">
      <c r="A292" s="326"/>
      <c r="B292" s="326"/>
      <c r="C292" s="326"/>
      <c r="D292" s="326"/>
      <c r="E292" s="326"/>
      <c r="F292" s="326"/>
      <c r="G292" s="326"/>
      <c r="H292" s="326"/>
      <c r="I292" s="326"/>
      <c r="J292" s="326"/>
      <c r="K292" s="326"/>
      <c r="L292" s="326"/>
      <c r="M292" s="326"/>
      <c r="N292" s="326"/>
      <c r="O292" s="326"/>
      <c r="P292" s="326"/>
      <c r="Q292" s="326"/>
      <c r="R292" s="326"/>
      <c r="S292" s="326"/>
      <c r="T292" s="326"/>
      <c r="U292" s="326"/>
      <c r="V292" s="326"/>
      <c r="W292" s="326"/>
      <c r="X292" s="326"/>
      <c r="Y292" s="326"/>
      <c r="Z292" s="326"/>
      <c r="AA292" s="326"/>
      <c r="AB292" s="326"/>
      <c r="AC292" s="326"/>
      <c r="AD292" s="326"/>
    </row>
    <row r="293">
      <c r="A293" s="326"/>
      <c r="B293" s="326"/>
      <c r="C293" s="326"/>
      <c r="D293" s="326"/>
      <c r="E293" s="326"/>
      <c r="F293" s="326"/>
      <c r="G293" s="326"/>
      <c r="H293" s="326"/>
      <c r="I293" s="326"/>
      <c r="J293" s="326"/>
      <c r="K293" s="326"/>
      <c r="L293" s="326"/>
      <c r="M293" s="326"/>
      <c r="N293" s="326"/>
      <c r="O293" s="326"/>
      <c r="P293" s="326"/>
      <c r="Q293" s="326"/>
      <c r="R293" s="326"/>
      <c r="S293" s="326"/>
      <c r="T293" s="326"/>
      <c r="U293" s="326"/>
      <c r="V293" s="326"/>
      <c r="W293" s="326"/>
      <c r="X293" s="326"/>
      <c r="Y293" s="326"/>
      <c r="Z293" s="326"/>
      <c r="AA293" s="326"/>
      <c r="AB293" s="326"/>
      <c r="AC293" s="326"/>
      <c r="AD293" s="326"/>
    </row>
    <row r="294">
      <c r="A294" s="326"/>
      <c r="B294" s="326"/>
      <c r="C294" s="326"/>
      <c r="D294" s="326"/>
      <c r="E294" s="326"/>
      <c r="F294" s="326"/>
      <c r="G294" s="326"/>
      <c r="H294" s="326"/>
      <c r="I294" s="326"/>
      <c r="J294" s="326"/>
      <c r="K294" s="326"/>
      <c r="L294" s="326"/>
      <c r="M294" s="326"/>
      <c r="N294" s="326"/>
      <c r="O294" s="326"/>
      <c r="P294" s="326"/>
      <c r="Q294" s="326"/>
      <c r="R294" s="326"/>
      <c r="S294" s="326"/>
      <c r="T294" s="326"/>
      <c r="U294" s="326"/>
      <c r="V294" s="326"/>
      <c r="W294" s="326"/>
      <c r="X294" s="326"/>
      <c r="Y294" s="326"/>
      <c r="Z294" s="326"/>
      <c r="AA294" s="326"/>
      <c r="AB294" s="326"/>
      <c r="AC294" s="326"/>
      <c r="AD294" s="326"/>
    </row>
    <row r="295">
      <c r="A295" s="326"/>
      <c r="B295" s="326"/>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c r="AA295" s="326"/>
      <c r="AB295" s="326"/>
      <c r="AC295" s="326"/>
      <c r="AD295" s="326"/>
    </row>
    <row r="296">
      <c r="A296" s="326"/>
      <c r="B296" s="326"/>
      <c r="C296" s="326"/>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row>
    <row r="297">
      <c r="A297" s="326"/>
      <c r="B297" s="326"/>
      <c r="C297" s="326"/>
      <c r="D297" s="326"/>
      <c r="E297" s="326"/>
      <c r="F297" s="326"/>
      <c r="G297" s="326"/>
      <c r="H297" s="326"/>
      <c r="I297" s="326"/>
      <c r="J297" s="326"/>
      <c r="K297" s="326"/>
      <c r="L297" s="326"/>
      <c r="M297" s="326"/>
      <c r="N297" s="326"/>
      <c r="O297" s="326"/>
      <c r="P297" s="326"/>
      <c r="Q297" s="326"/>
      <c r="R297" s="326"/>
      <c r="S297" s="326"/>
      <c r="T297" s="326"/>
      <c r="U297" s="326"/>
      <c r="V297" s="326"/>
      <c r="W297" s="326"/>
      <c r="X297" s="326"/>
      <c r="Y297" s="326"/>
      <c r="Z297" s="326"/>
      <c r="AA297" s="326"/>
      <c r="AB297" s="326"/>
      <c r="AC297" s="326"/>
      <c r="AD297" s="326"/>
    </row>
    <row r="298">
      <c r="A298" s="326"/>
      <c r="B298" s="326"/>
      <c r="C298" s="326"/>
      <c r="D298" s="326"/>
      <c r="E298" s="326"/>
      <c r="F298" s="326"/>
      <c r="G298" s="326"/>
      <c r="H298" s="326"/>
      <c r="I298" s="326"/>
      <c r="J298" s="326"/>
      <c r="K298" s="326"/>
      <c r="L298" s="326"/>
      <c r="M298" s="326"/>
      <c r="N298" s="326"/>
      <c r="O298" s="326"/>
      <c r="P298" s="326"/>
      <c r="Q298" s="326"/>
      <c r="R298" s="326"/>
      <c r="S298" s="326"/>
      <c r="T298" s="326"/>
      <c r="U298" s="326"/>
      <c r="V298" s="326"/>
      <c r="W298" s="326"/>
      <c r="X298" s="326"/>
      <c r="Y298" s="326"/>
      <c r="Z298" s="326"/>
      <c r="AA298" s="326"/>
      <c r="AB298" s="326"/>
      <c r="AC298" s="326"/>
      <c r="AD298" s="326"/>
    </row>
    <row r="299">
      <c r="A299" s="326"/>
      <c r="B299" s="326"/>
      <c r="C299" s="326"/>
      <c r="D299" s="326"/>
      <c r="E299" s="326"/>
      <c r="F299" s="326"/>
      <c r="G299" s="326"/>
      <c r="H299" s="326"/>
      <c r="I299" s="326"/>
      <c r="J299" s="326"/>
      <c r="K299" s="326"/>
      <c r="L299" s="326"/>
      <c r="M299" s="326"/>
      <c r="N299" s="326"/>
      <c r="O299" s="326"/>
      <c r="P299" s="326"/>
      <c r="Q299" s="326"/>
      <c r="R299" s="326"/>
      <c r="S299" s="326"/>
      <c r="T299" s="326"/>
      <c r="U299" s="326"/>
      <c r="V299" s="326"/>
      <c r="W299" s="326"/>
      <c r="X299" s="326"/>
      <c r="Y299" s="326"/>
      <c r="Z299" s="326"/>
      <c r="AA299" s="326"/>
      <c r="AB299" s="326"/>
      <c r="AC299" s="326"/>
      <c r="AD299" s="326"/>
    </row>
    <row r="300">
      <c r="A300" s="326"/>
      <c r="B300" s="326"/>
      <c r="C300" s="326"/>
      <c r="D300" s="326"/>
      <c r="E300" s="326"/>
      <c r="F300" s="326"/>
      <c r="G300" s="326"/>
      <c r="H300" s="326"/>
      <c r="I300" s="326"/>
      <c r="J300" s="326"/>
      <c r="K300" s="326"/>
      <c r="L300" s="326"/>
      <c r="M300" s="326"/>
      <c r="N300" s="326"/>
      <c r="O300" s="326"/>
      <c r="P300" s="326"/>
      <c r="Q300" s="326"/>
      <c r="R300" s="326"/>
      <c r="S300" s="326"/>
      <c r="T300" s="326"/>
      <c r="U300" s="326"/>
      <c r="V300" s="326"/>
      <c r="W300" s="326"/>
      <c r="X300" s="326"/>
      <c r="Y300" s="326"/>
      <c r="Z300" s="326"/>
      <c r="AA300" s="326"/>
      <c r="AB300" s="326"/>
      <c r="AC300" s="326"/>
      <c r="AD300" s="326"/>
    </row>
    <row r="301">
      <c r="A301" s="326"/>
      <c r="B301" s="326"/>
      <c r="C301" s="326"/>
      <c r="D301" s="326"/>
      <c r="E301" s="326"/>
      <c r="F301" s="326"/>
      <c r="G301" s="326"/>
      <c r="H301" s="326"/>
      <c r="I301" s="326"/>
      <c r="J301" s="326"/>
      <c r="K301" s="326"/>
      <c r="L301" s="326"/>
      <c r="M301" s="326"/>
      <c r="N301" s="326"/>
      <c r="O301" s="326"/>
      <c r="P301" s="326"/>
      <c r="Q301" s="326"/>
      <c r="R301" s="326"/>
      <c r="S301" s="326"/>
      <c r="T301" s="326"/>
      <c r="U301" s="326"/>
      <c r="V301" s="326"/>
      <c r="W301" s="326"/>
      <c r="X301" s="326"/>
      <c r="Y301" s="326"/>
      <c r="Z301" s="326"/>
      <c r="AA301" s="326"/>
      <c r="AB301" s="326"/>
      <c r="AC301" s="326"/>
      <c r="AD301" s="326"/>
    </row>
    <row r="302">
      <c r="A302" s="326"/>
      <c r="B302" s="326"/>
      <c r="C302" s="326"/>
      <c r="D302" s="326"/>
      <c r="E302" s="326"/>
      <c r="F302" s="326"/>
      <c r="G302" s="326"/>
      <c r="H302" s="326"/>
      <c r="I302" s="326"/>
      <c r="J302" s="326"/>
      <c r="K302" s="326"/>
      <c r="L302" s="326"/>
      <c r="M302" s="326"/>
      <c r="N302" s="326"/>
      <c r="O302" s="326"/>
      <c r="P302" s="326"/>
      <c r="Q302" s="326"/>
      <c r="R302" s="326"/>
      <c r="S302" s="326"/>
      <c r="T302" s="326"/>
      <c r="U302" s="326"/>
      <c r="V302" s="326"/>
      <c r="W302" s="326"/>
      <c r="X302" s="326"/>
      <c r="Y302" s="326"/>
      <c r="Z302" s="326"/>
      <c r="AA302" s="326"/>
      <c r="AB302" s="326"/>
      <c r="AC302" s="326"/>
      <c r="AD302" s="326"/>
    </row>
    <row r="303">
      <c r="A303" s="326"/>
      <c r="B303" s="326"/>
      <c r="C303" s="326"/>
      <c r="D303" s="326"/>
      <c r="E303" s="326"/>
      <c r="F303" s="326"/>
      <c r="G303" s="326"/>
      <c r="H303" s="326"/>
      <c r="I303" s="326"/>
      <c r="J303" s="326"/>
      <c r="K303" s="326"/>
      <c r="L303" s="326"/>
      <c r="M303" s="326"/>
      <c r="N303" s="326"/>
      <c r="O303" s="326"/>
      <c r="P303" s="326"/>
      <c r="Q303" s="326"/>
      <c r="R303" s="326"/>
      <c r="S303" s="326"/>
      <c r="T303" s="326"/>
      <c r="U303" s="326"/>
      <c r="V303" s="326"/>
      <c r="W303" s="326"/>
      <c r="X303" s="326"/>
      <c r="Y303" s="326"/>
      <c r="Z303" s="326"/>
      <c r="AA303" s="326"/>
      <c r="AB303" s="326"/>
      <c r="AC303" s="326"/>
      <c r="AD303" s="326"/>
    </row>
    <row r="304">
      <c r="A304" s="326"/>
      <c r="B304" s="326"/>
      <c r="C304" s="326"/>
      <c r="D304" s="326"/>
      <c r="E304" s="326"/>
      <c r="F304" s="326"/>
      <c r="G304" s="326"/>
      <c r="H304" s="326"/>
      <c r="I304" s="326"/>
      <c r="J304" s="326"/>
      <c r="K304" s="326"/>
      <c r="L304" s="326"/>
      <c r="M304" s="326"/>
      <c r="N304" s="326"/>
      <c r="O304" s="326"/>
      <c r="P304" s="326"/>
      <c r="Q304" s="326"/>
      <c r="R304" s="326"/>
      <c r="S304" s="326"/>
      <c r="T304" s="326"/>
      <c r="U304" s="326"/>
      <c r="V304" s="326"/>
      <c r="W304" s="326"/>
      <c r="X304" s="326"/>
      <c r="Y304" s="326"/>
      <c r="Z304" s="326"/>
      <c r="AA304" s="326"/>
      <c r="AB304" s="326"/>
      <c r="AC304" s="326"/>
      <c r="AD304" s="326"/>
    </row>
    <row r="305">
      <c r="A305" s="326"/>
      <c r="B305" s="326"/>
      <c r="C305" s="326"/>
      <c r="D305" s="326"/>
      <c r="E305" s="326"/>
      <c r="F305" s="326"/>
      <c r="G305" s="326"/>
      <c r="H305" s="326"/>
      <c r="I305" s="326"/>
      <c r="J305" s="326"/>
      <c r="K305" s="326"/>
      <c r="L305" s="326"/>
      <c r="M305" s="326"/>
      <c r="N305" s="326"/>
      <c r="O305" s="326"/>
      <c r="P305" s="326"/>
      <c r="Q305" s="326"/>
      <c r="R305" s="326"/>
      <c r="S305" s="326"/>
      <c r="T305" s="326"/>
      <c r="U305" s="326"/>
      <c r="V305" s="326"/>
      <c r="W305" s="326"/>
      <c r="X305" s="326"/>
      <c r="Y305" s="326"/>
      <c r="Z305" s="326"/>
      <c r="AA305" s="326"/>
      <c r="AB305" s="326"/>
      <c r="AC305" s="326"/>
      <c r="AD305" s="326"/>
    </row>
    <row r="306">
      <c r="A306" s="326"/>
      <c r="B306" s="326"/>
      <c r="C306" s="326"/>
      <c r="D306" s="326"/>
      <c r="E306" s="326"/>
      <c r="F306" s="326"/>
      <c r="G306" s="326"/>
      <c r="H306" s="326"/>
      <c r="I306" s="326"/>
      <c r="J306" s="326"/>
      <c r="K306" s="326"/>
      <c r="L306" s="326"/>
      <c r="M306" s="326"/>
      <c r="N306" s="326"/>
      <c r="O306" s="326"/>
      <c r="P306" s="326"/>
      <c r="Q306" s="326"/>
      <c r="R306" s="326"/>
      <c r="S306" s="326"/>
      <c r="T306" s="326"/>
      <c r="U306" s="326"/>
      <c r="V306" s="326"/>
      <c r="W306" s="326"/>
      <c r="X306" s="326"/>
      <c r="Y306" s="326"/>
      <c r="Z306" s="326"/>
      <c r="AA306" s="326"/>
      <c r="AB306" s="326"/>
      <c r="AC306" s="326"/>
      <c r="AD306" s="326"/>
    </row>
    <row r="307">
      <c r="A307" s="326"/>
      <c r="B307" s="326"/>
      <c r="C307" s="326"/>
      <c r="D307" s="326"/>
      <c r="E307" s="326"/>
      <c r="F307" s="326"/>
      <c r="G307" s="326"/>
      <c r="H307" s="326"/>
      <c r="I307" s="326"/>
      <c r="J307" s="326"/>
      <c r="K307" s="326"/>
      <c r="L307" s="326"/>
      <c r="M307" s="326"/>
      <c r="N307" s="326"/>
      <c r="O307" s="326"/>
      <c r="P307" s="326"/>
      <c r="Q307" s="326"/>
      <c r="R307" s="326"/>
      <c r="S307" s="326"/>
      <c r="T307" s="326"/>
      <c r="U307" s="326"/>
      <c r="V307" s="326"/>
      <c r="W307" s="326"/>
      <c r="X307" s="326"/>
      <c r="Y307" s="326"/>
      <c r="Z307" s="326"/>
      <c r="AA307" s="326"/>
      <c r="AB307" s="326"/>
      <c r="AC307" s="326"/>
      <c r="AD307" s="326"/>
    </row>
    <row r="308">
      <c r="A308" s="326"/>
      <c r="B308" s="326"/>
      <c r="C308" s="326"/>
      <c r="D308" s="326"/>
      <c r="E308" s="326"/>
      <c r="F308" s="326"/>
      <c r="G308" s="326"/>
      <c r="H308" s="326"/>
      <c r="I308" s="326"/>
      <c r="J308" s="326"/>
      <c r="K308" s="326"/>
      <c r="L308" s="326"/>
      <c r="M308" s="326"/>
      <c r="N308" s="326"/>
      <c r="O308" s="326"/>
      <c r="P308" s="326"/>
      <c r="Q308" s="326"/>
      <c r="R308" s="326"/>
      <c r="S308" s="326"/>
      <c r="T308" s="326"/>
      <c r="U308" s="326"/>
      <c r="V308" s="326"/>
      <c r="W308" s="326"/>
      <c r="X308" s="326"/>
      <c r="Y308" s="326"/>
      <c r="Z308" s="326"/>
      <c r="AA308" s="326"/>
      <c r="AB308" s="326"/>
      <c r="AC308" s="326"/>
      <c r="AD308" s="326"/>
    </row>
    <row r="309">
      <c r="A309" s="326"/>
      <c r="B309" s="326"/>
      <c r="C309" s="326"/>
      <c r="D309" s="326"/>
      <c r="E309" s="326"/>
      <c r="F309" s="326"/>
      <c r="G309" s="326"/>
      <c r="H309" s="326"/>
      <c r="I309" s="326"/>
      <c r="J309" s="326"/>
      <c r="K309" s="326"/>
      <c r="L309" s="326"/>
      <c r="M309" s="326"/>
      <c r="N309" s="326"/>
      <c r="O309" s="326"/>
      <c r="P309" s="326"/>
      <c r="Q309" s="326"/>
      <c r="R309" s="326"/>
      <c r="S309" s="326"/>
      <c r="T309" s="326"/>
      <c r="U309" s="326"/>
      <c r="V309" s="326"/>
      <c r="W309" s="326"/>
      <c r="X309" s="326"/>
      <c r="Y309" s="326"/>
      <c r="Z309" s="326"/>
      <c r="AA309" s="326"/>
      <c r="AB309" s="326"/>
      <c r="AC309" s="326"/>
      <c r="AD309" s="326"/>
    </row>
    <row r="310">
      <c r="A310" s="326"/>
      <c r="B310" s="326"/>
      <c r="C310" s="326"/>
      <c r="D310" s="326"/>
      <c r="E310" s="326"/>
      <c r="F310" s="326"/>
      <c r="G310" s="326"/>
      <c r="H310" s="326"/>
      <c r="I310" s="326"/>
      <c r="J310" s="326"/>
      <c r="K310" s="326"/>
      <c r="L310" s="326"/>
      <c r="M310" s="326"/>
      <c r="N310" s="326"/>
      <c r="O310" s="326"/>
      <c r="P310" s="326"/>
      <c r="Q310" s="326"/>
      <c r="R310" s="326"/>
      <c r="S310" s="326"/>
      <c r="T310" s="326"/>
      <c r="U310" s="326"/>
      <c r="V310" s="326"/>
      <c r="W310" s="326"/>
      <c r="X310" s="326"/>
      <c r="Y310" s="326"/>
      <c r="Z310" s="326"/>
      <c r="AA310" s="326"/>
      <c r="AB310" s="326"/>
      <c r="AC310" s="326"/>
      <c r="AD310" s="326"/>
    </row>
    <row r="311">
      <c r="A311" s="326"/>
      <c r="B311" s="326"/>
      <c r="C311" s="326"/>
      <c r="D311" s="326"/>
      <c r="E311" s="326"/>
      <c r="F311" s="326"/>
      <c r="G311" s="326"/>
      <c r="H311" s="326"/>
      <c r="I311" s="326"/>
      <c r="J311" s="326"/>
      <c r="K311" s="326"/>
      <c r="L311" s="326"/>
      <c r="M311" s="326"/>
      <c r="N311" s="326"/>
      <c r="O311" s="326"/>
      <c r="P311" s="326"/>
      <c r="Q311" s="326"/>
      <c r="R311" s="326"/>
      <c r="S311" s="326"/>
      <c r="T311" s="326"/>
      <c r="U311" s="326"/>
      <c r="V311" s="326"/>
      <c r="W311" s="326"/>
      <c r="X311" s="326"/>
      <c r="Y311" s="326"/>
      <c r="Z311" s="326"/>
      <c r="AA311" s="326"/>
      <c r="AB311" s="326"/>
      <c r="AC311" s="326"/>
      <c r="AD311" s="326"/>
    </row>
    <row r="312">
      <c r="A312" s="326"/>
      <c r="B312" s="326"/>
      <c r="C312" s="326"/>
      <c r="D312" s="326"/>
      <c r="E312" s="326"/>
      <c r="F312" s="326"/>
      <c r="G312" s="326"/>
      <c r="H312" s="326"/>
      <c r="I312" s="326"/>
      <c r="J312" s="326"/>
      <c r="K312" s="326"/>
      <c r="L312" s="326"/>
      <c r="M312" s="326"/>
      <c r="N312" s="326"/>
      <c r="O312" s="326"/>
      <c r="P312" s="326"/>
      <c r="Q312" s="326"/>
      <c r="R312" s="326"/>
      <c r="S312" s="326"/>
      <c r="T312" s="326"/>
      <c r="U312" s="326"/>
      <c r="V312" s="326"/>
      <c r="W312" s="326"/>
      <c r="X312" s="326"/>
      <c r="Y312" s="326"/>
      <c r="Z312" s="326"/>
      <c r="AA312" s="326"/>
      <c r="AB312" s="326"/>
      <c r="AC312" s="326"/>
      <c r="AD312" s="326"/>
    </row>
    <row r="313">
      <c r="A313" s="326"/>
      <c r="B313" s="326"/>
      <c r="C313" s="326"/>
      <c r="D313" s="326"/>
      <c r="E313" s="326"/>
      <c r="F313" s="326"/>
      <c r="G313" s="326"/>
      <c r="H313" s="326"/>
      <c r="I313" s="326"/>
      <c r="J313" s="326"/>
      <c r="K313" s="326"/>
      <c r="L313" s="326"/>
      <c r="M313" s="326"/>
      <c r="N313" s="326"/>
      <c r="O313" s="326"/>
      <c r="P313" s="326"/>
      <c r="Q313" s="326"/>
      <c r="R313" s="326"/>
      <c r="S313" s="326"/>
      <c r="T313" s="326"/>
      <c r="U313" s="326"/>
      <c r="V313" s="326"/>
      <c r="W313" s="326"/>
      <c r="X313" s="326"/>
      <c r="Y313" s="326"/>
      <c r="Z313" s="326"/>
      <c r="AA313" s="326"/>
      <c r="AB313" s="326"/>
      <c r="AC313" s="326"/>
      <c r="AD313" s="326"/>
    </row>
    <row r="314">
      <c r="A314" s="326"/>
      <c r="B314" s="326"/>
      <c r="C314" s="326"/>
      <c r="D314" s="326"/>
      <c r="E314" s="326"/>
      <c r="F314" s="326"/>
      <c r="G314" s="326"/>
      <c r="H314" s="326"/>
      <c r="I314" s="326"/>
      <c r="J314" s="326"/>
      <c r="K314" s="326"/>
      <c r="L314" s="326"/>
      <c r="M314" s="326"/>
      <c r="N314" s="326"/>
      <c r="O314" s="326"/>
      <c r="P314" s="326"/>
      <c r="Q314" s="326"/>
      <c r="R314" s="326"/>
      <c r="S314" s="326"/>
      <c r="T314" s="326"/>
      <c r="U314" s="326"/>
      <c r="V314" s="326"/>
      <c r="W314" s="326"/>
      <c r="X314" s="326"/>
      <c r="Y314" s="326"/>
      <c r="Z314" s="326"/>
      <c r="AA314" s="326"/>
      <c r="AB314" s="326"/>
      <c r="AC314" s="326"/>
      <c r="AD314" s="326"/>
    </row>
    <row r="315">
      <c r="A315" s="326"/>
      <c r="B315" s="326"/>
      <c r="C315" s="326"/>
      <c r="D315" s="326"/>
      <c r="E315" s="326"/>
      <c r="F315" s="326"/>
      <c r="G315" s="326"/>
      <c r="H315" s="326"/>
      <c r="I315" s="326"/>
      <c r="J315" s="326"/>
      <c r="K315" s="326"/>
      <c r="L315" s="326"/>
      <c r="M315" s="326"/>
      <c r="N315" s="326"/>
      <c r="O315" s="326"/>
      <c r="P315" s="326"/>
      <c r="Q315" s="326"/>
      <c r="R315" s="326"/>
      <c r="S315" s="326"/>
      <c r="T315" s="326"/>
      <c r="U315" s="326"/>
      <c r="V315" s="326"/>
      <c r="W315" s="326"/>
      <c r="X315" s="326"/>
      <c r="Y315" s="326"/>
      <c r="Z315" s="326"/>
      <c r="AA315" s="326"/>
      <c r="AB315" s="326"/>
      <c r="AC315" s="326"/>
      <c r="AD315" s="326"/>
    </row>
    <row r="316">
      <c r="A316" s="326"/>
      <c r="B316" s="326"/>
      <c r="C316" s="326"/>
      <c r="D316" s="326"/>
      <c r="E316" s="326"/>
      <c r="F316" s="326"/>
      <c r="G316" s="326"/>
      <c r="H316" s="326"/>
      <c r="I316" s="326"/>
      <c r="J316" s="326"/>
      <c r="K316" s="326"/>
      <c r="L316" s="326"/>
      <c r="M316" s="326"/>
      <c r="N316" s="326"/>
      <c r="O316" s="326"/>
      <c r="P316" s="326"/>
      <c r="Q316" s="326"/>
      <c r="R316" s="326"/>
      <c r="S316" s="326"/>
      <c r="T316" s="326"/>
      <c r="U316" s="326"/>
      <c r="V316" s="326"/>
      <c r="W316" s="326"/>
      <c r="X316" s="326"/>
      <c r="Y316" s="326"/>
      <c r="Z316" s="326"/>
      <c r="AA316" s="326"/>
      <c r="AB316" s="326"/>
      <c r="AC316" s="326"/>
      <c r="AD316" s="326"/>
    </row>
    <row r="317">
      <c r="A317" s="326"/>
      <c r="B317" s="326"/>
      <c r="C317" s="326"/>
      <c r="D317" s="326"/>
      <c r="E317" s="326"/>
      <c r="F317" s="326"/>
      <c r="G317" s="326"/>
      <c r="H317" s="326"/>
      <c r="I317" s="326"/>
      <c r="J317" s="326"/>
      <c r="K317" s="326"/>
      <c r="L317" s="326"/>
      <c r="M317" s="326"/>
      <c r="N317" s="326"/>
      <c r="O317" s="326"/>
      <c r="P317" s="326"/>
      <c r="Q317" s="326"/>
      <c r="R317" s="326"/>
      <c r="S317" s="326"/>
      <c r="T317" s="326"/>
      <c r="U317" s="326"/>
      <c r="V317" s="326"/>
      <c r="W317" s="326"/>
      <c r="X317" s="326"/>
      <c r="Y317" s="326"/>
      <c r="Z317" s="326"/>
      <c r="AA317" s="326"/>
      <c r="AB317" s="326"/>
      <c r="AC317" s="326"/>
      <c r="AD317" s="326"/>
    </row>
    <row r="318">
      <c r="A318" s="326"/>
      <c r="B318" s="326"/>
      <c r="C318" s="326"/>
      <c r="D318" s="326"/>
      <c r="E318" s="326"/>
      <c r="F318" s="326"/>
      <c r="G318" s="326"/>
      <c r="H318" s="326"/>
      <c r="I318" s="326"/>
      <c r="J318" s="326"/>
      <c r="K318" s="326"/>
      <c r="L318" s="326"/>
      <c r="M318" s="326"/>
      <c r="N318" s="326"/>
      <c r="O318" s="326"/>
      <c r="P318" s="326"/>
      <c r="Q318" s="326"/>
      <c r="R318" s="326"/>
      <c r="S318" s="326"/>
      <c r="T318" s="326"/>
      <c r="U318" s="326"/>
      <c r="V318" s="326"/>
      <c r="W318" s="326"/>
      <c r="X318" s="326"/>
      <c r="Y318" s="326"/>
      <c r="Z318" s="326"/>
      <c r="AA318" s="326"/>
      <c r="AB318" s="326"/>
      <c r="AC318" s="326"/>
      <c r="AD318" s="326"/>
    </row>
    <row r="319">
      <c r="A319" s="326"/>
      <c r="B319" s="326"/>
      <c r="C319" s="326"/>
      <c r="D319" s="326"/>
      <c r="E319" s="326"/>
      <c r="F319" s="326"/>
      <c r="G319" s="326"/>
      <c r="H319" s="326"/>
      <c r="I319" s="326"/>
      <c r="J319" s="326"/>
      <c r="K319" s="326"/>
      <c r="L319" s="326"/>
      <c r="M319" s="326"/>
      <c r="N319" s="326"/>
      <c r="O319" s="326"/>
      <c r="P319" s="326"/>
      <c r="Q319" s="326"/>
      <c r="R319" s="326"/>
      <c r="S319" s="326"/>
      <c r="T319" s="326"/>
      <c r="U319" s="326"/>
      <c r="V319" s="326"/>
      <c r="W319" s="326"/>
      <c r="X319" s="326"/>
      <c r="Y319" s="326"/>
      <c r="Z319" s="326"/>
      <c r="AA319" s="326"/>
      <c r="AB319" s="326"/>
      <c r="AC319" s="326"/>
      <c r="AD319" s="326"/>
    </row>
    <row r="320">
      <c r="A320" s="326"/>
      <c r="B320" s="326"/>
      <c r="C320" s="326"/>
      <c r="D320" s="326"/>
      <c r="E320" s="326"/>
      <c r="F320" s="326"/>
      <c r="G320" s="326"/>
      <c r="H320" s="326"/>
      <c r="I320" s="326"/>
      <c r="J320" s="326"/>
      <c r="K320" s="326"/>
      <c r="L320" s="326"/>
      <c r="M320" s="326"/>
      <c r="N320" s="326"/>
      <c r="O320" s="326"/>
      <c r="P320" s="326"/>
      <c r="Q320" s="326"/>
      <c r="R320" s="326"/>
      <c r="S320" s="326"/>
      <c r="T320" s="326"/>
      <c r="U320" s="326"/>
      <c r="V320" s="326"/>
      <c r="W320" s="326"/>
      <c r="X320" s="326"/>
      <c r="Y320" s="326"/>
      <c r="Z320" s="326"/>
      <c r="AA320" s="326"/>
      <c r="AB320" s="326"/>
      <c r="AC320" s="326"/>
      <c r="AD320" s="326"/>
    </row>
    <row r="321">
      <c r="A321" s="326"/>
      <c r="B321" s="326"/>
      <c r="C321" s="326"/>
      <c r="D321" s="326"/>
      <c r="E321" s="326"/>
      <c r="F321" s="326"/>
      <c r="G321" s="326"/>
      <c r="H321" s="326"/>
      <c r="I321" s="326"/>
      <c r="J321" s="326"/>
      <c r="K321" s="326"/>
      <c r="L321" s="326"/>
      <c r="M321" s="326"/>
      <c r="N321" s="326"/>
      <c r="O321" s="326"/>
      <c r="P321" s="326"/>
      <c r="Q321" s="326"/>
      <c r="R321" s="326"/>
      <c r="S321" s="326"/>
      <c r="T321" s="326"/>
      <c r="U321" s="326"/>
      <c r="V321" s="326"/>
      <c r="W321" s="326"/>
      <c r="X321" s="326"/>
      <c r="Y321" s="326"/>
      <c r="Z321" s="326"/>
      <c r="AA321" s="326"/>
      <c r="AB321" s="326"/>
      <c r="AC321" s="326"/>
      <c r="AD321" s="326"/>
    </row>
    <row r="322">
      <c r="A322" s="326"/>
      <c r="B322" s="326"/>
      <c r="C322" s="326"/>
      <c r="D322" s="326"/>
      <c r="E322" s="326"/>
      <c r="F322" s="326"/>
      <c r="G322" s="326"/>
      <c r="H322" s="326"/>
      <c r="I322" s="326"/>
      <c r="J322" s="326"/>
      <c r="K322" s="326"/>
      <c r="L322" s="326"/>
      <c r="M322" s="326"/>
      <c r="N322" s="326"/>
      <c r="O322" s="326"/>
      <c r="P322" s="326"/>
      <c r="Q322" s="326"/>
      <c r="R322" s="326"/>
      <c r="S322" s="326"/>
      <c r="T322" s="326"/>
      <c r="U322" s="326"/>
      <c r="V322" s="326"/>
      <c r="W322" s="326"/>
      <c r="X322" s="326"/>
      <c r="Y322" s="326"/>
      <c r="Z322" s="326"/>
      <c r="AA322" s="326"/>
      <c r="AB322" s="326"/>
      <c r="AC322" s="326"/>
      <c r="AD322" s="326"/>
    </row>
    <row r="323">
      <c r="A323" s="326"/>
      <c r="B323" s="326"/>
      <c r="C323" s="326"/>
      <c r="D323" s="326"/>
      <c r="E323" s="326"/>
      <c r="F323" s="326"/>
      <c r="G323" s="326"/>
      <c r="H323" s="326"/>
      <c r="I323" s="326"/>
      <c r="J323" s="326"/>
      <c r="K323" s="326"/>
      <c r="L323" s="326"/>
      <c r="M323" s="326"/>
      <c r="N323" s="326"/>
      <c r="O323" s="326"/>
      <c r="P323" s="326"/>
      <c r="Q323" s="326"/>
      <c r="R323" s="326"/>
      <c r="S323" s="326"/>
      <c r="T323" s="326"/>
      <c r="U323" s="326"/>
      <c r="V323" s="326"/>
      <c r="W323" s="326"/>
      <c r="X323" s="326"/>
      <c r="Y323" s="326"/>
      <c r="Z323" s="326"/>
      <c r="AA323" s="326"/>
      <c r="AB323" s="326"/>
      <c r="AC323" s="326"/>
      <c r="AD323" s="326"/>
    </row>
    <row r="324">
      <c r="A324" s="326"/>
      <c r="B324" s="326"/>
      <c r="C324" s="326"/>
      <c r="D324" s="326"/>
      <c r="E324" s="326"/>
      <c r="F324" s="326"/>
      <c r="G324" s="326"/>
      <c r="H324" s="326"/>
      <c r="I324" s="326"/>
      <c r="J324" s="326"/>
      <c r="K324" s="326"/>
      <c r="L324" s="326"/>
      <c r="M324" s="326"/>
      <c r="N324" s="326"/>
      <c r="O324" s="326"/>
      <c r="P324" s="326"/>
      <c r="Q324" s="326"/>
      <c r="R324" s="326"/>
      <c r="S324" s="326"/>
      <c r="T324" s="326"/>
      <c r="U324" s="326"/>
      <c r="V324" s="326"/>
      <c r="W324" s="326"/>
      <c r="X324" s="326"/>
      <c r="Y324" s="326"/>
      <c r="Z324" s="326"/>
      <c r="AA324" s="326"/>
      <c r="AB324" s="326"/>
      <c r="AC324" s="326"/>
      <c r="AD324" s="326"/>
    </row>
    <row r="325">
      <c r="A325" s="326"/>
      <c r="B325" s="326"/>
      <c r="C325" s="326"/>
      <c r="D325" s="326"/>
      <c r="E325" s="326"/>
      <c r="F325" s="326"/>
      <c r="G325" s="326"/>
      <c r="H325" s="326"/>
      <c r="I325" s="326"/>
      <c r="J325" s="326"/>
      <c r="K325" s="326"/>
      <c r="L325" s="326"/>
      <c r="M325" s="326"/>
      <c r="N325" s="326"/>
      <c r="O325" s="326"/>
      <c r="P325" s="326"/>
      <c r="Q325" s="326"/>
      <c r="R325" s="326"/>
      <c r="S325" s="326"/>
      <c r="T325" s="326"/>
      <c r="U325" s="326"/>
      <c r="V325" s="326"/>
      <c r="W325" s="326"/>
      <c r="X325" s="326"/>
      <c r="Y325" s="326"/>
      <c r="Z325" s="326"/>
      <c r="AA325" s="326"/>
      <c r="AB325" s="326"/>
      <c r="AC325" s="326"/>
      <c r="AD325" s="326"/>
    </row>
    <row r="326">
      <c r="A326" s="326"/>
      <c r="B326" s="326"/>
      <c r="C326" s="326"/>
      <c r="D326" s="326"/>
      <c r="E326" s="326"/>
      <c r="F326" s="326"/>
      <c r="G326" s="326"/>
      <c r="H326" s="326"/>
      <c r="I326" s="326"/>
      <c r="J326" s="326"/>
      <c r="K326" s="326"/>
      <c r="L326" s="326"/>
      <c r="M326" s="326"/>
      <c r="N326" s="326"/>
      <c r="O326" s="326"/>
      <c r="P326" s="326"/>
      <c r="Q326" s="326"/>
      <c r="R326" s="326"/>
      <c r="S326" s="326"/>
      <c r="T326" s="326"/>
      <c r="U326" s="326"/>
      <c r="V326" s="326"/>
      <c r="W326" s="326"/>
      <c r="X326" s="326"/>
      <c r="Y326" s="326"/>
      <c r="Z326" s="326"/>
      <c r="AA326" s="326"/>
      <c r="AB326" s="326"/>
      <c r="AC326" s="326"/>
      <c r="AD326" s="326"/>
    </row>
    <row r="327">
      <c r="A327" s="326"/>
      <c r="B327" s="326"/>
      <c r="C327" s="326"/>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c r="AB327" s="326"/>
      <c r="AC327" s="326"/>
      <c r="AD327" s="326"/>
    </row>
    <row r="328">
      <c r="A328" s="326"/>
      <c r="B328" s="326"/>
      <c r="C328" s="326"/>
      <c r="D328" s="326"/>
      <c r="E328" s="326"/>
      <c r="F328" s="326"/>
      <c r="G328" s="326"/>
      <c r="H328" s="326"/>
      <c r="I328" s="326"/>
      <c r="J328" s="326"/>
      <c r="K328" s="326"/>
      <c r="L328" s="326"/>
      <c r="M328" s="326"/>
      <c r="N328" s="326"/>
      <c r="O328" s="326"/>
      <c r="P328" s="326"/>
      <c r="Q328" s="326"/>
      <c r="R328" s="326"/>
      <c r="S328" s="326"/>
      <c r="T328" s="326"/>
      <c r="U328" s="326"/>
      <c r="V328" s="326"/>
      <c r="W328" s="326"/>
      <c r="X328" s="326"/>
      <c r="Y328" s="326"/>
      <c r="Z328" s="326"/>
      <c r="AA328" s="326"/>
      <c r="AB328" s="326"/>
      <c r="AC328" s="326"/>
      <c r="AD328" s="326"/>
    </row>
    <row r="329">
      <c r="A329" s="326"/>
      <c r="B329" s="326"/>
      <c r="C329" s="326"/>
      <c r="D329" s="326"/>
      <c r="E329" s="326"/>
      <c r="F329" s="326"/>
      <c r="G329" s="326"/>
      <c r="H329" s="326"/>
      <c r="I329" s="326"/>
      <c r="J329" s="326"/>
      <c r="K329" s="326"/>
      <c r="L329" s="326"/>
      <c r="M329" s="326"/>
      <c r="N329" s="326"/>
      <c r="O329" s="326"/>
      <c r="P329" s="326"/>
      <c r="Q329" s="326"/>
      <c r="R329" s="326"/>
      <c r="S329" s="326"/>
      <c r="T329" s="326"/>
      <c r="U329" s="326"/>
      <c r="V329" s="326"/>
      <c r="W329" s="326"/>
      <c r="X329" s="326"/>
      <c r="Y329" s="326"/>
      <c r="Z329" s="326"/>
      <c r="AA329" s="326"/>
      <c r="AB329" s="326"/>
      <c r="AC329" s="326"/>
      <c r="AD329" s="326"/>
    </row>
    <row r="330">
      <c r="A330" s="326"/>
      <c r="B330" s="326"/>
      <c r="C330" s="326"/>
      <c r="D330" s="326"/>
      <c r="E330" s="326"/>
      <c r="F330" s="326"/>
      <c r="G330" s="326"/>
      <c r="H330" s="326"/>
      <c r="I330" s="326"/>
      <c r="J330" s="326"/>
      <c r="K330" s="326"/>
      <c r="L330" s="326"/>
      <c r="M330" s="326"/>
      <c r="N330" s="326"/>
      <c r="O330" s="326"/>
      <c r="P330" s="326"/>
      <c r="Q330" s="326"/>
      <c r="R330" s="326"/>
      <c r="S330" s="326"/>
      <c r="T330" s="326"/>
      <c r="U330" s="326"/>
      <c r="V330" s="326"/>
      <c r="W330" s="326"/>
      <c r="X330" s="326"/>
      <c r="Y330" s="326"/>
      <c r="Z330" s="326"/>
      <c r="AA330" s="326"/>
      <c r="AB330" s="326"/>
      <c r="AC330" s="326"/>
      <c r="AD330" s="326"/>
    </row>
    <row r="331">
      <c r="A331" s="326"/>
      <c r="B331" s="326"/>
      <c r="C331" s="326"/>
      <c r="D331" s="326"/>
      <c r="E331" s="326"/>
      <c r="F331" s="326"/>
      <c r="G331" s="326"/>
      <c r="H331" s="326"/>
      <c r="I331" s="326"/>
      <c r="J331" s="326"/>
      <c r="K331" s="326"/>
      <c r="L331" s="326"/>
      <c r="M331" s="326"/>
      <c r="N331" s="326"/>
      <c r="O331" s="326"/>
      <c r="P331" s="326"/>
      <c r="Q331" s="326"/>
      <c r="R331" s="326"/>
      <c r="S331" s="326"/>
      <c r="T331" s="326"/>
      <c r="U331" s="326"/>
      <c r="V331" s="326"/>
      <c r="W331" s="326"/>
      <c r="X331" s="326"/>
      <c r="Y331" s="326"/>
      <c r="Z331" s="326"/>
      <c r="AA331" s="326"/>
      <c r="AB331" s="326"/>
      <c r="AC331" s="326"/>
      <c r="AD331" s="326"/>
    </row>
    <row r="332">
      <c r="A332" s="326"/>
      <c r="B332" s="326"/>
      <c r="C332" s="326"/>
      <c r="D332" s="326"/>
      <c r="E332" s="326"/>
      <c r="F332" s="326"/>
      <c r="G332" s="326"/>
      <c r="H332" s="326"/>
      <c r="I332" s="326"/>
      <c r="J332" s="326"/>
      <c r="K332" s="326"/>
      <c r="L332" s="326"/>
      <c r="M332" s="326"/>
      <c r="N332" s="326"/>
      <c r="O332" s="326"/>
      <c r="P332" s="326"/>
      <c r="Q332" s="326"/>
      <c r="R332" s="326"/>
      <c r="S332" s="326"/>
      <c r="T332" s="326"/>
      <c r="U332" s="326"/>
      <c r="V332" s="326"/>
      <c r="W332" s="326"/>
      <c r="X332" s="326"/>
      <c r="Y332" s="326"/>
      <c r="Z332" s="326"/>
      <c r="AA332" s="326"/>
      <c r="AB332" s="326"/>
      <c r="AC332" s="326"/>
      <c r="AD332" s="326"/>
    </row>
    <row r="333">
      <c r="A333" s="326"/>
      <c r="B333" s="326"/>
      <c r="C333" s="326"/>
      <c r="D333" s="326"/>
      <c r="E333" s="326"/>
      <c r="F333" s="326"/>
      <c r="G333" s="326"/>
      <c r="H333" s="326"/>
      <c r="I333" s="326"/>
      <c r="J333" s="326"/>
      <c r="K333" s="326"/>
      <c r="L333" s="326"/>
      <c r="M333" s="326"/>
      <c r="N333" s="326"/>
      <c r="O333" s="326"/>
      <c r="P333" s="326"/>
      <c r="Q333" s="326"/>
      <c r="R333" s="326"/>
      <c r="S333" s="326"/>
      <c r="T333" s="326"/>
      <c r="U333" s="326"/>
      <c r="V333" s="326"/>
      <c r="W333" s="326"/>
      <c r="X333" s="326"/>
      <c r="Y333" s="326"/>
      <c r="Z333" s="326"/>
      <c r="AA333" s="326"/>
      <c r="AB333" s="326"/>
      <c r="AC333" s="326"/>
      <c r="AD333" s="326"/>
    </row>
    <row r="334">
      <c r="A334" s="326"/>
      <c r="B334" s="326"/>
      <c r="C334" s="326"/>
      <c r="D334" s="326"/>
      <c r="E334" s="326"/>
      <c r="F334" s="326"/>
      <c r="G334" s="326"/>
      <c r="H334" s="326"/>
      <c r="I334" s="326"/>
      <c r="J334" s="326"/>
      <c r="K334" s="326"/>
      <c r="L334" s="326"/>
      <c r="M334" s="326"/>
      <c r="N334" s="326"/>
      <c r="O334" s="326"/>
      <c r="P334" s="326"/>
      <c r="Q334" s="326"/>
      <c r="R334" s="326"/>
      <c r="S334" s="326"/>
      <c r="T334" s="326"/>
      <c r="U334" s="326"/>
      <c r="V334" s="326"/>
      <c r="W334" s="326"/>
      <c r="X334" s="326"/>
      <c r="Y334" s="326"/>
      <c r="Z334" s="326"/>
      <c r="AA334" s="326"/>
      <c r="AB334" s="326"/>
      <c r="AC334" s="326"/>
      <c r="AD334" s="326"/>
    </row>
    <row r="335">
      <c r="A335" s="326"/>
      <c r="B335" s="326"/>
      <c r="C335" s="326"/>
      <c r="D335" s="326"/>
      <c r="E335" s="326"/>
      <c r="F335" s="326"/>
      <c r="G335" s="326"/>
      <c r="H335" s="326"/>
      <c r="I335" s="326"/>
      <c r="J335" s="326"/>
      <c r="K335" s="326"/>
      <c r="L335" s="326"/>
      <c r="M335" s="326"/>
      <c r="N335" s="326"/>
      <c r="O335" s="326"/>
      <c r="P335" s="326"/>
      <c r="Q335" s="326"/>
      <c r="R335" s="326"/>
      <c r="S335" s="326"/>
      <c r="T335" s="326"/>
      <c r="U335" s="326"/>
      <c r="V335" s="326"/>
      <c r="W335" s="326"/>
      <c r="X335" s="326"/>
      <c r="Y335" s="326"/>
      <c r="Z335" s="326"/>
      <c r="AA335" s="326"/>
      <c r="AB335" s="326"/>
      <c r="AC335" s="326"/>
      <c r="AD335" s="326"/>
    </row>
    <row r="336">
      <c r="A336" s="326"/>
      <c r="B336" s="326"/>
      <c r="C336" s="326"/>
      <c r="D336" s="326"/>
      <c r="E336" s="326"/>
      <c r="F336" s="326"/>
      <c r="G336" s="326"/>
      <c r="H336" s="326"/>
      <c r="I336" s="326"/>
      <c r="J336" s="326"/>
      <c r="K336" s="326"/>
      <c r="L336" s="326"/>
      <c r="M336" s="326"/>
      <c r="N336" s="326"/>
      <c r="O336" s="326"/>
      <c r="P336" s="326"/>
      <c r="Q336" s="326"/>
      <c r="R336" s="326"/>
      <c r="S336" s="326"/>
      <c r="T336" s="326"/>
      <c r="U336" s="326"/>
      <c r="V336" s="326"/>
      <c r="W336" s="326"/>
      <c r="X336" s="326"/>
      <c r="Y336" s="326"/>
      <c r="Z336" s="326"/>
      <c r="AA336" s="326"/>
      <c r="AB336" s="326"/>
      <c r="AC336" s="326"/>
      <c r="AD336" s="326"/>
    </row>
    <row r="337">
      <c r="A337" s="326"/>
      <c r="B337" s="326"/>
      <c r="C337" s="326"/>
      <c r="D337" s="326"/>
      <c r="E337" s="326"/>
      <c r="F337" s="326"/>
      <c r="G337" s="326"/>
      <c r="H337" s="326"/>
      <c r="I337" s="326"/>
      <c r="J337" s="326"/>
      <c r="K337" s="326"/>
      <c r="L337" s="326"/>
      <c r="M337" s="326"/>
      <c r="N337" s="326"/>
      <c r="O337" s="326"/>
      <c r="P337" s="326"/>
      <c r="Q337" s="326"/>
      <c r="R337" s="326"/>
      <c r="S337" s="326"/>
      <c r="T337" s="326"/>
      <c r="U337" s="326"/>
      <c r="V337" s="326"/>
      <c r="W337" s="326"/>
      <c r="X337" s="326"/>
      <c r="Y337" s="326"/>
      <c r="Z337" s="326"/>
      <c r="AA337" s="326"/>
      <c r="AB337" s="326"/>
      <c r="AC337" s="326"/>
      <c r="AD337" s="326"/>
    </row>
    <row r="338">
      <c r="A338" s="326"/>
      <c r="B338" s="326"/>
      <c r="C338" s="326"/>
      <c r="D338" s="326"/>
      <c r="E338" s="326"/>
      <c r="F338" s="326"/>
      <c r="G338" s="326"/>
      <c r="H338" s="326"/>
      <c r="I338" s="326"/>
      <c r="J338" s="326"/>
      <c r="K338" s="326"/>
      <c r="L338" s="326"/>
      <c r="M338" s="326"/>
      <c r="N338" s="326"/>
      <c r="O338" s="326"/>
      <c r="P338" s="326"/>
      <c r="Q338" s="326"/>
      <c r="R338" s="326"/>
      <c r="S338" s="326"/>
      <c r="T338" s="326"/>
      <c r="U338" s="326"/>
      <c r="V338" s="326"/>
      <c r="W338" s="326"/>
      <c r="X338" s="326"/>
      <c r="Y338" s="326"/>
      <c r="Z338" s="326"/>
      <c r="AA338" s="326"/>
      <c r="AB338" s="326"/>
      <c r="AC338" s="326"/>
      <c r="AD338" s="326"/>
    </row>
    <row r="339">
      <c r="A339" s="326"/>
      <c r="B339" s="326"/>
      <c r="C339" s="326"/>
      <c r="D339" s="326"/>
      <c r="E339" s="326"/>
      <c r="F339" s="326"/>
      <c r="G339" s="326"/>
      <c r="H339" s="326"/>
      <c r="I339" s="326"/>
      <c r="J339" s="326"/>
      <c r="K339" s="326"/>
      <c r="L339" s="326"/>
      <c r="M339" s="326"/>
      <c r="N339" s="326"/>
      <c r="O339" s="326"/>
      <c r="P339" s="326"/>
      <c r="Q339" s="326"/>
      <c r="R339" s="326"/>
      <c r="S339" s="326"/>
      <c r="T339" s="326"/>
      <c r="U339" s="326"/>
      <c r="V339" s="326"/>
      <c r="W339" s="326"/>
      <c r="X339" s="326"/>
      <c r="Y339" s="326"/>
      <c r="Z339" s="326"/>
      <c r="AA339" s="326"/>
      <c r="AB339" s="326"/>
      <c r="AC339" s="326"/>
      <c r="AD339" s="326"/>
    </row>
    <row r="340">
      <c r="A340" s="326"/>
      <c r="B340" s="326"/>
      <c r="C340" s="326"/>
      <c r="D340" s="326"/>
      <c r="E340" s="326"/>
      <c r="F340" s="326"/>
      <c r="G340" s="326"/>
      <c r="H340" s="326"/>
      <c r="I340" s="326"/>
      <c r="J340" s="326"/>
      <c r="K340" s="326"/>
      <c r="L340" s="326"/>
      <c r="M340" s="326"/>
      <c r="N340" s="326"/>
      <c r="O340" s="326"/>
      <c r="P340" s="326"/>
      <c r="Q340" s="326"/>
      <c r="R340" s="326"/>
      <c r="S340" s="326"/>
      <c r="T340" s="326"/>
      <c r="U340" s="326"/>
      <c r="V340" s="326"/>
      <c r="W340" s="326"/>
      <c r="X340" s="326"/>
      <c r="Y340" s="326"/>
      <c r="Z340" s="326"/>
      <c r="AA340" s="326"/>
      <c r="AB340" s="326"/>
      <c r="AC340" s="326"/>
      <c r="AD340" s="326"/>
    </row>
    <row r="341">
      <c r="A341" s="326"/>
      <c r="B341" s="326"/>
      <c r="C341" s="326"/>
      <c r="D341" s="326"/>
      <c r="E341" s="326"/>
      <c r="F341" s="326"/>
      <c r="G341" s="326"/>
      <c r="H341" s="326"/>
      <c r="I341" s="326"/>
      <c r="J341" s="326"/>
      <c r="K341" s="326"/>
      <c r="L341" s="326"/>
      <c r="M341" s="326"/>
      <c r="N341" s="326"/>
      <c r="O341" s="326"/>
      <c r="P341" s="326"/>
      <c r="Q341" s="326"/>
      <c r="R341" s="326"/>
      <c r="S341" s="326"/>
      <c r="T341" s="326"/>
      <c r="U341" s="326"/>
      <c r="V341" s="326"/>
      <c r="W341" s="326"/>
      <c r="X341" s="326"/>
      <c r="Y341" s="326"/>
      <c r="Z341" s="326"/>
      <c r="AA341" s="326"/>
      <c r="AB341" s="326"/>
      <c r="AC341" s="326"/>
      <c r="AD341" s="326"/>
    </row>
    <row r="342">
      <c r="A342" s="326"/>
      <c r="B342" s="326"/>
      <c r="C342" s="326"/>
      <c r="D342" s="326"/>
      <c r="E342" s="326"/>
      <c r="F342" s="326"/>
      <c r="G342" s="326"/>
      <c r="H342" s="326"/>
      <c r="I342" s="326"/>
      <c r="J342" s="326"/>
      <c r="K342" s="326"/>
      <c r="L342" s="326"/>
      <c r="M342" s="326"/>
      <c r="N342" s="326"/>
      <c r="O342" s="326"/>
      <c r="P342" s="326"/>
      <c r="Q342" s="326"/>
      <c r="R342" s="326"/>
      <c r="S342" s="326"/>
      <c r="T342" s="326"/>
      <c r="U342" s="326"/>
      <c r="V342" s="326"/>
      <c r="W342" s="326"/>
      <c r="X342" s="326"/>
      <c r="Y342" s="326"/>
      <c r="Z342" s="326"/>
      <c r="AA342" s="326"/>
      <c r="AB342" s="326"/>
      <c r="AC342" s="326"/>
      <c r="AD342" s="326"/>
    </row>
    <row r="343">
      <c r="A343" s="326"/>
      <c r="B343" s="326"/>
      <c r="C343" s="326"/>
      <c r="D343" s="326"/>
      <c r="E343" s="326"/>
      <c r="F343" s="326"/>
      <c r="G343" s="326"/>
      <c r="H343" s="326"/>
      <c r="I343" s="326"/>
      <c r="J343" s="326"/>
      <c r="K343" s="326"/>
      <c r="L343" s="326"/>
      <c r="M343" s="326"/>
      <c r="N343" s="326"/>
      <c r="O343" s="326"/>
      <c r="P343" s="326"/>
      <c r="Q343" s="326"/>
      <c r="R343" s="326"/>
      <c r="S343" s="326"/>
      <c r="T343" s="326"/>
      <c r="U343" s="326"/>
      <c r="V343" s="326"/>
      <c r="W343" s="326"/>
      <c r="X343" s="326"/>
      <c r="Y343" s="326"/>
      <c r="Z343" s="326"/>
      <c r="AA343" s="326"/>
      <c r="AB343" s="326"/>
      <c r="AC343" s="326"/>
      <c r="AD343" s="326"/>
    </row>
    <row r="344">
      <c r="A344" s="326"/>
      <c r="B344" s="326"/>
      <c r="C344" s="326"/>
      <c r="D344" s="326"/>
      <c r="E344" s="326"/>
      <c r="F344" s="326"/>
      <c r="G344" s="326"/>
      <c r="H344" s="326"/>
      <c r="I344" s="326"/>
      <c r="J344" s="326"/>
      <c r="K344" s="326"/>
      <c r="L344" s="326"/>
      <c r="M344" s="326"/>
      <c r="N344" s="326"/>
      <c r="O344" s="326"/>
      <c r="P344" s="326"/>
      <c r="Q344" s="326"/>
      <c r="R344" s="326"/>
      <c r="S344" s="326"/>
      <c r="T344" s="326"/>
      <c r="U344" s="326"/>
      <c r="V344" s="326"/>
      <c r="W344" s="326"/>
      <c r="X344" s="326"/>
      <c r="Y344" s="326"/>
      <c r="Z344" s="326"/>
      <c r="AA344" s="326"/>
      <c r="AB344" s="326"/>
      <c r="AC344" s="326"/>
      <c r="AD344" s="326"/>
    </row>
    <row r="345">
      <c r="A345" s="326"/>
      <c r="B345" s="326"/>
      <c r="C345" s="326"/>
      <c r="D345" s="326"/>
      <c r="E345" s="326"/>
      <c r="F345" s="326"/>
      <c r="G345" s="326"/>
      <c r="H345" s="326"/>
      <c r="I345" s="326"/>
      <c r="J345" s="326"/>
      <c r="K345" s="326"/>
      <c r="L345" s="326"/>
      <c r="M345" s="326"/>
      <c r="N345" s="326"/>
      <c r="O345" s="326"/>
      <c r="P345" s="326"/>
      <c r="Q345" s="326"/>
      <c r="R345" s="326"/>
      <c r="S345" s="326"/>
      <c r="T345" s="326"/>
      <c r="U345" s="326"/>
      <c r="V345" s="326"/>
      <c r="W345" s="326"/>
      <c r="X345" s="326"/>
      <c r="Y345" s="326"/>
      <c r="Z345" s="326"/>
      <c r="AA345" s="326"/>
      <c r="AB345" s="326"/>
      <c r="AC345" s="326"/>
      <c r="AD345" s="326"/>
    </row>
    <row r="346">
      <c r="A346" s="326"/>
      <c r="B346" s="326"/>
      <c r="C346" s="326"/>
      <c r="D346" s="326"/>
      <c r="E346" s="326"/>
      <c r="F346" s="326"/>
      <c r="G346" s="326"/>
      <c r="H346" s="326"/>
      <c r="I346" s="326"/>
      <c r="J346" s="326"/>
      <c r="K346" s="326"/>
      <c r="L346" s="326"/>
      <c r="M346" s="326"/>
      <c r="N346" s="326"/>
      <c r="O346" s="326"/>
      <c r="P346" s="326"/>
      <c r="Q346" s="326"/>
      <c r="R346" s="326"/>
      <c r="S346" s="326"/>
      <c r="T346" s="326"/>
      <c r="U346" s="326"/>
      <c r="V346" s="326"/>
      <c r="W346" s="326"/>
      <c r="X346" s="326"/>
      <c r="Y346" s="326"/>
      <c r="Z346" s="326"/>
      <c r="AA346" s="326"/>
      <c r="AB346" s="326"/>
      <c r="AC346" s="326"/>
      <c r="AD346" s="326"/>
    </row>
    <row r="347">
      <c r="A347" s="326"/>
      <c r="B347" s="326"/>
      <c r="C347" s="326"/>
      <c r="D347" s="326"/>
      <c r="E347" s="326"/>
      <c r="F347" s="326"/>
      <c r="G347" s="326"/>
      <c r="H347" s="326"/>
      <c r="I347" s="326"/>
      <c r="J347" s="326"/>
      <c r="K347" s="326"/>
      <c r="L347" s="326"/>
      <c r="M347" s="326"/>
      <c r="N347" s="326"/>
      <c r="O347" s="326"/>
      <c r="P347" s="326"/>
      <c r="Q347" s="326"/>
      <c r="R347" s="326"/>
      <c r="S347" s="326"/>
      <c r="T347" s="326"/>
      <c r="U347" s="326"/>
      <c r="V347" s="326"/>
      <c r="W347" s="326"/>
      <c r="X347" s="326"/>
      <c r="Y347" s="326"/>
      <c r="Z347" s="326"/>
      <c r="AA347" s="326"/>
      <c r="AB347" s="326"/>
      <c r="AC347" s="326"/>
      <c r="AD347" s="326"/>
    </row>
    <row r="348">
      <c r="A348" s="326"/>
      <c r="B348" s="326"/>
      <c r="C348" s="326"/>
      <c r="D348" s="326"/>
      <c r="E348" s="326"/>
      <c r="F348" s="326"/>
      <c r="G348" s="326"/>
      <c r="H348" s="326"/>
      <c r="I348" s="326"/>
      <c r="J348" s="326"/>
      <c r="K348" s="326"/>
      <c r="L348" s="326"/>
      <c r="M348" s="326"/>
      <c r="N348" s="326"/>
      <c r="O348" s="326"/>
      <c r="P348" s="326"/>
      <c r="Q348" s="326"/>
      <c r="R348" s="326"/>
      <c r="S348" s="326"/>
      <c r="T348" s="326"/>
      <c r="U348" s="326"/>
      <c r="V348" s="326"/>
      <c r="W348" s="326"/>
      <c r="X348" s="326"/>
      <c r="Y348" s="326"/>
      <c r="Z348" s="326"/>
      <c r="AA348" s="326"/>
      <c r="AB348" s="326"/>
      <c r="AC348" s="326"/>
      <c r="AD348" s="326"/>
    </row>
    <row r="349">
      <c r="A349" s="326"/>
      <c r="B349" s="326"/>
      <c r="C349" s="326"/>
      <c r="D349" s="326"/>
      <c r="E349" s="326"/>
      <c r="F349" s="326"/>
      <c r="G349" s="326"/>
      <c r="H349" s="326"/>
      <c r="I349" s="326"/>
      <c r="J349" s="326"/>
      <c r="K349" s="326"/>
      <c r="L349" s="326"/>
      <c r="M349" s="326"/>
      <c r="N349" s="326"/>
      <c r="O349" s="326"/>
      <c r="P349" s="326"/>
      <c r="Q349" s="326"/>
      <c r="R349" s="326"/>
      <c r="S349" s="326"/>
      <c r="T349" s="326"/>
      <c r="U349" s="326"/>
      <c r="V349" s="326"/>
      <c r="W349" s="326"/>
      <c r="X349" s="326"/>
      <c r="Y349" s="326"/>
      <c r="Z349" s="326"/>
      <c r="AA349" s="326"/>
      <c r="AB349" s="326"/>
      <c r="AC349" s="326"/>
      <c r="AD349" s="326"/>
    </row>
    <row r="350">
      <c r="A350" s="326"/>
      <c r="B350" s="326"/>
      <c r="C350" s="326"/>
      <c r="D350" s="326"/>
      <c r="E350" s="326"/>
      <c r="F350" s="326"/>
      <c r="G350" s="326"/>
      <c r="H350" s="326"/>
      <c r="I350" s="326"/>
      <c r="J350" s="326"/>
      <c r="K350" s="326"/>
      <c r="L350" s="326"/>
      <c r="M350" s="326"/>
      <c r="N350" s="326"/>
      <c r="O350" s="326"/>
      <c r="P350" s="326"/>
      <c r="Q350" s="326"/>
      <c r="R350" s="326"/>
      <c r="S350" s="326"/>
      <c r="T350" s="326"/>
      <c r="U350" s="326"/>
      <c r="V350" s="326"/>
      <c r="W350" s="326"/>
      <c r="X350" s="326"/>
      <c r="Y350" s="326"/>
      <c r="Z350" s="326"/>
      <c r="AA350" s="326"/>
      <c r="AB350" s="326"/>
      <c r="AC350" s="326"/>
      <c r="AD350" s="326"/>
    </row>
    <row r="351">
      <c r="A351" s="326"/>
      <c r="B351" s="326"/>
      <c r="C351" s="326"/>
      <c r="D351" s="326"/>
      <c r="E351" s="326"/>
      <c r="F351" s="326"/>
      <c r="G351" s="326"/>
      <c r="H351" s="326"/>
      <c r="I351" s="326"/>
      <c r="J351" s="326"/>
      <c r="K351" s="326"/>
      <c r="L351" s="326"/>
      <c r="M351" s="326"/>
      <c r="N351" s="326"/>
      <c r="O351" s="326"/>
      <c r="P351" s="326"/>
      <c r="Q351" s="326"/>
      <c r="R351" s="326"/>
      <c r="S351" s="326"/>
      <c r="T351" s="326"/>
      <c r="U351" s="326"/>
      <c r="V351" s="326"/>
      <c r="W351" s="326"/>
      <c r="X351" s="326"/>
      <c r="Y351" s="326"/>
      <c r="Z351" s="326"/>
      <c r="AA351" s="326"/>
      <c r="AB351" s="326"/>
      <c r="AC351" s="326"/>
      <c r="AD351" s="326"/>
    </row>
    <row r="352">
      <c r="A352" s="326"/>
      <c r="B352" s="326"/>
      <c r="C352" s="326"/>
      <c r="D352" s="326"/>
      <c r="E352" s="326"/>
      <c r="F352" s="326"/>
      <c r="G352" s="326"/>
      <c r="H352" s="326"/>
      <c r="I352" s="326"/>
      <c r="J352" s="326"/>
      <c r="K352" s="326"/>
      <c r="L352" s="326"/>
      <c r="M352" s="326"/>
      <c r="N352" s="326"/>
      <c r="O352" s="326"/>
      <c r="P352" s="326"/>
      <c r="Q352" s="326"/>
      <c r="R352" s="326"/>
      <c r="S352" s="326"/>
      <c r="T352" s="326"/>
      <c r="U352" s="326"/>
      <c r="V352" s="326"/>
      <c r="W352" s="326"/>
      <c r="X352" s="326"/>
      <c r="Y352" s="326"/>
      <c r="Z352" s="326"/>
      <c r="AA352" s="326"/>
      <c r="AB352" s="326"/>
      <c r="AC352" s="326"/>
      <c r="AD352" s="326"/>
    </row>
    <row r="353">
      <c r="A353" s="326"/>
      <c r="B353" s="326"/>
      <c r="C353" s="326"/>
      <c r="D353" s="326"/>
      <c r="E353" s="326"/>
      <c r="F353" s="326"/>
      <c r="G353" s="326"/>
      <c r="H353" s="326"/>
      <c r="I353" s="326"/>
      <c r="J353" s="326"/>
      <c r="K353" s="326"/>
      <c r="L353" s="326"/>
      <c r="M353" s="326"/>
      <c r="N353" s="326"/>
      <c r="O353" s="326"/>
      <c r="P353" s="326"/>
      <c r="Q353" s="326"/>
      <c r="R353" s="326"/>
      <c r="S353" s="326"/>
      <c r="T353" s="326"/>
      <c r="U353" s="326"/>
      <c r="V353" s="326"/>
      <c r="W353" s="326"/>
      <c r="X353" s="326"/>
      <c r="Y353" s="326"/>
      <c r="Z353" s="326"/>
      <c r="AA353" s="326"/>
      <c r="AB353" s="326"/>
      <c r="AC353" s="326"/>
      <c r="AD353" s="326"/>
    </row>
    <row r="354">
      <c r="A354" s="326"/>
      <c r="B354" s="326"/>
      <c r="C354" s="326"/>
      <c r="D354" s="326"/>
      <c r="E354" s="326"/>
      <c r="F354" s="326"/>
      <c r="G354" s="326"/>
      <c r="H354" s="326"/>
      <c r="I354" s="326"/>
      <c r="J354" s="326"/>
      <c r="K354" s="326"/>
      <c r="L354" s="326"/>
      <c r="M354" s="326"/>
      <c r="N354" s="326"/>
      <c r="O354" s="326"/>
      <c r="P354" s="326"/>
      <c r="Q354" s="326"/>
      <c r="R354" s="326"/>
      <c r="S354" s="326"/>
      <c r="T354" s="326"/>
      <c r="U354" s="326"/>
      <c r="V354" s="326"/>
      <c r="W354" s="326"/>
      <c r="X354" s="326"/>
      <c r="Y354" s="326"/>
      <c r="Z354" s="326"/>
      <c r="AA354" s="326"/>
      <c r="AB354" s="326"/>
      <c r="AC354" s="326"/>
      <c r="AD354" s="326"/>
    </row>
    <row r="355">
      <c r="A355" s="326"/>
      <c r="B355" s="326"/>
      <c r="C355" s="326"/>
      <c r="D355" s="326"/>
      <c r="E355" s="326"/>
      <c r="F355" s="326"/>
      <c r="G355" s="326"/>
      <c r="H355" s="326"/>
      <c r="I355" s="326"/>
      <c r="J355" s="326"/>
      <c r="K355" s="326"/>
      <c r="L355" s="326"/>
      <c r="M355" s="326"/>
      <c r="N355" s="326"/>
      <c r="O355" s="326"/>
      <c r="P355" s="326"/>
      <c r="Q355" s="326"/>
      <c r="R355" s="326"/>
      <c r="S355" s="326"/>
      <c r="T355" s="326"/>
      <c r="U355" s="326"/>
      <c r="V355" s="326"/>
      <c r="W355" s="326"/>
      <c r="X355" s="326"/>
      <c r="Y355" s="326"/>
      <c r="Z355" s="326"/>
      <c r="AA355" s="326"/>
      <c r="AB355" s="326"/>
      <c r="AC355" s="326"/>
      <c r="AD355" s="326"/>
    </row>
    <row r="356">
      <c r="A356" s="326"/>
      <c r="B356" s="326"/>
      <c r="C356" s="326"/>
      <c r="D356" s="326"/>
      <c r="E356" s="326"/>
      <c r="F356" s="326"/>
      <c r="G356" s="326"/>
      <c r="H356" s="326"/>
      <c r="I356" s="326"/>
      <c r="J356" s="326"/>
      <c r="K356" s="326"/>
      <c r="L356" s="326"/>
      <c r="M356" s="326"/>
      <c r="N356" s="326"/>
      <c r="O356" s="326"/>
      <c r="P356" s="326"/>
      <c r="Q356" s="326"/>
      <c r="R356" s="326"/>
      <c r="S356" s="326"/>
      <c r="T356" s="326"/>
      <c r="U356" s="326"/>
      <c r="V356" s="326"/>
      <c r="W356" s="326"/>
      <c r="X356" s="326"/>
      <c r="Y356" s="326"/>
      <c r="Z356" s="326"/>
      <c r="AA356" s="326"/>
      <c r="AB356" s="326"/>
      <c r="AC356" s="326"/>
      <c r="AD356" s="326"/>
    </row>
    <row r="357">
      <c r="A357" s="326"/>
      <c r="B357" s="326"/>
      <c r="C357" s="326"/>
      <c r="D357" s="326"/>
      <c r="E357" s="326"/>
      <c r="F357" s="326"/>
      <c r="G357" s="326"/>
      <c r="H357" s="326"/>
      <c r="I357" s="326"/>
      <c r="J357" s="326"/>
      <c r="K357" s="326"/>
      <c r="L357" s="326"/>
      <c r="M357" s="326"/>
      <c r="N357" s="326"/>
      <c r="O357" s="326"/>
      <c r="P357" s="326"/>
      <c r="Q357" s="326"/>
      <c r="R357" s="326"/>
      <c r="S357" s="326"/>
      <c r="T357" s="326"/>
      <c r="U357" s="326"/>
      <c r="V357" s="326"/>
      <c r="W357" s="326"/>
      <c r="X357" s="326"/>
      <c r="Y357" s="326"/>
      <c r="Z357" s="326"/>
      <c r="AA357" s="326"/>
      <c r="AB357" s="326"/>
      <c r="AC357" s="326"/>
      <c r="AD357" s="326"/>
    </row>
    <row r="358">
      <c r="A358" s="326"/>
      <c r="B358" s="326"/>
      <c r="C358" s="326"/>
      <c r="D358" s="326"/>
      <c r="E358" s="326"/>
      <c r="F358" s="326"/>
      <c r="G358" s="326"/>
      <c r="H358" s="326"/>
      <c r="I358" s="326"/>
      <c r="J358" s="326"/>
      <c r="K358" s="326"/>
      <c r="L358" s="326"/>
      <c r="M358" s="326"/>
      <c r="N358" s="326"/>
      <c r="O358" s="326"/>
      <c r="P358" s="326"/>
      <c r="Q358" s="326"/>
      <c r="R358" s="326"/>
      <c r="S358" s="326"/>
      <c r="T358" s="326"/>
      <c r="U358" s="326"/>
      <c r="V358" s="326"/>
      <c r="W358" s="326"/>
      <c r="X358" s="326"/>
      <c r="Y358" s="326"/>
      <c r="Z358" s="326"/>
      <c r="AA358" s="326"/>
      <c r="AB358" s="326"/>
      <c r="AC358" s="326"/>
      <c r="AD358" s="326"/>
    </row>
    <row r="359">
      <c r="A359" s="326"/>
      <c r="B359" s="326"/>
      <c r="C359" s="326"/>
      <c r="D359" s="326"/>
      <c r="E359" s="326"/>
      <c r="F359" s="326"/>
      <c r="G359" s="326"/>
      <c r="H359" s="326"/>
      <c r="I359" s="326"/>
      <c r="J359" s="326"/>
      <c r="K359" s="326"/>
      <c r="L359" s="326"/>
      <c r="M359" s="326"/>
      <c r="N359" s="326"/>
      <c r="O359" s="326"/>
      <c r="P359" s="326"/>
      <c r="Q359" s="326"/>
      <c r="R359" s="326"/>
      <c r="S359" s="326"/>
      <c r="T359" s="326"/>
      <c r="U359" s="326"/>
      <c r="V359" s="326"/>
      <c r="W359" s="326"/>
      <c r="X359" s="326"/>
      <c r="Y359" s="326"/>
      <c r="Z359" s="326"/>
      <c r="AA359" s="326"/>
      <c r="AB359" s="326"/>
      <c r="AC359" s="326"/>
      <c r="AD359" s="326"/>
    </row>
    <row r="360">
      <c r="A360" s="326"/>
      <c r="B360" s="326"/>
      <c r="C360" s="326"/>
      <c r="D360" s="326"/>
      <c r="E360" s="326"/>
      <c r="F360" s="326"/>
      <c r="G360" s="326"/>
      <c r="H360" s="326"/>
      <c r="I360" s="326"/>
      <c r="J360" s="326"/>
      <c r="K360" s="326"/>
      <c r="L360" s="326"/>
      <c r="M360" s="326"/>
      <c r="N360" s="326"/>
      <c r="O360" s="326"/>
      <c r="P360" s="326"/>
      <c r="Q360" s="326"/>
      <c r="R360" s="326"/>
      <c r="S360" s="326"/>
      <c r="T360" s="326"/>
      <c r="U360" s="326"/>
      <c r="V360" s="326"/>
      <c r="W360" s="326"/>
      <c r="X360" s="326"/>
      <c r="Y360" s="326"/>
      <c r="Z360" s="326"/>
      <c r="AA360" s="326"/>
      <c r="AB360" s="326"/>
      <c r="AC360" s="326"/>
      <c r="AD360" s="326"/>
    </row>
    <row r="361">
      <c r="A361" s="326"/>
      <c r="B361" s="326"/>
      <c r="C361" s="326"/>
      <c r="D361" s="326"/>
      <c r="E361" s="326"/>
      <c r="F361" s="326"/>
      <c r="G361" s="326"/>
      <c r="H361" s="326"/>
      <c r="I361" s="326"/>
      <c r="J361" s="326"/>
      <c r="K361" s="326"/>
      <c r="L361" s="326"/>
      <c r="M361" s="326"/>
      <c r="N361" s="326"/>
      <c r="O361" s="326"/>
      <c r="P361" s="326"/>
      <c r="Q361" s="326"/>
      <c r="R361" s="326"/>
      <c r="S361" s="326"/>
      <c r="T361" s="326"/>
      <c r="U361" s="326"/>
      <c r="V361" s="326"/>
      <c r="W361" s="326"/>
      <c r="X361" s="326"/>
      <c r="Y361" s="326"/>
      <c r="Z361" s="326"/>
      <c r="AA361" s="326"/>
      <c r="AB361" s="326"/>
      <c r="AC361" s="326"/>
      <c r="AD361" s="326"/>
    </row>
    <row r="362">
      <c r="A362" s="326"/>
      <c r="B362" s="326"/>
      <c r="C362" s="326"/>
      <c r="D362" s="326"/>
      <c r="E362" s="326"/>
      <c r="F362" s="326"/>
      <c r="G362" s="326"/>
      <c r="H362" s="326"/>
      <c r="I362" s="326"/>
      <c r="J362" s="326"/>
      <c r="K362" s="326"/>
      <c r="L362" s="326"/>
      <c r="M362" s="326"/>
      <c r="N362" s="326"/>
      <c r="O362" s="326"/>
      <c r="P362" s="326"/>
      <c r="Q362" s="326"/>
      <c r="R362" s="326"/>
      <c r="S362" s="326"/>
      <c r="T362" s="326"/>
      <c r="U362" s="326"/>
      <c r="V362" s="326"/>
      <c r="W362" s="326"/>
      <c r="X362" s="326"/>
      <c r="Y362" s="326"/>
      <c r="Z362" s="326"/>
      <c r="AA362" s="326"/>
      <c r="AB362" s="326"/>
      <c r="AC362" s="326"/>
      <c r="AD362" s="326"/>
    </row>
    <row r="363">
      <c r="A363" s="326"/>
      <c r="B363" s="326"/>
      <c r="C363" s="326"/>
      <c r="D363" s="326"/>
      <c r="E363" s="326"/>
      <c r="F363" s="326"/>
      <c r="G363" s="326"/>
      <c r="H363" s="326"/>
      <c r="I363" s="326"/>
      <c r="J363" s="326"/>
      <c r="K363" s="326"/>
      <c r="L363" s="326"/>
      <c r="M363" s="326"/>
      <c r="N363" s="326"/>
      <c r="O363" s="326"/>
      <c r="P363" s="326"/>
      <c r="Q363" s="326"/>
      <c r="R363" s="326"/>
      <c r="S363" s="326"/>
      <c r="T363" s="326"/>
      <c r="U363" s="326"/>
      <c r="V363" s="326"/>
      <c r="W363" s="326"/>
      <c r="X363" s="326"/>
      <c r="Y363" s="326"/>
      <c r="Z363" s="326"/>
      <c r="AA363" s="326"/>
      <c r="AB363" s="326"/>
      <c r="AC363" s="326"/>
      <c r="AD363" s="326"/>
    </row>
    <row r="364">
      <c r="A364" s="326"/>
      <c r="B364" s="326"/>
      <c r="C364" s="326"/>
      <c r="D364" s="326"/>
      <c r="E364" s="326"/>
      <c r="F364" s="326"/>
      <c r="G364" s="326"/>
      <c r="H364" s="326"/>
      <c r="I364" s="326"/>
      <c r="J364" s="326"/>
      <c r="K364" s="326"/>
      <c r="L364" s="326"/>
      <c r="M364" s="326"/>
      <c r="N364" s="326"/>
      <c r="O364" s="326"/>
      <c r="P364" s="326"/>
      <c r="Q364" s="326"/>
      <c r="R364" s="326"/>
      <c r="S364" s="326"/>
      <c r="T364" s="326"/>
      <c r="U364" s="326"/>
      <c r="V364" s="326"/>
      <c r="W364" s="326"/>
      <c r="X364" s="326"/>
      <c r="Y364" s="326"/>
      <c r="Z364" s="326"/>
      <c r="AA364" s="326"/>
      <c r="AB364" s="326"/>
      <c r="AC364" s="326"/>
      <c r="AD364" s="326"/>
    </row>
    <row r="365">
      <c r="A365" s="326"/>
      <c r="B365" s="326"/>
      <c r="C365" s="326"/>
      <c r="D365" s="326"/>
      <c r="E365" s="326"/>
      <c r="F365" s="326"/>
      <c r="G365" s="326"/>
      <c r="H365" s="326"/>
      <c r="I365" s="326"/>
      <c r="J365" s="326"/>
      <c r="K365" s="326"/>
      <c r="L365" s="326"/>
      <c r="M365" s="326"/>
      <c r="N365" s="326"/>
      <c r="O365" s="326"/>
      <c r="P365" s="326"/>
      <c r="Q365" s="326"/>
      <c r="R365" s="326"/>
      <c r="S365" s="326"/>
      <c r="T365" s="326"/>
      <c r="U365" s="326"/>
      <c r="V365" s="326"/>
      <c r="W365" s="326"/>
      <c r="X365" s="326"/>
      <c r="Y365" s="326"/>
      <c r="Z365" s="326"/>
      <c r="AA365" s="326"/>
      <c r="AB365" s="326"/>
      <c r="AC365" s="326"/>
      <c r="AD365" s="326"/>
    </row>
    <row r="366">
      <c r="A366" s="326"/>
      <c r="B366" s="326"/>
      <c r="C366" s="326"/>
      <c r="D366" s="326"/>
      <c r="E366" s="326"/>
      <c r="F366" s="326"/>
      <c r="G366" s="326"/>
      <c r="H366" s="326"/>
      <c r="I366" s="326"/>
      <c r="J366" s="326"/>
      <c r="K366" s="326"/>
      <c r="L366" s="326"/>
      <c r="M366" s="326"/>
      <c r="N366" s="326"/>
      <c r="O366" s="326"/>
      <c r="P366" s="326"/>
      <c r="Q366" s="326"/>
      <c r="R366" s="326"/>
      <c r="S366" s="326"/>
      <c r="T366" s="326"/>
      <c r="U366" s="326"/>
      <c r="V366" s="326"/>
      <c r="W366" s="326"/>
      <c r="X366" s="326"/>
      <c r="Y366" s="326"/>
      <c r="Z366" s="326"/>
      <c r="AA366" s="326"/>
      <c r="AB366" s="326"/>
      <c r="AC366" s="326"/>
      <c r="AD366" s="326"/>
    </row>
    <row r="367">
      <c r="A367" s="326"/>
      <c r="B367" s="326"/>
      <c r="C367" s="326"/>
      <c r="D367" s="326"/>
      <c r="E367" s="326"/>
      <c r="F367" s="326"/>
      <c r="G367" s="326"/>
      <c r="H367" s="326"/>
      <c r="I367" s="326"/>
      <c r="J367" s="326"/>
      <c r="K367" s="326"/>
      <c r="L367" s="326"/>
      <c r="M367" s="326"/>
      <c r="N367" s="326"/>
      <c r="O367" s="326"/>
      <c r="P367" s="326"/>
      <c r="Q367" s="326"/>
      <c r="R367" s="326"/>
      <c r="S367" s="326"/>
      <c r="T367" s="326"/>
      <c r="U367" s="326"/>
      <c r="V367" s="326"/>
      <c r="W367" s="326"/>
      <c r="X367" s="326"/>
      <c r="Y367" s="326"/>
      <c r="Z367" s="326"/>
      <c r="AA367" s="326"/>
      <c r="AB367" s="326"/>
      <c r="AC367" s="326"/>
      <c r="AD367" s="326"/>
    </row>
    <row r="368">
      <c r="A368" s="326"/>
      <c r="B368" s="326"/>
      <c r="C368" s="326"/>
      <c r="D368" s="326"/>
      <c r="E368" s="326"/>
      <c r="F368" s="326"/>
      <c r="G368" s="326"/>
      <c r="H368" s="326"/>
      <c r="I368" s="326"/>
      <c r="J368" s="326"/>
      <c r="K368" s="326"/>
      <c r="L368" s="326"/>
      <c r="M368" s="326"/>
      <c r="N368" s="326"/>
      <c r="O368" s="326"/>
      <c r="P368" s="326"/>
      <c r="Q368" s="326"/>
      <c r="R368" s="326"/>
      <c r="S368" s="326"/>
      <c r="T368" s="326"/>
      <c r="U368" s="326"/>
      <c r="V368" s="326"/>
      <c r="W368" s="326"/>
      <c r="X368" s="326"/>
      <c r="Y368" s="326"/>
      <c r="Z368" s="326"/>
      <c r="AA368" s="326"/>
      <c r="AB368" s="326"/>
      <c r="AC368" s="326"/>
      <c r="AD368" s="326"/>
    </row>
    <row r="369">
      <c r="A369" s="326"/>
      <c r="B369" s="326"/>
      <c r="C369" s="326"/>
      <c r="D369" s="326"/>
      <c r="E369" s="326"/>
      <c r="F369" s="326"/>
      <c r="G369" s="326"/>
      <c r="H369" s="326"/>
      <c r="I369" s="326"/>
      <c r="J369" s="326"/>
      <c r="K369" s="326"/>
      <c r="L369" s="326"/>
      <c r="M369" s="326"/>
      <c r="N369" s="326"/>
      <c r="O369" s="326"/>
      <c r="P369" s="326"/>
      <c r="Q369" s="326"/>
      <c r="R369" s="326"/>
      <c r="S369" s="326"/>
      <c r="T369" s="326"/>
      <c r="U369" s="326"/>
      <c r="V369" s="326"/>
      <c r="W369" s="326"/>
      <c r="X369" s="326"/>
      <c r="Y369" s="326"/>
      <c r="Z369" s="326"/>
      <c r="AA369" s="326"/>
      <c r="AB369" s="326"/>
      <c r="AC369" s="326"/>
      <c r="AD369" s="326"/>
    </row>
    <row r="370">
      <c r="A370" s="326"/>
      <c r="B370" s="326"/>
      <c r="C370" s="326"/>
      <c r="D370" s="326"/>
      <c r="E370" s="326"/>
      <c r="F370" s="326"/>
      <c r="G370" s="326"/>
      <c r="H370" s="326"/>
      <c r="I370" s="326"/>
      <c r="J370" s="326"/>
      <c r="K370" s="326"/>
      <c r="L370" s="326"/>
      <c r="M370" s="326"/>
      <c r="N370" s="326"/>
      <c r="O370" s="326"/>
      <c r="P370" s="326"/>
      <c r="Q370" s="326"/>
      <c r="R370" s="326"/>
      <c r="S370" s="326"/>
      <c r="T370" s="326"/>
      <c r="U370" s="326"/>
      <c r="V370" s="326"/>
      <c r="W370" s="326"/>
      <c r="X370" s="326"/>
      <c r="Y370" s="326"/>
      <c r="Z370" s="326"/>
      <c r="AA370" s="326"/>
      <c r="AB370" s="326"/>
      <c r="AC370" s="326"/>
      <c r="AD370" s="326"/>
    </row>
    <row r="371">
      <c r="A371" s="326"/>
      <c r="B371" s="326"/>
      <c r="C371" s="326"/>
      <c r="D371" s="326"/>
      <c r="E371" s="326"/>
      <c r="F371" s="326"/>
      <c r="G371" s="326"/>
      <c r="H371" s="326"/>
      <c r="I371" s="326"/>
      <c r="J371" s="326"/>
      <c r="K371" s="326"/>
      <c r="L371" s="326"/>
      <c r="M371" s="326"/>
      <c r="N371" s="326"/>
      <c r="O371" s="326"/>
      <c r="P371" s="326"/>
      <c r="Q371" s="326"/>
      <c r="R371" s="326"/>
      <c r="S371" s="326"/>
      <c r="T371" s="326"/>
      <c r="U371" s="326"/>
      <c r="V371" s="326"/>
      <c r="W371" s="326"/>
      <c r="X371" s="326"/>
      <c r="Y371" s="326"/>
      <c r="Z371" s="326"/>
      <c r="AA371" s="326"/>
      <c r="AB371" s="326"/>
      <c r="AC371" s="326"/>
      <c r="AD371" s="326"/>
    </row>
    <row r="372">
      <c r="A372" s="326"/>
      <c r="B372" s="326"/>
      <c r="C372" s="326"/>
      <c r="D372" s="326"/>
      <c r="E372" s="326"/>
      <c r="F372" s="326"/>
      <c r="G372" s="326"/>
      <c r="H372" s="326"/>
      <c r="I372" s="326"/>
      <c r="J372" s="326"/>
      <c r="K372" s="326"/>
      <c r="L372" s="326"/>
      <c r="M372" s="326"/>
      <c r="N372" s="326"/>
      <c r="O372" s="326"/>
      <c r="P372" s="326"/>
      <c r="Q372" s="326"/>
      <c r="R372" s="326"/>
      <c r="S372" s="326"/>
      <c r="T372" s="326"/>
      <c r="U372" s="326"/>
      <c r="V372" s="326"/>
      <c r="W372" s="326"/>
      <c r="X372" s="326"/>
      <c r="Y372" s="326"/>
      <c r="Z372" s="326"/>
      <c r="AA372" s="326"/>
      <c r="AB372" s="326"/>
      <c r="AC372" s="326"/>
      <c r="AD372" s="326"/>
    </row>
    <row r="373">
      <c r="A373" s="326"/>
      <c r="B373" s="326"/>
      <c r="C373" s="326"/>
      <c r="D373" s="326"/>
      <c r="E373" s="326"/>
      <c r="F373" s="326"/>
      <c r="G373" s="326"/>
      <c r="H373" s="326"/>
      <c r="I373" s="326"/>
      <c r="J373" s="326"/>
      <c r="K373" s="326"/>
      <c r="L373" s="326"/>
      <c r="M373" s="326"/>
      <c r="N373" s="326"/>
      <c r="O373" s="326"/>
      <c r="P373" s="326"/>
      <c r="Q373" s="326"/>
      <c r="R373" s="326"/>
      <c r="S373" s="326"/>
      <c r="T373" s="326"/>
      <c r="U373" s="326"/>
      <c r="V373" s="326"/>
      <c r="W373" s="326"/>
      <c r="X373" s="326"/>
      <c r="Y373" s="326"/>
      <c r="Z373" s="326"/>
      <c r="AA373" s="326"/>
      <c r="AB373" s="326"/>
      <c r="AC373" s="326"/>
      <c r="AD373" s="326"/>
    </row>
    <row r="374">
      <c r="A374" s="326"/>
      <c r="B374" s="326"/>
      <c r="C374" s="326"/>
      <c r="D374" s="326"/>
      <c r="E374" s="326"/>
      <c r="F374" s="326"/>
      <c r="G374" s="326"/>
      <c r="H374" s="326"/>
      <c r="I374" s="326"/>
      <c r="J374" s="326"/>
      <c r="K374" s="326"/>
      <c r="L374" s="326"/>
      <c r="M374" s="326"/>
      <c r="N374" s="326"/>
      <c r="O374" s="326"/>
      <c r="P374" s="326"/>
      <c r="Q374" s="326"/>
      <c r="R374" s="326"/>
      <c r="S374" s="326"/>
      <c r="T374" s="326"/>
      <c r="U374" s="326"/>
      <c r="V374" s="326"/>
      <c r="W374" s="326"/>
      <c r="X374" s="326"/>
      <c r="Y374" s="326"/>
      <c r="Z374" s="326"/>
      <c r="AA374" s="326"/>
      <c r="AB374" s="326"/>
      <c r="AC374" s="326"/>
      <c r="AD374" s="326"/>
    </row>
    <row r="375">
      <c r="A375" s="326"/>
      <c r="B375" s="326"/>
      <c r="C375" s="326"/>
      <c r="D375" s="326"/>
      <c r="E375" s="326"/>
      <c r="F375" s="326"/>
      <c r="G375" s="326"/>
      <c r="H375" s="326"/>
      <c r="I375" s="326"/>
      <c r="J375" s="326"/>
      <c r="K375" s="326"/>
      <c r="L375" s="326"/>
      <c r="M375" s="326"/>
      <c r="N375" s="326"/>
      <c r="O375" s="326"/>
      <c r="P375" s="326"/>
      <c r="Q375" s="326"/>
      <c r="R375" s="326"/>
      <c r="S375" s="326"/>
      <c r="T375" s="326"/>
      <c r="U375" s="326"/>
      <c r="V375" s="326"/>
      <c r="W375" s="326"/>
      <c r="X375" s="326"/>
      <c r="Y375" s="326"/>
      <c r="Z375" s="326"/>
      <c r="AA375" s="326"/>
      <c r="AB375" s="326"/>
      <c r="AC375" s="326"/>
      <c r="AD375" s="326"/>
    </row>
    <row r="376">
      <c r="A376" s="326"/>
      <c r="B376" s="326"/>
      <c r="C376" s="326"/>
      <c r="D376" s="326"/>
      <c r="E376" s="326"/>
      <c r="F376" s="326"/>
      <c r="G376" s="326"/>
      <c r="H376" s="326"/>
      <c r="I376" s="326"/>
      <c r="J376" s="326"/>
      <c r="K376" s="326"/>
      <c r="L376" s="326"/>
      <c r="M376" s="326"/>
      <c r="N376" s="326"/>
      <c r="O376" s="326"/>
      <c r="P376" s="326"/>
      <c r="Q376" s="326"/>
      <c r="R376" s="326"/>
      <c r="S376" s="326"/>
      <c r="T376" s="326"/>
      <c r="U376" s="326"/>
      <c r="V376" s="326"/>
      <c r="W376" s="326"/>
      <c r="X376" s="326"/>
      <c r="Y376" s="326"/>
      <c r="Z376" s="326"/>
      <c r="AA376" s="326"/>
      <c r="AB376" s="326"/>
      <c r="AC376" s="326"/>
      <c r="AD376" s="326"/>
    </row>
    <row r="377">
      <c r="A377" s="326"/>
      <c r="B377" s="326"/>
      <c r="C377" s="326"/>
      <c r="D377" s="326"/>
      <c r="E377" s="326"/>
      <c r="F377" s="326"/>
      <c r="G377" s="326"/>
      <c r="H377" s="326"/>
      <c r="I377" s="326"/>
      <c r="J377" s="326"/>
      <c r="K377" s="326"/>
      <c r="L377" s="326"/>
      <c r="M377" s="326"/>
      <c r="N377" s="326"/>
      <c r="O377" s="326"/>
      <c r="P377" s="326"/>
      <c r="Q377" s="326"/>
      <c r="R377" s="326"/>
      <c r="S377" s="326"/>
      <c r="T377" s="326"/>
      <c r="U377" s="326"/>
      <c r="V377" s="326"/>
      <c r="W377" s="326"/>
      <c r="X377" s="326"/>
      <c r="Y377" s="326"/>
      <c r="Z377" s="326"/>
      <c r="AA377" s="326"/>
      <c r="AB377" s="326"/>
      <c r="AC377" s="326"/>
      <c r="AD377" s="326"/>
    </row>
    <row r="378">
      <c r="A378" s="326"/>
      <c r="B378" s="326"/>
      <c r="C378" s="326"/>
      <c r="D378" s="326"/>
      <c r="E378" s="326"/>
      <c r="F378" s="326"/>
      <c r="G378" s="326"/>
      <c r="H378" s="326"/>
      <c r="I378" s="326"/>
      <c r="J378" s="326"/>
      <c r="K378" s="326"/>
      <c r="L378" s="326"/>
      <c r="M378" s="326"/>
      <c r="N378" s="326"/>
      <c r="O378" s="326"/>
      <c r="P378" s="326"/>
      <c r="Q378" s="326"/>
      <c r="R378" s="326"/>
      <c r="S378" s="326"/>
      <c r="T378" s="326"/>
      <c r="U378" s="326"/>
      <c r="V378" s="326"/>
      <c r="W378" s="326"/>
      <c r="X378" s="326"/>
      <c r="Y378" s="326"/>
      <c r="Z378" s="326"/>
      <c r="AA378" s="326"/>
      <c r="AB378" s="326"/>
      <c r="AC378" s="326"/>
      <c r="AD378" s="326"/>
    </row>
    <row r="379">
      <c r="A379" s="326"/>
      <c r="B379" s="326"/>
      <c r="C379" s="326"/>
      <c r="D379" s="326"/>
      <c r="E379" s="326"/>
      <c r="F379" s="326"/>
      <c r="G379" s="326"/>
      <c r="H379" s="326"/>
      <c r="I379" s="326"/>
      <c r="J379" s="326"/>
      <c r="K379" s="326"/>
      <c r="L379" s="326"/>
      <c r="M379" s="326"/>
      <c r="N379" s="326"/>
      <c r="O379" s="326"/>
      <c r="P379" s="326"/>
      <c r="Q379" s="326"/>
      <c r="R379" s="326"/>
      <c r="S379" s="326"/>
      <c r="T379" s="326"/>
      <c r="U379" s="326"/>
      <c r="V379" s="326"/>
      <c r="W379" s="326"/>
      <c r="X379" s="326"/>
      <c r="Y379" s="326"/>
      <c r="Z379" s="326"/>
      <c r="AA379" s="326"/>
      <c r="AB379" s="326"/>
      <c r="AC379" s="326"/>
      <c r="AD379" s="326"/>
    </row>
    <row r="380">
      <c r="A380" s="326"/>
      <c r="B380" s="326"/>
      <c r="C380" s="326"/>
      <c r="D380" s="326"/>
      <c r="E380" s="326"/>
      <c r="F380" s="326"/>
      <c r="G380" s="326"/>
      <c r="H380" s="326"/>
      <c r="I380" s="326"/>
      <c r="J380" s="326"/>
      <c r="K380" s="326"/>
      <c r="L380" s="326"/>
      <c r="M380" s="326"/>
      <c r="N380" s="326"/>
      <c r="O380" s="326"/>
      <c r="P380" s="326"/>
      <c r="Q380" s="326"/>
      <c r="R380" s="326"/>
      <c r="S380" s="326"/>
      <c r="T380" s="326"/>
      <c r="U380" s="326"/>
      <c r="V380" s="326"/>
      <c r="W380" s="326"/>
      <c r="X380" s="326"/>
      <c r="Y380" s="326"/>
      <c r="Z380" s="326"/>
      <c r="AA380" s="326"/>
      <c r="AB380" s="326"/>
      <c r="AC380" s="326"/>
      <c r="AD380" s="326"/>
    </row>
    <row r="381">
      <c r="A381" s="326"/>
      <c r="B381" s="326"/>
      <c r="C381" s="326"/>
      <c r="D381" s="326"/>
      <c r="E381" s="326"/>
      <c r="F381" s="326"/>
      <c r="G381" s="326"/>
      <c r="H381" s="326"/>
      <c r="I381" s="326"/>
      <c r="J381" s="326"/>
      <c r="K381" s="326"/>
      <c r="L381" s="326"/>
      <c r="M381" s="326"/>
      <c r="N381" s="326"/>
      <c r="O381" s="326"/>
      <c r="P381" s="326"/>
      <c r="Q381" s="326"/>
      <c r="R381" s="326"/>
      <c r="S381" s="326"/>
      <c r="T381" s="326"/>
      <c r="U381" s="326"/>
      <c r="V381" s="326"/>
      <c r="W381" s="326"/>
      <c r="X381" s="326"/>
      <c r="Y381" s="326"/>
      <c r="Z381" s="326"/>
      <c r="AA381" s="326"/>
      <c r="AB381" s="326"/>
      <c r="AC381" s="326"/>
      <c r="AD381" s="326"/>
    </row>
    <row r="382">
      <c r="A382" s="326"/>
      <c r="B382" s="326"/>
      <c r="C382" s="326"/>
      <c r="D382" s="326"/>
      <c r="E382" s="326"/>
      <c r="F382" s="326"/>
      <c r="G382" s="326"/>
      <c r="H382" s="326"/>
      <c r="I382" s="326"/>
      <c r="J382" s="326"/>
      <c r="K382" s="326"/>
      <c r="L382" s="326"/>
      <c r="M382" s="326"/>
      <c r="N382" s="326"/>
      <c r="O382" s="326"/>
      <c r="P382" s="326"/>
      <c r="Q382" s="326"/>
      <c r="R382" s="326"/>
      <c r="S382" s="326"/>
      <c r="T382" s="326"/>
      <c r="U382" s="326"/>
      <c r="V382" s="326"/>
      <c r="W382" s="326"/>
      <c r="X382" s="326"/>
      <c r="Y382" s="326"/>
      <c r="Z382" s="326"/>
      <c r="AA382" s="326"/>
      <c r="AB382" s="326"/>
      <c r="AC382" s="326"/>
      <c r="AD382" s="326"/>
    </row>
    <row r="383">
      <c r="A383" s="326"/>
      <c r="B383" s="326"/>
      <c r="C383" s="326"/>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26"/>
      <c r="Z383" s="326"/>
      <c r="AA383" s="326"/>
      <c r="AB383" s="326"/>
      <c r="AC383" s="326"/>
      <c r="AD383" s="326"/>
    </row>
    <row r="384">
      <c r="A384" s="326"/>
      <c r="B384" s="326"/>
      <c r="C384" s="326"/>
      <c r="D384" s="326"/>
      <c r="E384" s="326"/>
      <c r="F384" s="326"/>
      <c r="G384" s="326"/>
      <c r="H384" s="326"/>
      <c r="I384" s="326"/>
      <c r="J384" s="326"/>
      <c r="K384" s="326"/>
      <c r="L384" s="326"/>
      <c r="M384" s="326"/>
      <c r="N384" s="326"/>
      <c r="O384" s="326"/>
      <c r="P384" s="326"/>
      <c r="Q384" s="326"/>
      <c r="R384" s="326"/>
      <c r="S384" s="326"/>
      <c r="T384" s="326"/>
      <c r="U384" s="326"/>
      <c r="V384" s="326"/>
      <c r="W384" s="326"/>
      <c r="X384" s="326"/>
      <c r="Y384" s="326"/>
      <c r="Z384" s="326"/>
      <c r="AA384" s="326"/>
      <c r="AB384" s="326"/>
      <c r="AC384" s="326"/>
      <c r="AD384" s="326"/>
    </row>
    <row r="385">
      <c r="A385" s="326"/>
      <c r="B385" s="326"/>
      <c r="C385" s="326"/>
      <c r="D385" s="326"/>
      <c r="E385" s="326"/>
      <c r="F385" s="326"/>
      <c r="G385" s="326"/>
      <c r="H385" s="326"/>
      <c r="I385" s="326"/>
      <c r="J385" s="326"/>
      <c r="K385" s="326"/>
      <c r="L385" s="326"/>
      <c r="M385" s="326"/>
      <c r="N385" s="326"/>
      <c r="O385" s="326"/>
      <c r="P385" s="326"/>
      <c r="Q385" s="326"/>
      <c r="R385" s="326"/>
      <c r="S385" s="326"/>
      <c r="T385" s="326"/>
      <c r="U385" s="326"/>
      <c r="V385" s="326"/>
      <c r="W385" s="326"/>
      <c r="X385" s="326"/>
      <c r="Y385" s="326"/>
      <c r="Z385" s="326"/>
      <c r="AA385" s="326"/>
      <c r="AB385" s="326"/>
      <c r="AC385" s="326"/>
      <c r="AD385" s="326"/>
    </row>
    <row r="386">
      <c r="A386" s="326"/>
      <c r="B386" s="326"/>
      <c r="C386" s="326"/>
      <c r="D386" s="326"/>
      <c r="E386" s="326"/>
      <c r="F386" s="326"/>
      <c r="G386" s="326"/>
      <c r="H386" s="326"/>
      <c r="I386" s="326"/>
      <c r="J386" s="326"/>
      <c r="K386" s="326"/>
      <c r="L386" s="326"/>
      <c r="M386" s="326"/>
      <c r="N386" s="326"/>
      <c r="O386" s="326"/>
      <c r="P386" s="326"/>
      <c r="Q386" s="326"/>
      <c r="R386" s="326"/>
      <c r="S386" s="326"/>
      <c r="T386" s="326"/>
      <c r="U386" s="326"/>
      <c r="V386" s="326"/>
      <c r="W386" s="326"/>
      <c r="X386" s="326"/>
      <c r="Y386" s="326"/>
      <c r="Z386" s="326"/>
      <c r="AA386" s="326"/>
      <c r="AB386" s="326"/>
      <c r="AC386" s="326"/>
      <c r="AD386" s="326"/>
    </row>
    <row r="387">
      <c r="A387" s="326"/>
      <c r="B387" s="326"/>
      <c r="C387" s="326"/>
      <c r="D387" s="326"/>
      <c r="E387" s="326"/>
      <c r="F387" s="326"/>
      <c r="G387" s="326"/>
      <c r="H387" s="326"/>
      <c r="I387" s="326"/>
      <c r="J387" s="326"/>
      <c r="K387" s="326"/>
      <c r="L387" s="326"/>
      <c r="M387" s="326"/>
      <c r="N387" s="326"/>
      <c r="O387" s="326"/>
      <c r="P387" s="326"/>
      <c r="Q387" s="326"/>
      <c r="R387" s="326"/>
      <c r="S387" s="326"/>
      <c r="T387" s="326"/>
      <c r="U387" s="326"/>
      <c r="V387" s="326"/>
      <c r="W387" s="326"/>
      <c r="X387" s="326"/>
      <c r="Y387" s="326"/>
      <c r="Z387" s="326"/>
      <c r="AA387" s="326"/>
      <c r="AB387" s="326"/>
      <c r="AC387" s="326"/>
      <c r="AD387" s="326"/>
    </row>
    <row r="388">
      <c r="A388" s="326"/>
      <c r="B388" s="326"/>
      <c r="C388" s="326"/>
      <c r="D388" s="326"/>
      <c r="E388" s="326"/>
      <c r="F388" s="326"/>
      <c r="G388" s="326"/>
      <c r="H388" s="326"/>
      <c r="I388" s="326"/>
      <c r="J388" s="326"/>
      <c r="K388" s="326"/>
      <c r="L388" s="326"/>
      <c r="M388" s="326"/>
      <c r="N388" s="326"/>
      <c r="O388" s="326"/>
      <c r="P388" s="326"/>
      <c r="Q388" s="326"/>
      <c r="R388" s="326"/>
      <c r="S388" s="326"/>
      <c r="T388" s="326"/>
      <c r="U388" s="326"/>
      <c r="V388" s="326"/>
      <c r="W388" s="326"/>
      <c r="X388" s="326"/>
      <c r="Y388" s="326"/>
      <c r="Z388" s="326"/>
      <c r="AA388" s="326"/>
      <c r="AB388" s="326"/>
      <c r="AC388" s="326"/>
      <c r="AD388" s="326"/>
    </row>
    <row r="389">
      <c r="A389" s="326"/>
      <c r="B389" s="326"/>
      <c r="C389" s="326"/>
      <c r="D389" s="326"/>
      <c r="E389" s="326"/>
      <c r="F389" s="326"/>
      <c r="G389" s="326"/>
      <c r="H389" s="326"/>
      <c r="I389" s="326"/>
      <c r="J389" s="326"/>
      <c r="K389" s="326"/>
      <c r="L389" s="326"/>
      <c r="M389" s="326"/>
      <c r="N389" s="326"/>
      <c r="O389" s="326"/>
      <c r="P389" s="326"/>
      <c r="Q389" s="326"/>
      <c r="R389" s="326"/>
      <c r="S389" s="326"/>
      <c r="T389" s="326"/>
      <c r="U389" s="326"/>
      <c r="V389" s="326"/>
      <c r="W389" s="326"/>
      <c r="X389" s="326"/>
      <c r="Y389" s="326"/>
      <c r="Z389" s="326"/>
      <c r="AA389" s="326"/>
      <c r="AB389" s="326"/>
      <c r="AC389" s="326"/>
      <c r="AD389" s="326"/>
    </row>
    <row r="390">
      <c r="A390" s="326"/>
      <c r="B390" s="326"/>
      <c r="C390" s="326"/>
      <c r="D390" s="326"/>
      <c r="E390" s="326"/>
      <c r="F390" s="326"/>
      <c r="G390" s="326"/>
      <c r="H390" s="326"/>
      <c r="I390" s="326"/>
      <c r="J390" s="326"/>
      <c r="K390" s="326"/>
      <c r="L390" s="326"/>
      <c r="M390" s="326"/>
      <c r="N390" s="326"/>
      <c r="O390" s="326"/>
      <c r="P390" s="326"/>
      <c r="Q390" s="326"/>
      <c r="R390" s="326"/>
      <c r="S390" s="326"/>
      <c r="T390" s="326"/>
      <c r="U390" s="326"/>
      <c r="V390" s="326"/>
      <c r="W390" s="326"/>
      <c r="X390" s="326"/>
      <c r="Y390" s="326"/>
      <c r="Z390" s="326"/>
      <c r="AA390" s="326"/>
      <c r="AB390" s="326"/>
      <c r="AC390" s="326"/>
      <c r="AD390" s="326"/>
    </row>
    <row r="391">
      <c r="A391" s="326"/>
      <c r="B391" s="326"/>
      <c r="C391" s="326"/>
      <c r="D391" s="326"/>
      <c r="E391" s="326"/>
      <c r="F391" s="326"/>
      <c r="G391" s="326"/>
      <c r="H391" s="326"/>
      <c r="I391" s="326"/>
      <c r="J391" s="326"/>
      <c r="K391" s="326"/>
      <c r="L391" s="326"/>
      <c r="M391" s="326"/>
      <c r="N391" s="326"/>
      <c r="O391" s="326"/>
      <c r="P391" s="326"/>
      <c r="Q391" s="326"/>
      <c r="R391" s="326"/>
      <c r="S391" s="326"/>
      <c r="T391" s="326"/>
      <c r="U391" s="326"/>
      <c r="V391" s="326"/>
      <c r="W391" s="326"/>
      <c r="X391" s="326"/>
      <c r="Y391" s="326"/>
      <c r="Z391" s="326"/>
      <c r="AA391" s="326"/>
      <c r="AB391" s="326"/>
      <c r="AC391" s="326"/>
      <c r="AD391" s="326"/>
    </row>
    <row r="392">
      <c r="A392" s="326"/>
      <c r="B392" s="326"/>
      <c r="C392" s="326"/>
      <c r="D392" s="326"/>
      <c r="E392" s="326"/>
      <c r="F392" s="326"/>
      <c r="G392" s="326"/>
      <c r="H392" s="326"/>
      <c r="I392" s="326"/>
      <c r="J392" s="326"/>
      <c r="K392" s="326"/>
      <c r="L392" s="326"/>
      <c r="M392" s="326"/>
      <c r="N392" s="326"/>
      <c r="O392" s="326"/>
      <c r="P392" s="326"/>
      <c r="Q392" s="326"/>
      <c r="R392" s="326"/>
      <c r="S392" s="326"/>
      <c r="T392" s="326"/>
      <c r="U392" s="326"/>
      <c r="V392" s="326"/>
      <c r="W392" s="326"/>
      <c r="X392" s="326"/>
      <c r="Y392" s="326"/>
      <c r="Z392" s="326"/>
      <c r="AA392" s="326"/>
      <c r="AB392" s="326"/>
      <c r="AC392" s="326"/>
      <c r="AD392" s="326"/>
    </row>
    <row r="393">
      <c r="A393" s="326"/>
      <c r="B393" s="326"/>
      <c r="C393" s="326"/>
      <c r="D393" s="326"/>
      <c r="E393" s="326"/>
      <c r="F393" s="326"/>
      <c r="G393" s="326"/>
      <c r="H393" s="326"/>
      <c r="I393" s="326"/>
      <c r="J393" s="326"/>
      <c r="K393" s="326"/>
      <c r="L393" s="326"/>
      <c r="M393" s="326"/>
      <c r="N393" s="326"/>
      <c r="O393" s="326"/>
      <c r="P393" s="326"/>
      <c r="Q393" s="326"/>
      <c r="R393" s="326"/>
      <c r="S393" s="326"/>
      <c r="T393" s="326"/>
      <c r="U393" s="326"/>
      <c r="V393" s="326"/>
      <c r="W393" s="326"/>
      <c r="X393" s="326"/>
      <c r="Y393" s="326"/>
      <c r="Z393" s="326"/>
      <c r="AA393" s="326"/>
      <c r="AB393" s="326"/>
      <c r="AC393" s="326"/>
      <c r="AD393" s="326"/>
    </row>
    <row r="394">
      <c r="A394" s="326"/>
      <c r="B394" s="326"/>
      <c r="C394" s="326"/>
      <c r="D394" s="326"/>
      <c r="E394" s="326"/>
      <c r="F394" s="326"/>
      <c r="G394" s="326"/>
      <c r="H394" s="326"/>
      <c r="I394" s="326"/>
      <c r="J394" s="326"/>
      <c r="K394" s="326"/>
      <c r="L394" s="326"/>
      <c r="M394" s="326"/>
      <c r="N394" s="326"/>
      <c r="O394" s="326"/>
      <c r="P394" s="326"/>
      <c r="Q394" s="326"/>
      <c r="R394" s="326"/>
      <c r="S394" s="326"/>
      <c r="T394" s="326"/>
      <c r="U394" s="326"/>
      <c r="V394" s="326"/>
      <c r="W394" s="326"/>
      <c r="X394" s="326"/>
      <c r="Y394" s="326"/>
      <c r="Z394" s="326"/>
      <c r="AA394" s="326"/>
      <c r="AB394" s="326"/>
      <c r="AC394" s="326"/>
      <c r="AD394" s="326"/>
    </row>
    <row r="395">
      <c r="A395" s="326"/>
      <c r="B395" s="326"/>
      <c r="C395" s="326"/>
      <c r="D395" s="326"/>
      <c r="E395" s="326"/>
      <c r="F395" s="326"/>
      <c r="G395" s="326"/>
      <c r="H395" s="326"/>
      <c r="I395" s="326"/>
      <c r="J395" s="326"/>
      <c r="K395" s="326"/>
      <c r="L395" s="326"/>
      <c r="M395" s="326"/>
      <c r="N395" s="326"/>
      <c r="O395" s="326"/>
      <c r="P395" s="326"/>
      <c r="Q395" s="326"/>
      <c r="R395" s="326"/>
      <c r="S395" s="326"/>
      <c r="T395" s="326"/>
      <c r="U395" s="326"/>
      <c r="V395" s="326"/>
      <c r="W395" s="326"/>
      <c r="X395" s="326"/>
      <c r="Y395" s="326"/>
      <c r="Z395" s="326"/>
      <c r="AA395" s="326"/>
      <c r="AB395" s="326"/>
      <c r="AC395" s="326"/>
      <c r="AD395" s="326"/>
    </row>
    <row r="396">
      <c r="A396" s="326"/>
      <c r="B396" s="326"/>
      <c r="C396" s="326"/>
      <c r="D396" s="326"/>
      <c r="E396" s="326"/>
      <c r="F396" s="326"/>
      <c r="G396" s="326"/>
      <c r="H396" s="326"/>
      <c r="I396" s="326"/>
      <c r="J396" s="326"/>
      <c r="K396" s="326"/>
      <c r="L396" s="326"/>
      <c r="M396" s="326"/>
      <c r="N396" s="326"/>
      <c r="O396" s="326"/>
      <c r="P396" s="326"/>
      <c r="Q396" s="326"/>
      <c r="R396" s="326"/>
      <c r="S396" s="326"/>
      <c r="T396" s="326"/>
      <c r="U396" s="326"/>
      <c r="V396" s="326"/>
      <c r="W396" s="326"/>
      <c r="X396" s="326"/>
      <c r="Y396" s="326"/>
      <c r="Z396" s="326"/>
      <c r="AA396" s="326"/>
      <c r="AB396" s="326"/>
      <c r="AC396" s="326"/>
      <c r="AD396" s="326"/>
    </row>
    <row r="397">
      <c r="A397" s="326"/>
      <c r="B397" s="326"/>
      <c r="C397" s="326"/>
      <c r="D397" s="326"/>
      <c r="E397" s="326"/>
      <c r="F397" s="326"/>
      <c r="G397" s="326"/>
      <c r="H397" s="326"/>
      <c r="I397" s="326"/>
      <c r="J397" s="326"/>
      <c r="K397" s="326"/>
      <c r="L397" s="326"/>
      <c r="M397" s="326"/>
      <c r="N397" s="326"/>
      <c r="O397" s="326"/>
      <c r="P397" s="326"/>
      <c r="Q397" s="326"/>
      <c r="R397" s="326"/>
      <c r="S397" s="326"/>
      <c r="T397" s="326"/>
      <c r="U397" s="326"/>
      <c r="V397" s="326"/>
      <c r="W397" s="326"/>
      <c r="X397" s="326"/>
      <c r="Y397" s="326"/>
      <c r="Z397" s="326"/>
      <c r="AA397" s="326"/>
      <c r="AB397" s="326"/>
      <c r="AC397" s="326"/>
      <c r="AD397" s="326"/>
    </row>
    <row r="398">
      <c r="A398" s="326"/>
      <c r="B398" s="326"/>
      <c r="C398" s="326"/>
      <c r="D398" s="326"/>
      <c r="E398" s="326"/>
      <c r="F398" s="326"/>
      <c r="G398" s="326"/>
      <c r="H398" s="326"/>
      <c r="I398" s="326"/>
      <c r="J398" s="326"/>
      <c r="K398" s="326"/>
      <c r="L398" s="326"/>
      <c r="M398" s="326"/>
      <c r="N398" s="326"/>
      <c r="O398" s="326"/>
      <c r="P398" s="326"/>
      <c r="Q398" s="326"/>
      <c r="R398" s="326"/>
      <c r="S398" s="326"/>
      <c r="T398" s="326"/>
      <c r="U398" s="326"/>
      <c r="V398" s="326"/>
      <c r="W398" s="326"/>
      <c r="X398" s="326"/>
      <c r="Y398" s="326"/>
      <c r="Z398" s="326"/>
      <c r="AA398" s="326"/>
      <c r="AB398" s="326"/>
      <c r="AC398" s="326"/>
      <c r="AD398" s="326"/>
    </row>
    <row r="399">
      <c r="A399" s="326"/>
      <c r="B399" s="326"/>
      <c r="C399" s="326"/>
      <c r="D399" s="326"/>
      <c r="E399" s="326"/>
      <c r="F399" s="326"/>
      <c r="G399" s="326"/>
      <c r="H399" s="326"/>
      <c r="I399" s="326"/>
      <c r="J399" s="326"/>
      <c r="K399" s="326"/>
      <c r="L399" s="326"/>
      <c r="M399" s="326"/>
      <c r="N399" s="326"/>
      <c r="O399" s="326"/>
      <c r="P399" s="326"/>
      <c r="Q399" s="326"/>
      <c r="R399" s="326"/>
      <c r="S399" s="326"/>
      <c r="T399" s="326"/>
      <c r="U399" s="326"/>
      <c r="V399" s="326"/>
      <c r="W399" s="326"/>
      <c r="X399" s="326"/>
      <c r="Y399" s="326"/>
      <c r="Z399" s="326"/>
      <c r="AA399" s="326"/>
      <c r="AB399" s="326"/>
      <c r="AC399" s="326"/>
      <c r="AD399" s="326"/>
    </row>
    <row r="400">
      <c r="A400" s="326"/>
      <c r="B400" s="326"/>
      <c r="C400" s="326"/>
      <c r="D400" s="326"/>
      <c r="E400" s="326"/>
      <c r="F400" s="326"/>
      <c r="G400" s="326"/>
      <c r="H400" s="326"/>
      <c r="I400" s="326"/>
      <c r="J400" s="326"/>
      <c r="K400" s="326"/>
      <c r="L400" s="326"/>
      <c r="M400" s="326"/>
      <c r="N400" s="326"/>
      <c r="O400" s="326"/>
      <c r="P400" s="326"/>
      <c r="Q400" s="326"/>
      <c r="R400" s="326"/>
      <c r="S400" s="326"/>
      <c r="T400" s="326"/>
      <c r="U400" s="326"/>
      <c r="V400" s="326"/>
      <c r="W400" s="326"/>
      <c r="X400" s="326"/>
      <c r="Y400" s="326"/>
      <c r="Z400" s="326"/>
      <c r="AA400" s="326"/>
      <c r="AB400" s="326"/>
      <c r="AC400" s="326"/>
      <c r="AD400" s="326"/>
    </row>
    <row r="401">
      <c r="A401" s="326"/>
      <c r="B401" s="326"/>
      <c r="C401" s="326"/>
      <c r="D401" s="326"/>
      <c r="E401" s="326"/>
      <c r="F401" s="326"/>
      <c r="G401" s="326"/>
      <c r="H401" s="326"/>
      <c r="I401" s="326"/>
      <c r="J401" s="326"/>
      <c r="K401" s="326"/>
      <c r="L401" s="326"/>
      <c r="M401" s="326"/>
      <c r="N401" s="326"/>
      <c r="O401" s="326"/>
      <c r="P401" s="326"/>
      <c r="Q401" s="326"/>
      <c r="R401" s="326"/>
      <c r="S401" s="326"/>
      <c r="T401" s="326"/>
      <c r="U401" s="326"/>
      <c r="V401" s="326"/>
      <c r="W401" s="326"/>
      <c r="X401" s="326"/>
      <c r="Y401" s="326"/>
      <c r="Z401" s="326"/>
      <c r="AA401" s="326"/>
      <c r="AB401" s="326"/>
      <c r="AC401" s="326"/>
      <c r="AD401" s="326"/>
    </row>
    <row r="402">
      <c r="A402" s="326"/>
      <c r="B402" s="326"/>
      <c r="C402" s="326"/>
      <c r="D402" s="326"/>
      <c r="E402" s="326"/>
      <c r="F402" s="326"/>
      <c r="G402" s="326"/>
      <c r="H402" s="326"/>
      <c r="I402" s="326"/>
      <c r="J402" s="326"/>
      <c r="K402" s="326"/>
      <c r="L402" s="326"/>
      <c r="M402" s="326"/>
      <c r="N402" s="326"/>
      <c r="O402" s="326"/>
      <c r="P402" s="326"/>
      <c r="Q402" s="326"/>
      <c r="R402" s="326"/>
      <c r="S402" s="326"/>
      <c r="T402" s="326"/>
      <c r="U402" s="326"/>
      <c r="V402" s="326"/>
      <c r="W402" s="326"/>
      <c r="X402" s="326"/>
      <c r="Y402" s="326"/>
      <c r="Z402" s="326"/>
      <c r="AA402" s="326"/>
      <c r="AB402" s="326"/>
      <c r="AC402" s="326"/>
      <c r="AD402" s="326"/>
    </row>
    <row r="403">
      <c r="A403" s="326"/>
      <c r="B403" s="326"/>
      <c r="C403" s="326"/>
      <c r="D403" s="326"/>
      <c r="E403" s="326"/>
      <c r="F403" s="326"/>
      <c r="G403" s="326"/>
      <c r="H403" s="326"/>
      <c r="I403" s="326"/>
      <c r="J403" s="326"/>
      <c r="K403" s="326"/>
      <c r="L403" s="326"/>
      <c r="M403" s="326"/>
      <c r="N403" s="326"/>
      <c r="O403" s="326"/>
      <c r="P403" s="326"/>
      <c r="Q403" s="326"/>
      <c r="R403" s="326"/>
      <c r="S403" s="326"/>
      <c r="T403" s="326"/>
      <c r="U403" s="326"/>
      <c r="V403" s="326"/>
      <c r="W403" s="326"/>
      <c r="X403" s="326"/>
      <c r="Y403" s="326"/>
      <c r="Z403" s="326"/>
      <c r="AA403" s="326"/>
      <c r="AB403" s="326"/>
      <c r="AC403" s="326"/>
      <c r="AD403" s="326"/>
    </row>
    <row r="404">
      <c r="A404" s="326"/>
      <c r="B404" s="326"/>
      <c r="C404" s="326"/>
      <c r="D404" s="326"/>
      <c r="E404" s="326"/>
      <c r="F404" s="326"/>
      <c r="G404" s="326"/>
      <c r="H404" s="326"/>
      <c r="I404" s="326"/>
      <c r="J404" s="326"/>
      <c r="K404" s="326"/>
      <c r="L404" s="326"/>
      <c r="M404" s="326"/>
      <c r="N404" s="326"/>
      <c r="O404" s="326"/>
      <c r="P404" s="326"/>
      <c r="Q404" s="326"/>
      <c r="R404" s="326"/>
      <c r="S404" s="326"/>
      <c r="T404" s="326"/>
      <c r="U404" s="326"/>
      <c r="V404" s="326"/>
      <c r="W404" s="326"/>
      <c r="X404" s="326"/>
      <c r="Y404" s="326"/>
      <c r="Z404" s="326"/>
      <c r="AA404" s="326"/>
      <c r="AB404" s="326"/>
      <c r="AC404" s="326"/>
      <c r="AD404" s="326"/>
    </row>
    <row r="405">
      <c r="A405" s="326"/>
      <c r="B405" s="326"/>
      <c r="C405" s="326"/>
      <c r="D405" s="326"/>
      <c r="E405" s="326"/>
      <c r="F405" s="326"/>
      <c r="G405" s="326"/>
      <c r="H405" s="326"/>
      <c r="I405" s="326"/>
      <c r="J405" s="326"/>
      <c r="K405" s="326"/>
      <c r="L405" s="326"/>
      <c r="M405" s="326"/>
      <c r="N405" s="326"/>
      <c r="O405" s="326"/>
      <c r="P405" s="326"/>
      <c r="Q405" s="326"/>
      <c r="R405" s="326"/>
      <c r="S405" s="326"/>
      <c r="T405" s="326"/>
      <c r="U405" s="326"/>
      <c r="V405" s="326"/>
      <c r="W405" s="326"/>
      <c r="X405" s="326"/>
      <c r="Y405" s="326"/>
      <c r="Z405" s="326"/>
      <c r="AA405" s="326"/>
      <c r="AB405" s="326"/>
      <c r="AC405" s="326"/>
      <c r="AD405" s="326"/>
    </row>
    <row r="406">
      <c r="A406" s="326"/>
      <c r="B406" s="326"/>
      <c r="C406" s="326"/>
      <c r="D406" s="326"/>
      <c r="E406" s="326"/>
      <c r="F406" s="326"/>
      <c r="G406" s="326"/>
      <c r="H406" s="326"/>
      <c r="I406" s="326"/>
      <c r="J406" s="326"/>
      <c r="K406" s="326"/>
      <c r="L406" s="326"/>
      <c r="M406" s="326"/>
      <c r="N406" s="326"/>
      <c r="O406" s="326"/>
      <c r="P406" s="326"/>
      <c r="Q406" s="326"/>
      <c r="R406" s="326"/>
      <c r="S406" s="326"/>
      <c r="T406" s="326"/>
      <c r="U406" s="326"/>
      <c r="V406" s="326"/>
      <c r="W406" s="326"/>
      <c r="X406" s="326"/>
      <c r="Y406" s="326"/>
      <c r="Z406" s="326"/>
      <c r="AA406" s="326"/>
      <c r="AB406" s="326"/>
      <c r="AC406" s="326"/>
      <c r="AD406" s="326"/>
    </row>
    <row r="407">
      <c r="A407" s="326"/>
      <c r="B407" s="326"/>
      <c r="C407" s="326"/>
      <c r="D407" s="326"/>
      <c r="E407" s="326"/>
      <c r="F407" s="326"/>
      <c r="G407" s="326"/>
      <c r="H407" s="326"/>
      <c r="I407" s="326"/>
      <c r="J407" s="326"/>
      <c r="K407" s="326"/>
      <c r="L407" s="326"/>
      <c r="M407" s="326"/>
      <c r="N407" s="326"/>
      <c r="O407" s="326"/>
      <c r="P407" s="326"/>
      <c r="Q407" s="326"/>
      <c r="R407" s="326"/>
      <c r="S407" s="326"/>
      <c r="T407" s="326"/>
      <c r="U407" s="326"/>
      <c r="V407" s="326"/>
      <c r="W407" s="326"/>
      <c r="X407" s="326"/>
      <c r="Y407" s="326"/>
      <c r="Z407" s="326"/>
      <c r="AA407" s="326"/>
      <c r="AB407" s="326"/>
      <c r="AC407" s="326"/>
      <c r="AD407" s="326"/>
    </row>
    <row r="408">
      <c r="A408" s="326"/>
      <c r="B408" s="326"/>
      <c r="C408" s="326"/>
      <c r="D408" s="326"/>
      <c r="E408" s="326"/>
      <c r="F408" s="326"/>
      <c r="G408" s="326"/>
      <c r="H408" s="326"/>
      <c r="I408" s="326"/>
      <c r="J408" s="326"/>
      <c r="K408" s="326"/>
      <c r="L408" s="326"/>
      <c r="M408" s="326"/>
      <c r="N408" s="326"/>
      <c r="O408" s="326"/>
      <c r="P408" s="326"/>
      <c r="Q408" s="326"/>
      <c r="R408" s="326"/>
      <c r="S408" s="326"/>
      <c r="T408" s="326"/>
      <c r="U408" s="326"/>
      <c r="V408" s="326"/>
      <c r="W408" s="326"/>
      <c r="X408" s="326"/>
      <c r="Y408" s="326"/>
      <c r="Z408" s="326"/>
      <c r="AA408" s="326"/>
      <c r="AB408" s="326"/>
      <c r="AC408" s="326"/>
      <c r="AD408" s="326"/>
    </row>
    <row r="409">
      <c r="A409" s="326"/>
      <c r="B409" s="326"/>
      <c r="C409" s="326"/>
      <c r="D409" s="326"/>
      <c r="E409" s="326"/>
      <c r="F409" s="326"/>
      <c r="G409" s="326"/>
      <c r="H409" s="326"/>
      <c r="I409" s="326"/>
      <c r="J409" s="326"/>
      <c r="K409" s="326"/>
      <c r="L409" s="326"/>
      <c r="M409" s="326"/>
      <c r="N409" s="326"/>
      <c r="O409" s="326"/>
      <c r="P409" s="326"/>
      <c r="Q409" s="326"/>
      <c r="R409" s="326"/>
      <c r="S409" s="326"/>
      <c r="T409" s="326"/>
      <c r="U409" s="326"/>
      <c r="V409" s="326"/>
      <c r="W409" s="326"/>
      <c r="X409" s="326"/>
      <c r="Y409" s="326"/>
      <c r="Z409" s="326"/>
      <c r="AA409" s="326"/>
      <c r="AB409" s="326"/>
      <c r="AC409" s="326"/>
      <c r="AD409" s="326"/>
    </row>
    <row r="410">
      <c r="A410" s="326"/>
      <c r="B410" s="326"/>
      <c r="C410" s="326"/>
      <c r="D410" s="326"/>
      <c r="E410" s="326"/>
      <c r="F410" s="326"/>
      <c r="G410" s="326"/>
      <c r="H410" s="326"/>
      <c r="I410" s="326"/>
      <c r="J410" s="326"/>
      <c r="K410" s="326"/>
      <c r="L410" s="326"/>
      <c r="M410" s="326"/>
      <c r="N410" s="326"/>
      <c r="O410" s="326"/>
      <c r="P410" s="326"/>
      <c r="Q410" s="326"/>
      <c r="R410" s="326"/>
      <c r="S410" s="326"/>
      <c r="T410" s="326"/>
      <c r="U410" s="326"/>
      <c r="V410" s="326"/>
      <c r="W410" s="326"/>
      <c r="X410" s="326"/>
      <c r="Y410" s="326"/>
      <c r="Z410" s="326"/>
      <c r="AA410" s="326"/>
      <c r="AB410" s="326"/>
      <c r="AC410" s="326"/>
      <c r="AD410" s="326"/>
    </row>
    <row r="411">
      <c r="A411" s="326"/>
      <c r="B411" s="326"/>
      <c r="C411" s="326"/>
      <c r="D411" s="326"/>
      <c r="E411" s="326"/>
      <c r="F411" s="326"/>
      <c r="G411" s="326"/>
      <c r="H411" s="326"/>
      <c r="I411" s="326"/>
      <c r="J411" s="326"/>
      <c r="K411" s="326"/>
      <c r="L411" s="326"/>
      <c r="M411" s="326"/>
      <c r="N411" s="326"/>
      <c r="O411" s="326"/>
      <c r="P411" s="326"/>
      <c r="Q411" s="326"/>
      <c r="R411" s="326"/>
      <c r="S411" s="326"/>
      <c r="T411" s="326"/>
      <c r="U411" s="326"/>
      <c r="V411" s="326"/>
      <c r="W411" s="326"/>
      <c r="X411" s="326"/>
      <c r="Y411" s="326"/>
      <c r="Z411" s="326"/>
      <c r="AA411" s="326"/>
      <c r="AB411" s="326"/>
      <c r="AC411" s="326"/>
      <c r="AD411" s="326"/>
    </row>
    <row r="412">
      <c r="A412" s="326"/>
      <c r="B412" s="326"/>
      <c r="C412" s="326"/>
      <c r="D412" s="326"/>
      <c r="E412" s="326"/>
      <c r="F412" s="326"/>
      <c r="G412" s="326"/>
      <c r="H412" s="326"/>
      <c r="I412" s="326"/>
      <c r="J412" s="326"/>
      <c r="K412" s="326"/>
      <c r="L412" s="326"/>
      <c r="M412" s="326"/>
      <c r="N412" s="326"/>
      <c r="O412" s="326"/>
      <c r="P412" s="326"/>
      <c r="Q412" s="326"/>
      <c r="R412" s="326"/>
      <c r="S412" s="326"/>
      <c r="T412" s="326"/>
      <c r="U412" s="326"/>
      <c r="V412" s="326"/>
      <c r="W412" s="326"/>
      <c r="X412" s="326"/>
      <c r="Y412" s="326"/>
      <c r="Z412" s="326"/>
      <c r="AA412" s="326"/>
      <c r="AB412" s="326"/>
      <c r="AC412" s="326"/>
      <c r="AD412" s="326"/>
    </row>
    <row r="413">
      <c r="A413" s="326"/>
      <c r="B413" s="326"/>
      <c r="C413" s="326"/>
      <c r="D413" s="326"/>
      <c r="E413" s="326"/>
      <c r="F413" s="326"/>
      <c r="G413" s="326"/>
      <c r="H413" s="326"/>
      <c r="I413" s="326"/>
      <c r="J413" s="326"/>
      <c r="K413" s="326"/>
      <c r="L413" s="326"/>
      <c r="M413" s="326"/>
      <c r="N413" s="326"/>
      <c r="O413" s="326"/>
      <c r="P413" s="326"/>
      <c r="Q413" s="326"/>
      <c r="R413" s="326"/>
      <c r="S413" s="326"/>
      <c r="T413" s="326"/>
      <c r="U413" s="326"/>
      <c r="V413" s="326"/>
      <c r="W413" s="326"/>
      <c r="X413" s="326"/>
      <c r="Y413" s="326"/>
      <c r="Z413" s="326"/>
      <c r="AA413" s="326"/>
      <c r="AB413" s="326"/>
      <c r="AC413" s="326"/>
      <c r="AD413" s="326"/>
    </row>
    <row r="414">
      <c r="A414" s="326"/>
      <c r="B414" s="326"/>
      <c r="C414" s="326"/>
      <c r="D414" s="326"/>
      <c r="E414" s="326"/>
      <c r="F414" s="326"/>
      <c r="G414" s="326"/>
      <c r="H414" s="326"/>
      <c r="I414" s="326"/>
      <c r="J414" s="326"/>
      <c r="K414" s="326"/>
      <c r="L414" s="326"/>
      <c r="M414" s="326"/>
      <c r="N414" s="326"/>
      <c r="O414" s="326"/>
      <c r="P414" s="326"/>
      <c r="Q414" s="326"/>
      <c r="R414" s="326"/>
      <c r="S414" s="326"/>
      <c r="T414" s="326"/>
      <c r="U414" s="326"/>
      <c r="V414" s="326"/>
      <c r="W414" s="326"/>
      <c r="X414" s="326"/>
      <c r="Y414" s="326"/>
      <c r="Z414" s="326"/>
      <c r="AA414" s="326"/>
      <c r="AB414" s="326"/>
      <c r="AC414" s="326"/>
      <c r="AD414" s="326"/>
    </row>
    <row r="415">
      <c r="A415" s="326"/>
      <c r="B415" s="326"/>
      <c r="C415" s="326"/>
      <c r="D415" s="326"/>
      <c r="E415" s="326"/>
      <c r="F415" s="326"/>
      <c r="G415" s="326"/>
      <c r="H415" s="326"/>
      <c r="I415" s="326"/>
      <c r="J415" s="326"/>
      <c r="K415" s="326"/>
      <c r="L415" s="326"/>
      <c r="M415" s="326"/>
      <c r="N415" s="326"/>
      <c r="O415" s="326"/>
      <c r="P415" s="326"/>
      <c r="Q415" s="326"/>
      <c r="R415" s="326"/>
      <c r="S415" s="326"/>
      <c r="T415" s="326"/>
      <c r="U415" s="326"/>
      <c r="V415" s="326"/>
      <c r="W415" s="326"/>
      <c r="X415" s="326"/>
      <c r="Y415" s="326"/>
      <c r="Z415" s="326"/>
      <c r="AA415" s="326"/>
      <c r="AB415" s="326"/>
      <c r="AC415" s="326"/>
      <c r="AD415" s="326"/>
    </row>
    <row r="416">
      <c r="A416" s="326"/>
      <c r="B416" s="326"/>
      <c r="C416" s="326"/>
      <c r="D416" s="326"/>
      <c r="E416" s="326"/>
      <c r="F416" s="326"/>
      <c r="G416" s="326"/>
      <c r="H416" s="326"/>
      <c r="I416" s="326"/>
      <c r="J416" s="326"/>
      <c r="K416" s="326"/>
      <c r="L416" s="326"/>
      <c r="M416" s="326"/>
      <c r="N416" s="326"/>
      <c r="O416" s="326"/>
      <c r="P416" s="326"/>
      <c r="Q416" s="326"/>
      <c r="R416" s="326"/>
      <c r="S416" s="326"/>
      <c r="T416" s="326"/>
      <c r="U416" s="326"/>
      <c r="V416" s="326"/>
      <c r="W416" s="326"/>
      <c r="X416" s="326"/>
      <c r="Y416" s="326"/>
      <c r="Z416" s="326"/>
      <c r="AA416" s="326"/>
      <c r="AB416" s="326"/>
      <c r="AC416" s="326"/>
      <c r="AD416" s="326"/>
    </row>
    <row r="417">
      <c r="A417" s="326"/>
      <c r="B417" s="326"/>
      <c r="C417" s="326"/>
      <c r="D417" s="326"/>
      <c r="E417" s="326"/>
      <c r="F417" s="326"/>
      <c r="G417" s="326"/>
      <c r="H417" s="326"/>
      <c r="I417" s="326"/>
      <c r="J417" s="326"/>
      <c r="K417" s="326"/>
      <c r="L417" s="326"/>
      <c r="M417" s="326"/>
      <c r="N417" s="326"/>
      <c r="O417" s="326"/>
      <c r="P417" s="326"/>
      <c r="Q417" s="326"/>
      <c r="R417" s="326"/>
      <c r="S417" s="326"/>
      <c r="T417" s="326"/>
      <c r="U417" s="326"/>
      <c r="V417" s="326"/>
      <c r="W417" s="326"/>
      <c r="X417" s="326"/>
      <c r="Y417" s="326"/>
      <c r="Z417" s="326"/>
      <c r="AA417" s="326"/>
      <c r="AB417" s="326"/>
      <c r="AC417" s="326"/>
      <c r="AD417" s="326"/>
    </row>
    <row r="418">
      <c r="A418" s="326"/>
      <c r="B418" s="326"/>
      <c r="C418" s="326"/>
      <c r="D418" s="326"/>
      <c r="E418" s="326"/>
      <c r="F418" s="326"/>
      <c r="G418" s="326"/>
      <c r="H418" s="326"/>
      <c r="I418" s="326"/>
      <c r="J418" s="326"/>
      <c r="K418" s="326"/>
      <c r="L418" s="326"/>
      <c r="M418" s="326"/>
      <c r="N418" s="326"/>
      <c r="O418" s="326"/>
      <c r="P418" s="326"/>
      <c r="Q418" s="326"/>
      <c r="R418" s="326"/>
      <c r="S418" s="326"/>
      <c r="T418" s="326"/>
      <c r="U418" s="326"/>
      <c r="V418" s="326"/>
      <c r="W418" s="326"/>
      <c r="X418" s="326"/>
      <c r="Y418" s="326"/>
      <c r="Z418" s="326"/>
      <c r="AA418" s="326"/>
      <c r="AB418" s="326"/>
      <c r="AC418" s="326"/>
      <c r="AD418" s="326"/>
    </row>
    <row r="419">
      <c r="A419" s="326"/>
      <c r="B419" s="326"/>
      <c r="C419" s="326"/>
      <c r="D419" s="326"/>
      <c r="E419" s="326"/>
      <c r="F419" s="326"/>
      <c r="G419" s="326"/>
      <c r="H419" s="326"/>
      <c r="I419" s="326"/>
      <c r="J419" s="326"/>
      <c r="K419" s="326"/>
      <c r="L419" s="326"/>
      <c r="M419" s="326"/>
      <c r="N419" s="326"/>
      <c r="O419" s="326"/>
      <c r="P419" s="326"/>
      <c r="Q419" s="326"/>
      <c r="R419" s="326"/>
      <c r="S419" s="326"/>
      <c r="T419" s="326"/>
      <c r="U419" s="326"/>
      <c r="V419" s="326"/>
      <c r="W419" s="326"/>
      <c r="X419" s="326"/>
      <c r="Y419" s="326"/>
      <c r="Z419" s="326"/>
      <c r="AA419" s="326"/>
      <c r="AB419" s="326"/>
      <c r="AC419" s="326"/>
      <c r="AD419" s="326"/>
    </row>
    <row r="420">
      <c r="A420" s="326"/>
      <c r="B420" s="326"/>
      <c r="C420" s="326"/>
      <c r="D420" s="326"/>
      <c r="E420" s="326"/>
      <c r="F420" s="326"/>
      <c r="G420" s="326"/>
      <c r="H420" s="326"/>
      <c r="I420" s="326"/>
      <c r="J420" s="326"/>
      <c r="K420" s="326"/>
      <c r="L420" s="326"/>
      <c r="M420" s="326"/>
      <c r="N420" s="326"/>
      <c r="O420" s="326"/>
      <c r="P420" s="326"/>
      <c r="Q420" s="326"/>
      <c r="R420" s="326"/>
      <c r="S420" s="326"/>
      <c r="T420" s="326"/>
      <c r="U420" s="326"/>
      <c r="V420" s="326"/>
      <c r="W420" s="326"/>
      <c r="X420" s="326"/>
      <c r="Y420" s="326"/>
      <c r="Z420" s="326"/>
      <c r="AA420" s="326"/>
      <c r="AB420" s="326"/>
      <c r="AC420" s="326"/>
      <c r="AD420" s="326"/>
    </row>
    <row r="421">
      <c r="A421" s="326"/>
      <c r="B421" s="326"/>
      <c r="C421" s="326"/>
      <c r="D421" s="326"/>
      <c r="E421" s="326"/>
      <c r="F421" s="326"/>
      <c r="G421" s="326"/>
      <c r="H421" s="326"/>
      <c r="I421" s="326"/>
      <c r="J421" s="326"/>
      <c r="K421" s="326"/>
      <c r="L421" s="326"/>
      <c r="M421" s="326"/>
      <c r="N421" s="326"/>
      <c r="O421" s="326"/>
      <c r="P421" s="326"/>
      <c r="Q421" s="326"/>
      <c r="R421" s="326"/>
      <c r="S421" s="326"/>
      <c r="T421" s="326"/>
      <c r="U421" s="326"/>
      <c r="V421" s="326"/>
      <c r="W421" s="326"/>
      <c r="X421" s="326"/>
      <c r="Y421" s="326"/>
      <c r="Z421" s="326"/>
      <c r="AA421" s="326"/>
      <c r="AB421" s="326"/>
      <c r="AC421" s="326"/>
      <c r="AD421" s="326"/>
    </row>
    <row r="422">
      <c r="A422" s="326"/>
      <c r="B422" s="326"/>
      <c r="C422" s="326"/>
      <c r="D422" s="326"/>
      <c r="E422" s="326"/>
      <c r="F422" s="326"/>
      <c r="G422" s="326"/>
      <c r="H422" s="326"/>
      <c r="I422" s="326"/>
      <c r="J422" s="326"/>
      <c r="K422" s="326"/>
      <c r="L422" s="326"/>
      <c r="M422" s="326"/>
      <c r="N422" s="326"/>
      <c r="O422" s="326"/>
      <c r="P422" s="326"/>
      <c r="Q422" s="326"/>
      <c r="R422" s="326"/>
      <c r="S422" s="326"/>
      <c r="T422" s="326"/>
      <c r="U422" s="326"/>
      <c r="V422" s="326"/>
      <c r="W422" s="326"/>
      <c r="X422" s="326"/>
      <c r="Y422" s="326"/>
      <c r="Z422" s="326"/>
      <c r="AA422" s="326"/>
      <c r="AB422" s="326"/>
      <c r="AC422" s="326"/>
      <c r="AD422" s="326"/>
    </row>
    <row r="423">
      <c r="A423" s="326"/>
      <c r="B423" s="326"/>
      <c r="C423" s="326"/>
      <c r="D423" s="326"/>
      <c r="E423" s="326"/>
      <c r="F423" s="326"/>
      <c r="G423" s="326"/>
      <c r="H423" s="326"/>
      <c r="I423" s="326"/>
      <c r="J423" s="326"/>
      <c r="K423" s="326"/>
      <c r="L423" s="326"/>
      <c r="M423" s="326"/>
      <c r="N423" s="326"/>
      <c r="O423" s="326"/>
      <c r="P423" s="326"/>
      <c r="Q423" s="326"/>
      <c r="R423" s="326"/>
      <c r="S423" s="326"/>
      <c r="T423" s="326"/>
      <c r="U423" s="326"/>
      <c r="V423" s="326"/>
      <c r="W423" s="326"/>
      <c r="X423" s="326"/>
      <c r="Y423" s="326"/>
      <c r="Z423" s="326"/>
      <c r="AA423" s="326"/>
      <c r="AB423" s="326"/>
      <c r="AC423" s="326"/>
      <c r="AD423" s="326"/>
    </row>
    <row r="424">
      <c r="A424" s="326"/>
      <c r="B424" s="326"/>
      <c r="C424" s="326"/>
      <c r="D424" s="326"/>
      <c r="E424" s="326"/>
      <c r="F424" s="326"/>
      <c r="G424" s="326"/>
      <c r="H424" s="326"/>
      <c r="I424" s="326"/>
      <c r="J424" s="326"/>
      <c r="K424" s="326"/>
      <c r="L424" s="326"/>
      <c r="M424" s="326"/>
      <c r="N424" s="326"/>
      <c r="O424" s="326"/>
      <c r="P424" s="326"/>
      <c r="Q424" s="326"/>
      <c r="R424" s="326"/>
      <c r="S424" s="326"/>
      <c r="T424" s="326"/>
      <c r="U424" s="326"/>
      <c r="V424" s="326"/>
      <c r="W424" s="326"/>
      <c r="X424" s="326"/>
      <c r="Y424" s="326"/>
      <c r="Z424" s="326"/>
      <c r="AA424" s="326"/>
      <c r="AB424" s="326"/>
      <c r="AC424" s="326"/>
      <c r="AD424" s="326"/>
    </row>
    <row r="425">
      <c r="A425" s="326"/>
      <c r="B425" s="326"/>
      <c r="C425" s="326"/>
      <c r="D425" s="326"/>
      <c r="E425" s="326"/>
      <c r="F425" s="326"/>
      <c r="G425" s="326"/>
      <c r="H425" s="326"/>
      <c r="I425" s="326"/>
      <c r="J425" s="326"/>
      <c r="K425" s="326"/>
      <c r="L425" s="326"/>
      <c r="M425" s="326"/>
      <c r="N425" s="326"/>
      <c r="O425" s="326"/>
      <c r="P425" s="326"/>
      <c r="Q425" s="326"/>
      <c r="R425" s="326"/>
      <c r="S425" s="326"/>
      <c r="T425" s="326"/>
      <c r="U425" s="326"/>
      <c r="V425" s="326"/>
      <c r="W425" s="326"/>
      <c r="X425" s="326"/>
      <c r="Y425" s="326"/>
      <c r="Z425" s="326"/>
      <c r="AA425" s="326"/>
      <c r="AB425" s="326"/>
      <c r="AC425" s="326"/>
      <c r="AD425" s="326"/>
    </row>
    <row r="426">
      <c r="A426" s="326"/>
      <c r="B426" s="326"/>
      <c r="C426" s="326"/>
      <c r="D426" s="326"/>
      <c r="E426" s="326"/>
      <c r="F426" s="326"/>
      <c r="G426" s="326"/>
      <c r="H426" s="326"/>
      <c r="I426" s="326"/>
      <c r="J426" s="326"/>
      <c r="K426" s="326"/>
      <c r="L426" s="326"/>
      <c r="M426" s="326"/>
      <c r="N426" s="326"/>
      <c r="O426" s="326"/>
      <c r="P426" s="326"/>
      <c r="Q426" s="326"/>
      <c r="R426" s="326"/>
      <c r="S426" s="326"/>
      <c r="T426" s="326"/>
      <c r="U426" s="326"/>
      <c r="V426" s="326"/>
      <c r="W426" s="326"/>
      <c r="X426" s="326"/>
      <c r="Y426" s="326"/>
      <c r="Z426" s="326"/>
      <c r="AA426" s="326"/>
      <c r="AB426" s="326"/>
      <c r="AC426" s="326"/>
      <c r="AD426" s="326"/>
    </row>
    <row r="427">
      <c r="A427" s="326"/>
      <c r="B427" s="326"/>
      <c r="C427" s="326"/>
      <c r="D427" s="326"/>
      <c r="E427" s="326"/>
      <c r="F427" s="326"/>
      <c r="G427" s="326"/>
      <c r="H427" s="326"/>
      <c r="I427" s="326"/>
      <c r="J427" s="326"/>
      <c r="K427" s="326"/>
      <c r="L427" s="326"/>
      <c r="M427" s="326"/>
      <c r="N427" s="326"/>
      <c r="O427" s="326"/>
      <c r="P427" s="326"/>
      <c r="Q427" s="326"/>
      <c r="R427" s="326"/>
      <c r="S427" s="326"/>
      <c r="T427" s="326"/>
      <c r="U427" s="326"/>
      <c r="V427" s="326"/>
      <c r="W427" s="326"/>
      <c r="X427" s="326"/>
      <c r="Y427" s="326"/>
      <c r="Z427" s="326"/>
      <c r="AA427" s="326"/>
      <c r="AB427" s="326"/>
      <c r="AC427" s="326"/>
      <c r="AD427" s="326"/>
    </row>
    <row r="428">
      <c r="A428" s="326"/>
      <c r="B428" s="326"/>
      <c r="C428" s="326"/>
      <c r="D428" s="326"/>
      <c r="E428" s="326"/>
      <c r="F428" s="326"/>
      <c r="G428" s="326"/>
      <c r="H428" s="326"/>
      <c r="I428" s="326"/>
      <c r="J428" s="326"/>
      <c r="K428" s="326"/>
      <c r="L428" s="326"/>
      <c r="M428" s="326"/>
      <c r="N428" s="326"/>
      <c r="O428" s="326"/>
      <c r="P428" s="326"/>
      <c r="Q428" s="326"/>
      <c r="R428" s="326"/>
      <c r="S428" s="326"/>
      <c r="T428" s="326"/>
      <c r="U428" s="326"/>
      <c r="V428" s="326"/>
      <c r="W428" s="326"/>
      <c r="X428" s="326"/>
      <c r="Y428" s="326"/>
      <c r="Z428" s="326"/>
      <c r="AA428" s="326"/>
      <c r="AB428" s="326"/>
      <c r="AC428" s="326"/>
      <c r="AD428" s="326"/>
    </row>
    <row r="429">
      <c r="A429" s="326"/>
      <c r="B429" s="326"/>
      <c r="C429" s="326"/>
      <c r="D429" s="326"/>
      <c r="E429" s="326"/>
      <c r="F429" s="326"/>
      <c r="G429" s="326"/>
      <c r="H429" s="326"/>
      <c r="I429" s="326"/>
      <c r="J429" s="326"/>
      <c r="K429" s="326"/>
      <c r="L429" s="326"/>
      <c r="M429" s="326"/>
      <c r="N429" s="326"/>
      <c r="O429" s="326"/>
      <c r="P429" s="326"/>
      <c r="Q429" s="326"/>
      <c r="R429" s="326"/>
      <c r="S429" s="326"/>
      <c r="T429" s="326"/>
      <c r="U429" s="326"/>
      <c r="V429" s="326"/>
      <c r="W429" s="326"/>
      <c r="X429" s="326"/>
      <c r="Y429" s="326"/>
      <c r="Z429" s="326"/>
      <c r="AA429" s="326"/>
      <c r="AB429" s="326"/>
      <c r="AC429" s="326"/>
      <c r="AD429" s="326"/>
    </row>
    <row r="430">
      <c r="A430" s="326"/>
      <c r="B430" s="326"/>
      <c r="C430" s="326"/>
      <c r="D430" s="326"/>
      <c r="E430" s="326"/>
      <c r="F430" s="326"/>
      <c r="G430" s="326"/>
      <c r="H430" s="326"/>
      <c r="I430" s="326"/>
      <c r="J430" s="326"/>
      <c r="K430" s="326"/>
      <c r="L430" s="326"/>
      <c r="M430" s="326"/>
      <c r="N430" s="326"/>
      <c r="O430" s="326"/>
      <c r="P430" s="326"/>
      <c r="Q430" s="326"/>
      <c r="R430" s="326"/>
      <c r="S430" s="326"/>
      <c r="T430" s="326"/>
      <c r="U430" s="326"/>
      <c r="V430" s="326"/>
      <c r="W430" s="326"/>
      <c r="X430" s="326"/>
      <c r="Y430" s="326"/>
      <c r="Z430" s="326"/>
      <c r="AA430" s="326"/>
      <c r="AB430" s="326"/>
      <c r="AC430" s="326"/>
      <c r="AD430" s="326"/>
    </row>
    <row r="431">
      <c r="A431" s="326"/>
      <c r="B431" s="326"/>
      <c r="C431" s="32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6"/>
      <c r="Z431" s="326"/>
      <c r="AA431" s="326"/>
      <c r="AB431" s="326"/>
      <c r="AC431" s="326"/>
      <c r="AD431" s="326"/>
    </row>
    <row r="432">
      <c r="A432" s="326"/>
      <c r="B432" s="326"/>
      <c r="C432" s="326"/>
      <c r="D432" s="326"/>
      <c r="E432" s="326"/>
      <c r="F432" s="326"/>
      <c r="G432" s="326"/>
      <c r="H432" s="326"/>
      <c r="I432" s="326"/>
      <c r="J432" s="326"/>
      <c r="K432" s="326"/>
      <c r="L432" s="326"/>
      <c r="M432" s="326"/>
      <c r="N432" s="326"/>
      <c r="O432" s="326"/>
      <c r="P432" s="326"/>
      <c r="Q432" s="326"/>
      <c r="R432" s="326"/>
      <c r="S432" s="326"/>
      <c r="T432" s="326"/>
      <c r="U432" s="326"/>
      <c r="V432" s="326"/>
      <c r="W432" s="326"/>
      <c r="X432" s="326"/>
      <c r="Y432" s="326"/>
      <c r="Z432" s="326"/>
      <c r="AA432" s="326"/>
      <c r="AB432" s="326"/>
      <c r="AC432" s="326"/>
      <c r="AD432" s="326"/>
    </row>
    <row r="433">
      <c r="A433" s="326"/>
      <c r="B433" s="326"/>
      <c r="C433" s="326"/>
      <c r="D433" s="326"/>
      <c r="E433" s="326"/>
      <c r="F433" s="326"/>
      <c r="G433" s="326"/>
      <c r="H433" s="326"/>
      <c r="I433" s="326"/>
      <c r="J433" s="326"/>
      <c r="K433" s="326"/>
      <c r="L433" s="326"/>
      <c r="M433" s="326"/>
      <c r="N433" s="326"/>
      <c r="O433" s="326"/>
      <c r="P433" s="326"/>
      <c r="Q433" s="326"/>
      <c r="R433" s="326"/>
      <c r="S433" s="326"/>
      <c r="T433" s="326"/>
      <c r="U433" s="326"/>
      <c r="V433" s="326"/>
      <c r="W433" s="326"/>
      <c r="X433" s="326"/>
      <c r="Y433" s="326"/>
      <c r="Z433" s="326"/>
      <c r="AA433" s="326"/>
      <c r="AB433" s="326"/>
      <c r="AC433" s="326"/>
      <c r="AD433" s="326"/>
    </row>
    <row r="434">
      <c r="A434" s="326"/>
      <c r="B434" s="326"/>
      <c r="C434" s="326"/>
      <c r="D434" s="326"/>
      <c r="E434" s="326"/>
      <c r="F434" s="326"/>
      <c r="G434" s="326"/>
      <c r="H434" s="326"/>
      <c r="I434" s="326"/>
      <c r="J434" s="326"/>
      <c r="K434" s="326"/>
      <c r="L434" s="326"/>
      <c r="M434" s="326"/>
      <c r="N434" s="326"/>
      <c r="O434" s="326"/>
      <c r="P434" s="326"/>
      <c r="Q434" s="326"/>
      <c r="R434" s="326"/>
      <c r="S434" s="326"/>
      <c r="T434" s="326"/>
      <c r="U434" s="326"/>
      <c r="V434" s="326"/>
      <c r="W434" s="326"/>
      <c r="X434" s="326"/>
      <c r="Y434" s="326"/>
      <c r="Z434" s="326"/>
      <c r="AA434" s="326"/>
      <c r="AB434" s="326"/>
      <c r="AC434" s="326"/>
      <c r="AD434" s="326"/>
    </row>
    <row r="435">
      <c r="A435" s="326"/>
      <c r="B435" s="326"/>
      <c r="C435" s="326"/>
      <c r="D435" s="326"/>
      <c r="E435" s="326"/>
      <c r="F435" s="326"/>
      <c r="G435" s="326"/>
      <c r="H435" s="326"/>
      <c r="I435" s="326"/>
      <c r="J435" s="326"/>
      <c r="K435" s="326"/>
      <c r="L435" s="326"/>
      <c r="M435" s="326"/>
      <c r="N435" s="326"/>
      <c r="O435" s="326"/>
      <c r="P435" s="326"/>
      <c r="Q435" s="326"/>
      <c r="R435" s="326"/>
      <c r="S435" s="326"/>
      <c r="T435" s="326"/>
      <c r="U435" s="326"/>
      <c r="V435" s="326"/>
      <c r="W435" s="326"/>
      <c r="X435" s="326"/>
      <c r="Y435" s="326"/>
      <c r="Z435" s="326"/>
      <c r="AA435" s="326"/>
      <c r="AB435" s="326"/>
      <c r="AC435" s="326"/>
      <c r="AD435" s="326"/>
    </row>
    <row r="436">
      <c r="A436" s="326"/>
      <c r="B436" s="326"/>
      <c r="C436" s="326"/>
      <c r="D436" s="326"/>
      <c r="E436" s="326"/>
      <c r="F436" s="326"/>
      <c r="G436" s="326"/>
      <c r="H436" s="326"/>
      <c r="I436" s="326"/>
      <c r="J436" s="326"/>
      <c r="K436" s="326"/>
      <c r="L436" s="326"/>
      <c r="M436" s="326"/>
      <c r="N436" s="326"/>
      <c r="O436" s="326"/>
      <c r="P436" s="326"/>
      <c r="Q436" s="326"/>
      <c r="R436" s="326"/>
      <c r="S436" s="326"/>
      <c r="T436" s="326"/>
      <c r="U436" s="326"/>
      <c r="V436" s="326"/>
      <c r="W436" s="326"/>
      <c r="X436" s="326"/>
      <c r="Y436" s="326"/>
      <c r="Z436" s="326"/>
      <c r="AA436" s="326"/>
      <c r="AB436" s="326"/>
      <c r="AC436" s="326"/>
      <c r="AD436" s="326"/>
    </row>
    <row r="437">
      <c r="A437" s="326"/>
      <c r="B437" s="326"/>
      <c r="C437" s="326"/>
      <c r="D437" s="326"/>
      <c r="E437" s="326"/>
      <c r="F437" s="326"/>
      <c r="G437" s="326"/>
      <c r="H437" s="326"/>
      <c r="I437" s="326"/>
      <c r="J437" s="326"/>
      <c r="K437" s="326"/>
      <c r="L437" s="326"/>
      <c r="M437" s="326"/>
      <c r="N437" s="326"/>
      <c r="O437" s="326"/>
      <c r="P437" s="326"/>
      <c r="Q437" s="326"/>
      <c r="R437" s="326"/>
      <c r="S437" s="326"/>
      <c r="T437" s="326"/>
      <c r="U437" s="326"/>
      <c r="V437" s="326"/>
      <c r="W437" s="326"/>
      <c r="X437" s="326"/>
      <c r="Y437" s="326"/>
      <c r="Z437" s="326"/>
      <c r="AA437" s="326"/>
      <c r="AB437" s="326"/>
      <c r="AC437" s="326"/>
      <c r="AD437" s="326"/>
    </row>
    <row r="438">
      <c r="A438" s="326"/>
      <c r="B438" s="326"/>
      <c r="C438" s="326"/>
      <c r="D438" s="326"/>
      <c r="E438" s="326"/>
      <c r="F438" s="326"/>
      <c r="G438" s="326"/>
      <c r="H438" s="326"/>
      <c r="I438" s="326"/>
      <c r="J438" s="326"/>
      <c r="K438" s="326"/>
      <c r="L438" s="326"/>
      <c r="M438" s="326"/>
      <c r="N438" s="326"/>
      <c r="O438" s="326"/>
      <c r="P438" s="326"/>
      <c r="Q438" s="326"/>
      <c r="R438" s="326"/>
      <c r="S438" s="326"/>
      <c r="T438" s="326"/>
      <c r="U438" s="326"/>
      <c r="V438" s="326"/>
      <c r="W438" s="326"/>
      <c r="X438" s="326"/>
      <c r="Y438" s="326"/>
      <c r="Z438" s="326"/>
      <c r="AA438" s="326"/>
      <c r="AB438" s="326"/>
      <c r="AC438" s="326"/>
      <c r="AD438" s="326"/>
    </row>
    <row r="439">
      <c r="A439" s="326"/>
      <c r="B439" s="326"/>
      <c r="C439" s="326"/>
      <c r="D439" s="326"/>
      <c r="E439" s="326"/>
      <c r="F439" s="326"/>
      <c r="G439" s="326"/>
      <c r="H439" s="326"/>
      <c r="I439" s="326"/>
      <c r="J439" s="326"/>
      <c r="K439" s="326"/>
      <c r="L439" s="326"/>
      <c r="M439" s="326"/>
      <c r="N439" s="326"/>
      <c r="O439" s="326"/>
      <c r="P439" s="326"/>
      <c r="Q439" s="326"/>
      <c r="R439" s="326"/>
      <c r="S439" s="326"/>
      <c r="T439" s="326"/>
      <c r="U439" s="326"/>
      <c r="V439" s="326"/>
      <c r="W439" s="326"/>
      <c r="X439" s="326"/>
      <c r="Y439" s="326"/>
      <c r="Z439" s="326"/>
      <c r="AA439" s="326"/>
      <c r="AB439" s="326"/>
      <c r="AC439" s="326"/>
      <c r="AD439" s="326"/>
    </row>
    <row r="440">
      <c r="A440" s="326"/>
      <c r="B440" s="326"/>
      <c r="C440" s="326"/>
      <c r="D440" s="326"/>
      <c r="E440" s="326"/>
      <c r="F440" s="326"/>
      <c r="G440" s="326"/>
      <c r="H440" s="326"/>
      <c r="I440" s="326"/>
      <c r="J440" s="326"/>
      <c r="K440" s="326"/>
      <c r="L440" s="326"/>
      <c r="M440" s="326"/>
      <c r="N440" s="326"/>
      <c r="O440" s="326"/>
      <c r="P440" s="326"/>
      <c r="Q440" s="326"/>
      <c r="R440" s="326"/>
      <c r="S440" s="326"/>
      <c r="T440" s="326"/>
      <c r="U440" s="326"/>
      <c r="V440" s="326"/>
      <c r="W440" s="326"/>
      <c r="X440" s="326"/>
      <c r="Y440" s="326"/>
      <c r="Z440" s="326"/>
      <c r="AA440" s="326"/>
      <c r="AB440" s="326"/>
      <c r="AC440" s="326"/>
      <c r="AD440" s="326"/>
    </row>
    <row r="441">
      <c r="A441" s="326"/>
      <c r="B441" s="326"/>
      <c r="C441" s="326"/>
      <c r="D441" s="326"/>
      <c r="E441" s="326"/>
      <c r="F441" s="326"/>
      <c r="G441" s="326"/>
      <c r="H441" s="326"/>
      <c r="I441" s="326"/>
      <c r="J441" s="326"/>
      <c r="K441" s="326"/>
      <c r="L441" s="326"/>
      <c r="M441" s="326"/>
      <c r="N441" s="326"/>
      <c r="O441" s="326"/>
      <c r="P441" s="326"/>
      <c r="Q441" s="326"/>
      <c r="R441" s="326"/>
      <c r="S441" s="326"/>
      <c r="T441" s="326"/>
      <c r="U441" s="326"/>
      <c r="V441" s="326"/>
      <c r="W441" s="326"/>
      <c r="X441" s="326"/>
      <c r="Y441" s="326"/>
      <c r="Z441" s="326"/>
      <c r="AA441" s="326"/>
      <c r="AB441" s="326"/>
      <c r="AC441" s="326"/>
      <c r="AD441" s="326"/>
    </row>
    <row r="442">
      <c r="A442" s="326"/>
      <c r="B442" s="326"/>
      <c r="C442" s="326"/>
      <c r="D442" s="326"/>
      <c r="E442" s="326"/>
      <c r="F442" s="326"/>
      <c r="G442" s="326"/>
      <c r="H442" s="326"/>
      <c r="I442" s="326"/>
      <c r="J442" s="326"/>
      <c r="K442" s="326"/>
      <c r="L442" s="326"/>
      <c r="M442" s="326"/>
      <c r="N442" s="326"/>
      <c r="O442" s="326"/>
      <c r="P442" s="326"/>
      <c r="Q442" s="326"/>
      <c r="R442" s="326"/>
      <c r="S442" s="326"/>
      <c r="T442" s="326"/>
      <c r="U442" s="326"/>
      <c r="V442" s="326"/>
      <c r="W442" s="326"/>
      <c r="X442" s="326"/>
      <c r="Y442" s="326"/>
      <c r="Z442" s="326"/>
      <c r="AA442" s="326"/>
      <c r="AB442" s="326"/>
      <c r="AC442" s="326"/>
      <c r="AD442" s="326"/>
    </row>
    <row r="443">
      <c r="A443" s="326"/>
      <c r="B443" s="326"/>
      <c r="C443" s="326"/>
      <c r="D443" s="326"/>
      <c r="E443" s="326"/>
      <c r="F443" s="326"/>
      <c r="G443" s="326"/>
      <c r="H443" s="326"/>
      <c r="I443" s="326"/>
      <c r="J443" s="326"/>
      <c r="K443" s="326"/>
      <c r="L443" s="326"/>
      <c r="M443" s="326"/>
      <c r="N443" s="326"/>
      <c r="O443" s="326"/>
      <c r="P443" s="326"/>
      <c r="Q443" s="326"/>
      <c r="R443" s="326"/>
      <c r="S443" s="326"/>
      <c r="T443" s="326"/>
      <c r="U443" s="326"/>
      <c r="V443" s="326"/>
      <c r="W443" s="326"/>
      <c r="X443" s="326"/>
      <c r="Y443" s="326"/>
      <c r="Z443" s="326"/>
      <c r="AA443" s="326"/>
      <c r="AB443" s="326"/>
      <c r="AC443" s="326"/>
      <c r="AD443" s="326"/>
    </row>
    <row r="444">
      <c r="A444" s="326"/>
      <c r="B444" s="326"/>
      <c r="C444" s="326"/>
      <c r="D444" s="326"/>
      <c r="E444" s="326"/>
      <c r="F444" s="326"/>
      <c r="G444" s="326"/>
      <c r="H444" s="326"/>
      <c r="I444" s="326"/>
      <c r="J444" s="326"/>
      <c r="K444" s="326"/>
      <c r="L444" s="326"/>
      <c r="M444" s="326"/>
      <c r="N444" s="326"/>
      <c r="O444" s="326"/>
      <c r="P444" s="326"/>
      <c r="Q444" s="326"/>
      <c r="R444" s="326"/>
      <c r="S444" s="326"/>
      <c r="T444" s="326"/>
      <c r="U444" s="326"/>
      <c r="V444" s="326"/>
      <c r="W444" s="326"/>
      <c r="X444" s="326"/>
      <c r="Y444" s="326"/>
      <c r="Z444" s="326"/>
      <c r="AA444" s="326"/>
      <c r="AB444" s="326"/>
      <c r="AC444" s="326"/>
      <c r="AD444" s="326"/>
    </row>
    <row r="445">
      <c r="A445" s="326"/>
      <c r="B445" s="326"/>
      <c r="C445" s="326"/>
      <c r="D445" s="326"/>
      <c r="E445" s="326"/>
      <c r="F445" s="326"/>
      <c r="G445" s="326"/>
      <c r="H445" s="326"/>
      <c r="I445" s="326"/>
      <c r="J445" s="326"/>
      <c r="K445" s="326"/>
      <c r="L445" s="326"/>
      <c r="M445" s="326"/>
      <c r="N445" s="326"/>
      <c r="O445" s="326"/>
      <c r="P445" s="326"/>
      <c r="Q445" s="326"/>
      <c r="R445" s="326"/>
      <c r="S445" s="326"/>
      <c r="T445" s="326"/>
      <c r="U445" s="326"/>
      <c r="V445" s="326"/>
      <c r="W445" s="326"/>
      <c r="X445" s="326"/>
      <c r="Y445" s="326"/>
      <c r="Z445" s="326"/>
      <c r="AA445" s="326"/>
      <c r="AB445" s="326"/>
      <c r="AC445" s="326"/>
      <c r="AD445" s="326"/>
    </row>
    <row r="446">
      <c r="A446" s="326"/>
      <c r="B446" s="326"/>
      <c r="C446" s="326"/>
      <c r="D446" s="326"/>
      <c r="E446" s="326"/>
      <c r="F446" s="326"/>
      <c r="G446" s="326"/>
      <c r="H446" s="326"/>
      <c r="I446" s="326"/>
      <c r="J446" s="326"/>
      <c r="K446" s="326"/>
      <c r="L446" s="326"/>
      <c r="M446" s="326"/>
      <c r="N446" s="326"/>
      <c r="O446" s="326"/>
      <c r="P446" s="326"/>
      <c r="Q446" s="326"/>
      <c r="R446" s="326"/>
      <c r="S446" s="326"/>
      <c r="T446" s="326"/>
      <c r="U446" s="326"/>
      <c r="V446" s="326"/>
      <c r="W446" s="326"/>
      <c r="X446" s="326"/>
      <c r="Y446" s="326"/>
      <c r="Z446" s="326"/>
      <c r="AA446" s="326"/>
      <c r="AB446" s="326"/>
      <c r="AC446" s="326"/>
      <c r="AD446" s="326"/>
    </row>
    <row r="447">
      <c r="A447" s="326"/>
      <c r="B447" s="326"/>
      <c r="C447" s="326"/>
      <c r="D447" s="326"/>
      <c r="E447" s="326"/>
      <c r="F447" s="326"/>
      <c r="G447" s="326"/>
      <c r="H447" s="326"/>
      <c r="I447" s="326"/>
      <c r="J447" s="326"/>
      <c r="K447" s="326"/>
      <c r="L447" s="326"/>
      <c r="M447" s="326"/>
      <c r="N447" s="326"/>
      <c r="O447" s="326"/>
      <c r="P447" s="326"/>
      <c r="Q447" s="326"/>
      <c r="R447" s="326"/>
      <c r="S447" s="326"/>
      <c r="T447" s="326"/>
      <c r="U447" s="326"/>
      <c r="V447" s="326"/>
      <c r="W447" s="326"/>
      <c r="X447" s="326"/>
      <c r="Y447" s="326"/>
      <c r="Z447" s="326"/>
      <c r="AA447" s="326"/>
      <c r="AB447" s="326"/>
      <c r="AC447" s="326"/>
      <c r="AD447" s="326"/>
    </row>
    <row r="448">
      <c r="A448" s="326"/>
      <c r="B448" s="326"/>
      <c r="C448" s="326"/>
      <c r="D448" s="326"/>
      <c r="E448" s="326"/>
      <c r="F448" s="326"/>
      <c r="G448" s="326"/>
      <c r="H448" s="326"/>
      <c r="I448" s="326"/>
      <c r="J448" s="326"/>
      <c r="K448" s="326"/>
      <c r="L448" s="326"/>
      <c r="M448" s="326"/>
      <c r="N448" s="326"/>
      <c r="O448" s="326"/>
      <c r="P448" s="326"/>
      <c r="Q448" s="326"/>
      <c r="R448" s="326"/>
      <c r="S448" s="326"/>
      <c r="T448" s="326"/>
      <c r="U448" s="326"/>
      <c r="V448" s="326"/>
      <c r="W448" s="326"/>
      <c r="X448" s="326"/>
      <c r="Y448" s="326"/>
      <c r="Z448" s="326"/>
      <c r="AA448" s="326"/>
      <c r="AB448" s="326"/>
      <c r="AC448" s="326"/>
      <c r="AD448" s="326"/>
    </row>
    <row r="449">
      <c r="A449" s="326"/>
      <c r="B449" s="326"/>
      <c r="C449" s="326"/>
      <c r="D449" s="326"/>
      <c r="E449" s="326"/>
      <c r="F449" s="326"/>
      <c r="G449" s="326"/>
      <c r="H449" s="326"/>
      <c r="I449" s="326"/>
      <c r="J449" s="326"/>
      <c r="K449" s="326"/>
      <c r="L449" s="326"/>
      <c r="M449" s="326"/>
      <c r="N449" s="326"/>
      <c r="O449" s="326"/>
      <c r="P449" s="326"/>
      <c r="Q449" s="326"/>
      <c r="R449" s="326"/>
      <c r="S449" s="326"/>
      <c r="T449" s="326"/>
      <c r="U449" s="326"/>
      <c r="V449" s="326"/>
      <c r="W449" s="326"/>
      <c r="X449" s="326"/>
      <c r="Y449" s="326"/>
      <c r="Z449" s="326"/>
      <c r="AA449" s="326"/>
      <c r="AB449" s="326"/>
      <c r="AC449" s="326"/>
      <c r="AD449" s="326"/>
    </row>
    <row r="450">
      <c r="A450" s="326"/>
      <c r="B450" s="326"/>
      <c r="C450" s="326"/>
      <c r="D450" s="326"/>
      <c r="E450" s="326"/>
      <c r="F450" s="326"/>
      <c r="G450" s="326"/>
      <c r="H450" s="326"/>
      <c r="I450" s="326"/>
      <c r="J450" s="326"/>
      <c r="K450" s="326"/>
      <c r="L450" s="326"/>
      <c r="M450" s="326"/>
      <c r="N450" s="326"/>
      <c r="O450" s="326"/>
      <c r="P450" s="326"/>
      <c r="Q450" s="326"/>
      <c r="R450" s="326"/>
      <c r="S450" s="326"/>
      <c r="T450" s="326"/>
      <c r="U450" s="326"/>
      <c r="V450" s="326"/>
      <c r="W450" s="326"/>
      <c r="X450" s="326"/>
      <c r="Y450" s="326"/>
      <c r="Z450" s="326"/>
      <c r="AA450" s="326"/>
      <c r="AB450" s="326"/>
      <c r="AC450" s="326"/>
      <c r="AD450" s="326"/>
    </row>
    <row r="451">
      <c r="A451" s="326"/>
      <c r="B451" s="326"/>
      <c r="C451" s="326"/>
      <c r="D451" s="326"/>
      <c r="E451" s="326"/>
      <c r="F451" s="326"/>
      <c r="G451" s="326"/>
      <c r="H451" s="326"/>
      <c r="I451" s="326"/>
      <c r="J451" s="326"/>
      <c r="K451" s="326"/>
      <c r="L451" s="326"/>
      <c r="M451" s="326"/>
      <c r="N451" s="326"/>
      <c r="O451" s="326"/>
      <c r="P451" s="326"/>
      <c r="Q451" s="326"/>
      <c r="R451" s="326"/>
      <c r="S451" s="326"/>
      <c r="T451" s="326"/>
      <c r="U451" s="326"/>
      <c r="V451" s="326"/>
      <c r="W451" s="326"/>
      <c r="X451" s="326"/>
      <c r="Y451" s="326"/>
      <c r="Z451" s="326"/>
      <c r="AA451" s="326"/>
      <c r="AB451" s="326"/>
      <c r="AC451" s="326"/>
      <c r="AD451" s="326"/>
    </row>
    <row r="452">
      <c r="A452" s="326"/>
      <c r="B452" s="326"/>
      <c r="C452" s="326"/>
      <c r="D452" s="326"/>
      <c r="E452" s="326"/>
      <c r="F452" s="326"/>
      <c r="G452" s="326"/>
      <c r="H452" s="326"/>
      <c r="I452" s="326"/>
      <c r="J452" s="326"/>
      <c r="K452" s="326"/>
      <c r="L452" s="326"/>
      <c r="M452" s="326"/>
      <c r="N452" s="326"/>
      <c r="O452" s="326"/>
      <c r="P452" s="326"/>
      <c r="Q452" s="326"/>
      <c r="R452" s="326"/>
      <c r="S452" s="326"/>
      <c r="T452" s="326"/>
      <c r="U452" s="326"/>
      <c r="V452" s="326"/>
      <c r="W452" s="326"/>
      <c r="X452" s="326"/>
      <c r="Y452" s="326"/>
      <c r="Z452" s="326"/>
      <c r="AA452" s="326"/>
      <c r="AB452" s="326"/>
      <c r="AC452" s="326"/>
      <c r="AD452" s="326"/>
    </row>
    <row r="453">
      <c r="A453" s="326"/>
      <c r="B453" s="326"/>
      <c r="C453" s="326"/>
      <c r="D453" s="326"/>
      <c r="E453" s="326"/>
      <c r="F453" s="326"/>
      <c r="G453" s="326"/>
      <c r="H453" s="326"/>
      <c r="I453" s="326"/>
      <c r="J453" s="326"/>
      <c r="K453" s="326"/>
      <c r="L453" s="326"/>
      <c r="M453" s="326"/>
      <c r="N453" s="326"/>
      <c r="O453" s="326"/>
      <c r="P453" s="326"/>
      <c r="Q453" s="326"/>
      <c r="R453" s="326"/>
      <c r="S453" s="326"/>
      <c r="T453" s="326"/>
      <c r="U453" s="326"/>
      <c r="V453" s="326"/>
      <c r="W453" s="326"/>
      <c r="X453" s="326"/>
      <c r="Y453" s="326"/>
      <c r="Z453" s="326"/>
      <c r="AA453" s="326"/>
      <c r="AB453" s="326"/>
      <c r="AC453" s="326"/>
      <c r="AD453" s="326"/>
    </row>
    <row r="454">
      <c r="A454" s="326"/>
      <c r="B454" s="326"/>
      <c r="C454" s="326"/>
      <c r="D454" s="326"/>
      <c r="E454" s="326"/>
      <c r="F454" s="326"/>
      <c r="G454" s="326"/>
      <c r="H454" s="326"/>
      <c r="I454" s="326"/>
      <c r="J454" s="326"/>
      <c r="K454" s="326"/>
      <c r="L454" s="326"/>
      <c r="M454" s="326"/>
      <c r="N454" s="326"/>
      <c r="O454" s="326"/>
      <c r="P454" s="326"/>
      <c r="Q454" s="326"/>
      <c r="R454" s="326"/>
      <c r="S454" s="326"/>
      <c r="T454" s="326"/>
      <c r="U454" s="326"/>
      <c r="V454" s="326"/>
      <c r="W454" s="326"/>
      <c r="X454" s="326"/>
      <c r="Y454" s="326"/>
      <c r="Z454" s="326"/>
      <c r="AA454" s="326"/>
      <c r="AB454" s="326"/>
      <c r="AC454" s="326"/>
      <c r="AD454" s="326"/>
    </row>
    <row r="455">
      <c r="A455" s="326"/>
      <c r="B455" s="326"/>
      <c r="C455" s="326"/>
      <c r="D455" s="326"/>
      <c r="E455" s="326"/>
      <c r="F455" s="326"/>
      <c r="G455" s="326"/>
      <c r="H455" s="326"/>
      <c r="I455" s="326"/>
      <c r="J455" s="326"/>
      <c r="K455" s="326"/>
      <c r="L455" s="326"/>
      <c r="M455" s="326"/>
      <c r="N455" s="326"/>
      <c r="O455" s="326"/>
      <c r="P455" s="326"/>
      <c r="Q455" s="326"/>
      <c r="R455" s="326"/>
      <c r="S455" s="326"/>
      <c r="T455" s="326"/>
      <c r="U455" s="326"/>
      <c r="V455" s="326"/>
      <c r="W455" s="326"/>
      <c r="X455" s="326"/>
      <c r="Y455" s="326"/>
      <c r="Z455" s="326"/>
      <c r="AA455" s="326"/>
      <c r="AB455" s="326"/>
      <c r="AC455" s="326"/>
      <c r="AD455" s="326"/>
    </row>
    <row r="456">
      <c r="A456" s="326"/>
      <c r="B456" s="326"/>
      <c r="C456" s="326"/>
      <c r="D456" s="326"/>
      <c r="E456" s="326"/>
      <c r="F456" s="326"/>
      <c r="G456" s="326"/>
      <c r="H456" s="326"/>
      <c r="I456" s="326"/>
      <c r="J456" s="326"/>
      <c r="K456" s="326"/>
      <c r="L456" s="326"/>
      <c r="M456" s="326"/>
      <c r="N456" s="326"/>
      <c r="O456" s="326"/>
      <c r="P456" s="326"/>
      <c r="Q456" s="326"/>
      <c r="R456" s="326"/>
      <c r="S456" s="326"/>
      <c r="T456" s="326"/>
      <c r="U456" s="326"/>
      <c r="V456" s="326"/>
      <c r="W456" s="326"/>
      <c r="X456" s="326"/>
      <c r="Y456" s="326"/>
      <c r="Z456" s="326"/>
      <c r="AA456" s="326"/>
      <c r="AB456" s="326"/>
      <c r="AC456" s="326"/>
      <c r="AD456" s="326"/>
    </row>
    <row r="457">
      <c r="A457" s="326"/>
      <c r="B457" s="326"/>
      <c r="C457" s="326"/>
      <c r="D457" s="326"/>
      <c r="E457" s="326"/>
      <c r="F457" s="326"/>
      <c r="G457" s="326"/>
      <c r="H457" s="326"/>
      <c r="I457" s="326"/>
      <c r="J457" s="326"/>
      <c r="K457" s="326"/>
      <c r="L457" s="326"/>
      <c r="M457" s="326"/>
      <c r="N457" s="326"/>
      <c r="O457" s="326"/>
      <c r="P457" s="326"/>
      <c r="Q457" s="326"/>
      <c r="R457" s="326"/>
      <c r="S457" s="326"/>
      <c r="T457" s="326"/>
      <c r="U457" s="326"/>
      <c r="V457" s="326"/>
      <c r="W457" s="326"/>
      <c r="X457" s="326"/>
      <c r="Y457" s="326"/>
      <c r="Z457" s="326"/>
      <c r="AA457" s="326"/>
      <c r="AB457" s="326"/>
      <c r="AC457" s="326"/>
      <c r="AD457" s="326"/>
    </row>
    <row r="458">
      <c r="A458" s="326"/>
      <c r="B458" s="326"/>
      <c r="C458" s="326"/>
      <c r="D458" s="326"/>
      <c r="E458" s="326"/>
      <c r="F458" s="326"/>
      <c r="G458" s="326"/>
      <c r="H458" s="326"/>
      <c r="I458" s="326"/>
      <c r="J458" s="326"/>
      <c r="K458" s="326"/>
      <c r="L458" s="326"/>
      <c r="M458" s="326"/>
      <c r="N458" s="326"/>
      <c r="O458" s="326"/>
      <c r="P458" s="326"/>
      <c r="Q458" s="326"/>
      <c r="R458" s="326"/>
      <c r="S458" s="326"/>
      <c r="T458" s="326"/>
      <c r="U458" s="326"/>
      <c r="V458" s="326"/>
      <c r="W458" s="326"/>
      <c r="X458" s="326"/>
      <c r="Y458" s="326"/>
      <c r="Z458" s="326"/>
      <c r="AA458" s="326"/>
      <c r="AB458" s="326"/>
      <c r="AC458" s="326"/>
      <c r="AD458" s="326"/>
    </row>
    <row r="459">
      <c r="A459" s="326"/>
      <c r="B459" s="326"/>
      <c r="C459" s="326"/>
      <c r="D459" s="326"/>
      <c r="E459" s="326"/>
      <c r="F459" s="326"/>
      <c r="G459" s="326"/>
      <c r="H459" s="326"/>
      <c r="I459" s="326"/>
      <c r="J459" s="326"/>
      <c r="K459" s="326"/>
      <c r="L459" s="326"/>
      <c r="M459" s="326"/>
      <c r="N459" s="326"/>
      <c r="O459" s="326"/>
      <c r="P459" s="326"/>
      <c r="Q459" s="326"/>
      <c r="R459" s="326"/>
      <c r="S459" s="326"/>
      <c r="T459" s="326"/>
      <c r="U459" s="326"/>
      <c r="V459" s="326"/>
      <c r="W459" s="326"/>
      <c r="X459" s="326"/>
      <c r="Y459" s="326"/>
      <c r="Z459" s="326"/>
      <c r="AA459" s="326"/>
      <c r="AB459" s="326"/>
      <c r="AC459" s="326"/>
      <c r="AD459" s="326"/>
    </row>
    <row r="460">
      <c r="A460" s="326"/>
      <c r="B460" s="326"/>
      <c r="C460" s="326"/>
      <c r="D460" s="326"/>
      <c r="E460" s="326"/>
      <c r="F460" s="326"/>
      <c r="G460" s="326"/>
      <c r="H460" s="326"/>
      <c r="I460" s="326"/>
      <c r="J460" s="326"/>
      <c r="K460" s="326"/>
      <c r="L460" s="326"/>
      <c r="M460" s="326"/>
      <c r="N460" s="326"/>
      <c r="O460" s="326"/>
      <c r="P460" s="326"/>
      <c r="Q460" s="326"/>
      <c r="R460" s="326"/>
      <c r="S460" s="326"/>
      <c r="T460" s="326"/>
      <c r="U460" s="326"/>
      <c r="V460" s="326"/>
      <c r="W460" s="326"/>
      <c r="X460" s="326"/>
      <c r="Y460" s="326"/>
      <c r="Z460" s="326"/>
      <c r="AA460" s="326"/>
      <c r="AB460" s="326"/>
      <c r="AC460" s="326"/>
      <c r="AD460" s="326"/>
    </row>
    <row r="461">
      <c r="A461" s="326"/>
      <c r="B461" s="326"/>
      <c r="C461" s="326"/>
      <c r="D461" s="326"/>
      <c r="E461" s="326"/>
      <c r="F461" s="326"/>
      <c r="G461" s="326"/>
      <c r="H461" s="326"/>
      <c r="I461" s="326"/>
      <c r="J461" s="326"/>
      <c r="K461" s="326"/>
      <c r="L461" s="326"/>
      <c r="M461" s="326"/>
      <c r="N461" s="326"/>
      <c r="O461" s="326"/>
      <c r="P461" s="326"/>
      <c r="Q461" s="326"/>
      <c r="R461" s="326"/>
      <c r="S461" s="326"/>
      <c r="T461" s="326"/>
      <c r="U461" s="326"/>
      <c r="V461" s="326"/>
      <c r="W461" s="326"/>
      <c r="X461" s="326"/>
      <c r="Y461" s="326"/>
      <c r="Z461" s="326"/>
      <c r="AA461" s="326"/>
      <c r="AB461" s="326"/>
      <c r="AC461" s="326"/>
      <c r="AD461" s="326"/>
    </row>
    <row r="462">
      <c r="A462" s="326"/>
      <c r="B462" s="326"/>
      <c r="C462" s="326"/>
      <c r="D462" s="326"/>
      <c r="E462" s="326"/>
      <c r="F462" s="326"/>
      <c r="G462" s="326"/>
      <c r="H462" s="326"/>
      <c r="I462" s="326"/>
      <c r="J462" s="326"/>
      <c r="K462" s="326"/>
      <c r="L462" s="326"/>
      <c r="M462" s="326"/>
      <c r="N462" s="326"/>
      <c r="O462" s="326"/>
      <c r="P462" s="326"/>
      <c r="Q462" s="326"/>
      <c r="R462" s="326"/>
      <c r="S462" s="326"/>
      <c r="T462" s="326"/>
      <c r="U462" s="326"/>
      <c r="V462" s="326"/>
      <c r="W462" s="326"/>
      <c r="X462" s="326"/>
      <c r="Y462" s="326"/>
      <c r="Z462" s="326"/>
      <c r="AA462" s="326"/>
      <c r="AB462" s="326"/>
      <c r="AC462" s="326"/>
      <c r="AD462" s="326"/>
    </row>
    <row r="463">
      <c r="A463" s="326"/>
      <c r="B463" s="326"/>
      <c r="C463" s="326"/>
      <c r="D463" s="326"/>
      <c r="E463" s="326"/>
      <c r="F463" s="326"/>
      <c r="G463" s="326"/>
      <c r="H463" s="326"/>
      <c r="I463" s="326"/>
      <c r="J463" s="326"/>
      <c r="K463" s="326"/>
      <c r="L463" s="326"/>
      <c r="M463" s="326"/>
      <c r="N463" s="326"/>
      <c r="O463" s="326"/>
      <c r="P463" s="326"/>
      <c r="Q463" s="326"/>
      <c r="R463" s="326"/>
      <c r="S463" s="326"/>
      <c r="T463" s="326"/>
      <c r="U463" s="326"/>
      <c r="V463" s="326"/>
      <c r="W463" s="326"/>
      <c r="X463" s="326"/>
      <c r="Y463" s="326"/>
      <c r="Z463" s="326"/>
      <c r="AA463" s="326"/>
      <c r="AB463" s="326"/>
      <c r="AC463" s="326"/>
      <c r="AD463" s="326"/>
    </row>
    <row r="464">
      <c r="A464" s="326"/>
      <c r="B464" s="326"/>
      <c r="C464" s="326"/>
      <c r="D464" s="326"/>
      <c r="E464" s="326"/>
      <c r="F464" s="326"/>
      <c r="G464" s="326"/>
      <c r="H464" s="326"/>
      <c r="I464" s="326"/>
      <c r="J464" s="326"/>
      <c r="K464" s="326"/>
      <c r="L464" s="326"/>
      <c r="M464" s="326"/>
      <c r="N464" s="326"/>
      <c r="O464" s="326"/>
      <c r="P464" s="326"/>
      <c r="Q464" s="326"/>
      <c r="R464" s="326"/>
      <c r="S464" s="326"/>
      <c r="T464" s="326"/>
      <c r="U464" s="326"/>
      <c r="V464" s="326"/>
      <c r="W464" s="326"/>
      <c r="X464" s="326"/>
      <c r="Y464" s="326"/>
      <c r="Z464" s="326"/>
      <c r="AA464" s="326"/>
      <c r="AB464" s="326"/>
      <c r="AC464" s="326"/>
      <c r="AD464" s="326"/>
    </row>
    <row r="465">
      <c r="A465" s="326"/>
      <c r="B465" s="326"/>
      <c r="C465" s="326"/>
      <c r="D465" s="326"/>
      <c r="E465" s="326"/>
      <c r="F465" s="326"/>
      <c r="G465" s="326"/>
      <c r="H465" s="326"/>
      <c r="I465" s="326"/>
      <c r="J465" s="326"/>
      <c r="K465" s="326"/>
      <c r="L465" s="326"/>
      <c r="M465" s="326"/>
      <c r="N465" s="326"/>
      <c r="O465" s="326"/>
      <c r="P465" s="326"/>
      <c r="Q465" s="326"/>
      <c r="R465" s="326"/>
      <c r="S465" s="326"/>
      <c r="T465" s="326"/>
      <c r="U465" s="326"/>
      <c r="V465" s="326"/>
      <c r="W465" s="326"/>
      <c r="X465" s="326"/>
      <c r="Y465" s="326"/>
      <c r="Z465" s="326"/>
      <c r="AA465" s="326"/>
      <c r="AB465" s="326"/>
      <c r="AC465" s="326"/>
      <c r="AD465" s="326"/>
    </row>
    <row r="466">
      <c r="A466" s="326"/>
      <c r="B466" s="326"/>
      <c r="C466" s="326"/>
      <c r="D466" s="326"/>
      <c r="E466" s="326"/>
      <c r="F466" s="326"/>
      <c r="G466" s="326"/>
      <c r="H466" s="326"/>
      <c r="I466" s="326"/>
      <c r="J466" s="326"/>
      <c r="K466" s="326"/>
      <c r="L466" s="326"/>
      <c r="M466" s="326"/>
      <c r="N466" s="326"/>
      <c r="O466" s="326"/>
      <c r="P466" s="326"/>
      <c r="Q466" s="326"/>
      <c r="R466" s="326"/>
      <c r="S466" s="326"/>
      <c r="T466" s="326"/>
      <c r="U466" s="326"/>
      <c r="V466" s="326"/>
      <c r="W466" s="326"/>
      <c r="X466" s="326"/>
      <c r="Y466" s="326"/>
      <c r="Z466" s="326"/>
      <c r="AA466" s="326"/>
      <c r="AB466" s="326"/>
      <c r="AC466" s="326"/>
      <c r="AD466" s="326"/>
    </row>
    <row r="467">
      <c r="A467" s="326"/>
      <c r="B467" s="326"/>
      <c r="C467" s="326"/>
      <c r="D467" s="326"/>
      <c r="E467" s="326"/>
      <c r="F467" s="326"/>
      <c r="G467" s="326"/>
      <c r="H467" s="326"/>
      <c r="I467" s="326"/>
      <c r="J467" s="326"/>
      <c r="K467" s="326"/>
      <c r="L467" s="326"/>
      <c r="M467" s="326"/>
      <c r="N467" s="326"/>
      <c r="O467" s="326"/>
      <c r="P467" s="326"/>
      <c r="Q467" s="326"/>
      <c r="R467" s="326"/>
      <c r="S467" s="326"/>
      <c r="T467" s="326"/>
      <c r="U467" s="326"/>
      <c r="V467" s="326"/>
      <c r="W467" s="326"/>
      <c r="X467" s="326"/>
      <c r="Y467" s="326"/>
      <c r="Z467" s="326"/>
      <c r="AA467" s="326"/>
      <c r="AB467" s="326"/>
      <c r="AC467" s="326"/>
      <c r="AD467" s="326"/>
    </row>
    <row r="468">
      <c r="A468" s="326"/>
      <c r="B468" s="326"/>
      <c r="C468" s="326"/>
      <c r="D468" s="326"/>
      <c r="E468" s="326"/>
      <c r="F468" s="326"/>
      <c r="G468" s="326"/>
      <c r="H468" s="326"/>
      <c r="I468" s="326"/>
      <c r="J468" s="326"/>
      <c r="K468" s="326"/>
      <c r="L468" s="326"/>
      <c r="M468" s="326"/>
      <c r="N468" s="326"/>
      <c r="O468" s="326"/>
      <c r="P468" s="326"/>
      <c r="Q468" s="326"/>
      <c r="R468" s="326"/>
      <c r="S468" s="326"/>
      <c r="T468" s="326"/>
      <c r="U468" s="326"/>
      <c r="V468" s="326"/>
      <c r="W468" s="326"/>
      <c r="X468" s="326"/>
      <c r="Y468" s="326"/>
      <c r="Z468" s="326"/>
      <c r="AA468" s="326"/>
      <c r="AB468" s="326"/>
      <c r="AC468" s="326"/>
      <c r="AD468" s="326"/>
    </row>
    <row r="469">
      <c r="A469" s="326"/>
      <c r="B469" s="326"/>
      <c r="C469" s="326"/>
      <c r="D469" s="326"/>
      <c r="E469" s="326"/>
      <c r="F469" s="326"/>
      <c r="G469" s="326"/>
      <c r="H469" s="326"/>
      <c r="I469" s="326"/>
      <c r="J469" s="326"/>
      <c r="K469" s="326"/>
      <c r="L469" s="326"/>
      <c r="M469" s="326"/>
      <c r="N469" s="326"/>
      <c r="O469" s="326"/>
      <c r="P469" s="326"/>
      <c r="Q469" s="326"/>
      <c r="R469" s="326"/>
      <c r="S469" s="326"/>
      <c r="T469" s="326"/>
      <c r="U469" s="326"/>
      <c r="V469" s="326"/>
      <c r="W469" s="326"/>
      <c r="X469" s="326"/>
      <c r="Y469" s="326"/>
      <c r="Z469" s="326"/>
      <c r="AA469" s="326"/>
      <c r="AB469" s="326"/>
      <c r="AC469" s="326"/>
      <c r="AD469" s="326"/>
    </row>
    <row r="470">
      <c r="A470" s="326"/>
      <c r="B470" s="326"/>
      <c r="C470" s="326"/>
      <c r="D470" s="326"/>
      <c r="E470" s="326"/>
      <c r="F470" s="326"/>
      <c r="G470" s="326"/>
      <c r="H470" s="326"/>
      <c r="I470" s="326"/>
      <c r="J470" s="326"/>
      <c r="K470" s="326"/>
      <c r="L470" s="326"/>
      <c r="M470" s="326"/>
      <c r="N470" s="326"/>
      <c r="O470" s="326"/>
      <c r="P470" s="326"/>
      <c r="Q470" s="326"/>
      <c r="R470" s="326"/>
      <c r="S470" s="326"/>
      <c r="T470" s="326"/>
      <c r="U470" s="326"/>
      <c r="V470" s="326"/>
      <c r="W470" s="326"/>
      <c r="X470" s="326"/>
      <c r="Y470" s="326"/>
      <c r="Z470" s="326"/>
      <c r="AA470" s="326"/>
      <c r="AB470" s="326"/>
      <c r="AC470" s="326"/>
      <c r="AD470" s="326"/>
    </row>
    <row r="471">
      <c r="A471" s="326"/>
      <c r="B471" s="326"/>
      <c r="C471" s="326"/>
      <c r="D471" s="326"/>
      <c r="E471" s="326"/>
      <c r="F471" s="326"/>
      <c r="G471" s="326"/>
      <c r="H471" s="326"/>
      <c r="I471" s="326"/>
      <c r="J471" s="326"/>
      <c r="K471" s="326"/>
      <c r="L471" s="326"/>
      <c r="M471" s="326"/>
      <c r="N471" s="326"/>
      <c r="O471" s="326"/>
      <c r="P471" s="326"/>
      <c r="Q471" s="326"/>
      <c r="R471" s="326"/>
      <c r="S471" s="326"/>
      <c r="T471" s="326"/>
      <c r="U471" s="326"/>
      <c r="V471" s="326"/>
      <c r="W471" s="326"/>
      <c r="X471" s="326"/>
      <c r="Y471" s="326"/>
      <c r="Z471" s="326"/>
      <c r="AA471" s="326"/>
      <c r="AB471" s="326"/>
      <c r="AC471" s="326"/>
      <c r="AD471" s="326"/>
    </row>
    <row r="472">
      <c r="A472" s="326"/>
      <c r="B472" s="326"/>
      <c r="C472" s="326"/>
      <c r="D472" s="326"/>
      <c r="E472" s="326"/>
      <c r="F472" s="326"/>
      <c r="G472" s="326"/>
      <c r="H472" s="326"/>
      <c r="I472" s="326"/>
      <c r="J472" s="326"/>
      <c r="K472" s="326"/>
      <c r="L472" s="326"/>
      <c r="M472" s="326"/>
      <c r="N472" s="326"/>
      <c r="O472" s="326"/>
      <c r="P472" s="326"/>
      <c r="Q472" s="326"/>
      <c r="R472" s="326"/>
      <c r="S472" s="326"/>
      <c r="T472" s="326"/>
      <c r="U472" s="326"/>
      <c r="V472" s="326"/>
      <c r="W472" s="326"/>
      <c r="X472" s="326"/>
      <c r="Y472" s="326"/>
      <c r="Z472" s="326"/>
      <c r="AA472" s="326"/>
      <c r="AB472" s="326"/>
      <c r="AC472" s="326"/>
      <c r="AD472" s="326"/>
    </row>
    <row r="473">
      <c r="A473" s="326"/>
      <c r="B473" s="326"/>
      <c r="C473" s="326"/>
      <c r="D473" s="326"/>
      <c r="E473" s="326"/>
      <c r="F473" s="326"/>
      <c r="G473" s="326"/>
      <c r="H473" s="326"/>
      <c r="I473" s="326"/>
      <c r="J473" s="326"/>
      <c r="K473" s="326"/>
      <c r="L473" s="326"/>
      <c r="M473" s="326"/>
      <c r="N473" s="326"/>
      <c r="O473" s="326"/>
      <c r="P473" s="326"/>
      <c r="Q473" s="326"/>
      <c r="R473" s="326"/>
      <c r="S473" s="326"/>
      <c r="T473" s="326"/>
      <c r="U473" s="326"/>
      <c r="V473" s="326"/>
      <c r="W473" s="326"/>
      <c r="X473" s="326"/>
      <c r="Y473" s="326"/>
      <c r="Z473" s="326"/>
      <c r="AA473" s="326"/>
      <c r="AB473" s="326"/>
      <c r="AC473" s="326"/>
      <c r="AD473" s="326"/>
    </row>
    <row r="474">
      <c r="A474" s="326"/>
      <c r="B474" s="326"/>
      <c r="C474" s="326"/>
      <c r="D474" s="326"/>
      <c r="E474" s="326"/>
      <c r="F474" s="326"/>
      <c r="G474" s="326"/>
      <c r="H474" s="326"/>
      <c r="I474" s="326"/>
      <c r="J474" s="326"/>
      <c r="K474" s="326"/>
      <c r="L474" s="326"/>
      <c r="M474" s="326"/>
      <c r="N474" s="326"/>
      <c r="O474" s="326"/>
      <c r="P474" s="326"/>
      <c r="Q474" s="326"/>
      <c r="R474" s="326"/>
      <c r="S474" s="326"/>
      <c r="T474" s="326"/>
      <c r="U474" s="326"/>
      <c r="V474" s="326"/>
      <c r="W474" s="326"/>
      <c r="X474" s="326"/>
      <c r="Y474" s="326"/>
      <c r="Z474" s="326"/>
      <c r="AA474" s="326"/>
      <c r="AB474" s="326"/>
      <c r="AC474" s="326"/>
      <c r="AD474" s="326"/>
    </row>
    <row r="475">
      <c r="A475" s="326"/>
      <c r="B475" s="326"/>
      <c r="C475" s="326"/>
      <c r="D475" s="326"/>
      <c r="E475" s="326"/>
      <c r="F475" s="326"/>
      <c r="G475" s="326"/>
      <c r="H475" s="326"/>
      <c r="I475" s="326"/>
      <c r="J475" s="326"/>
      <c r="K475" s="326"/>
      <c r="L475" s="326"/>
      <c r="M475" s="326"/>
      <c r="N475" s="326"/>
      <c r="O475" s="326"/>
      <c r="P475" s="326"/>
      <c r="Q475" s="326"/>
      <c r="R475" s="326"/>
      <c r="S475" s="326"/>
      <c r="T475" s="326"/>
      <c r="U475" s="326"/>
      <c r="V475" s="326"/>
      <c r="W475" s="326"/>
      <c r="X475" s="326"/>
      <c r="Y475" s="326"/>
      <c r="Z475" s="326"/>
      <c r="AA475" s="326"/>
      <c r="AB475" s="326"/>
      <c r="AC475" s="326"/>
      <c r="AD475" s="326"/>
    </row>
    <row r="476">
      <c r="A476" s="326"/>
      <c r="B476" s="326"/>
      <c r="C476" s="326"/>
      <c r="D476" s="326"/>
      <c r="E476" s="326"/>
      <c r="F476" s="326"/>
      <c r="G476" s="326"/>
      <c r="H476" s="326"/>
      <c r="I476" s="326"/>
      <c r="J476" s="326"/>
      <c r="K476" s="326"/>
      <c r="L476" s="326"/>
      <c r="M476" s="326"/>
      <c r="N476" s="326"/>
      <c r="O476" s="326"/>
      <c r="P476" s="326"/>
      <c r="Q476" s="326"/>
      <c r="R476" s="326"/>
      <c r="S476" s="326"/>
      <c r="T476" s="326"/>
      <c r="U476" s="326"/>
      <c r="V476" s="326"/>
      <c r="W476" s="326"/>
      <c r="X476" s="326"/>
      <c r="Y476" s="326"/>
      <c r="Z476" s="326"/>
      <c r="AA476" s="326"/>
      <c r="AB476" s="326"/>
      <c r="AC476" s="326"/>
      <c r="AD476" s="326"/>
    </row>
    <row r="477">
      <c r="A477" s="326"/>
      <c r="B477" s="326"/>
      <c r="C477" s="326"/>
      <c r="D477" s="326"/>
      <c r="E477" s="326"/>
      <c r="F477" s="326"/>
      <c r="G477" s="326"/>
      <c r="H477" s="326"/>
      <c r="I477" s="326"/>
      <c r="J477" s="326"/>
      <c r="K477" s="326"/>
      <c r="L477" s="326"/>
      <c r="M477" s="326"/>
      <c r="N477" s="326"/>
      <c r="O477" s="326"/>
      <c r="P477" s="326"/>
      <c r="Q477" s="326"/>
      <c r="R477" s="326"/>
      <c r="S477" s="326"/>
      <c r="T477" s="326"/>
      <c r="U477" s="326"/>
      <c r="V477" s="326"/>
      <c r="W477" s="326"/>
      <c r="X477" s="326"/>
      <c r="Y477" s="326"/>
      <c r="Z477" s="326"/>
      <c r="AA477" s="326"/>
      <c r="AB477" s="326"/>
      <c r="AC477" s="326"/>
      <c r="AD477" s="326"/>
    </row>
    <row r="478">
      <c r="A478" s="326"/>
      <c r="B478" s="326"/>
      <c r="C478" s="326"/>
      <c r="D478" s="326"/>
      <c r="E478" s="326"/>
      <c r="F478" s="326"/>
      <c r="G478" s="326"/>
      <c r="H478" s="326"/>
      <c r="I478" s="326"/>
      <c r="J478" s="326"/>
      <c r="K478" s="326"/>
      <c r="L478" s="326"/>
      <c r="M478" s="326"/>
      <c r="N478" s="326"/>
      <c r="O478" s="326"/>
      <c r="P478" s="326"/>
      <c r="Q478" s="326"/>
      <c r="R478" s="326"/>
      <c r="S478" s="326"/>
      <c r="T478" s="326"/>
      <c r="U478" s="326"/>
      <c r="V478" s="326"/>
      <c r="W478" s="326"/>
      <c r="X478" s="326"/>
      <c r="Y478" s="326"/>
      <c r="Z478" s="326"/>
      <c r="AA478" s="326"/>
      <c r="AB478" s="326"/>
      <c r="AC478" s="326"/>
      <c r="AD478" s="326"/>
    </row>
    <row r="479">
      <c r="A479" s="326"/>
      <c r="B479" s="326"/>
      <c r="C479" s="326"/>
      <c r="D479" s="326"/>
      <c r="E479" s="326"/>
      <c r="F479" s="326"/>
      <c r="G479" s="326"/>
      <c r="H479" s="326"/>
      <c r="I479" s="326"/>
      <c r="J479" s="326"/>
      <c r="K479" s="326"/>
      <c r="L479" s="326"/>
      <c r="M479" s="326"/>
      <c r="N479" s="326"/>
      <c r="O479" s="326"/>
      <c r="P479" s="326"/>
      <c r="Q479" s="326"/>
      <c r="R479" s="326"/>
      <c r="S479" s="326"/>
      <c r="T479" s="326"/>
      <c r="U479" s="326"/>
      <c r="V479" s="326"/>
      <c r="W479" s="326"/>
      <c r="X479" s="326"/>
      <c r="Y479" s="326"/>
      <c r="Z479" s="326"/>
      <c r="AA479" s="326"/>
      <c r="AB479" s="326"/>
      <c r="AC479" s="326"/>
      <c r="AD479" s="326"/>
    </row>
    <row r="480">
      <c r="A480" s="326"/>
      <c r="B480" s="326"/>
      <c r="C480" s="326"/>
      <c r="D480" s="326"/>
      <c r="E480" s="326"/>
      <c r="F480" s="326"/>
      <c r="G480" s="326"/>
      <c r="H480" s="326"/>
      <c r="I480" s="326"/>
      <c r="J480" s="326"/>
      <c r="K480" s="326"/>
      <c r="L480" s="326"/>
      <c r="M480" s="326"/>
      <c r="N480" s="326"/>
      <c r="O480" s="326"/>
      <c r="P480" s="326"/>
      <c r="Q480" s="326"/>
      <c r="R480" s="326"/>
      <c r="S480" s="326"/>
      <c r="T480" s="326"/>
      <c r="U480" s="326"/>
      <c r="V480" s="326"/>
      <c r="W480" s="326"/>
      <c r="X480" s="326"/>
      <c r="Y480" s="326"/>
      <c r="Z480" s="326"/>
      <c r="AA480" s="326"/>
      <c r="AB480" s="326"/>
      <c r="AC480" s="326"/>
      <c r="AD480" s="326"/>
    </row>
    <row r="481">
      <c r="A481" s="326"/>
      <c r="B481" s="326"/>
      <c r="C481" s="326"/>
      <c r="D481" s="326"/>
      <c r="E481" s="326"/>
      <c r="F481" s="326"/>
      <c r="G481" s="326"/>
      <c r="H481" s="326"/>
      <c r="I481" s="326"/>
      <c r="J481" s="326"/>
      <c r="K481" s="326"/>
      <c r="L481" s="326"/>
      <c r="M481" s="326"/>
      <c r="N481" s="326"/>
      <c r="O481" s="326"/>
      <c r="P481" s="326"/>
      <c r="Q481" s="326"/>
      <c r="R481" s="326"/>
      <c r="S481" s="326"/>
      <c r="T481" s="326"/>
      <c r="U481" s="326"/>
      <c r="V481" s="326"/>
      <c r="W481" s="326"/>
      <c r="X481" s="326"/>
      <c r="Y481" s="326"/>
      <c r="Z481" s="326"/>
      <c r="AA481" s="326"/>
      <c r="AB481" s="326"/>
      <c r="AC481" s="326"/>
      <c r="AD481" s="326"/>
    </row>
    <row r="482">
      <c r="A482" s="326"/>
      <c r="B482" s="326"/>
      <c r="C482" s="326"/>
      <c r="D482" s="326"/>
      <c r="E482" s="326"/>
      <c r="F482" s="326"/>
      <c r="G482" s="326"/>
      <c r="H482" s="326"/>
      <c r="I482" s="326"/>
      <c r="J482" s="326"/>
      <c r="K482" s="326"/>
      <c r="L482" s="326"/>
      <c r="M482" s="326"/>
      <c r="N482" s="326"/>
      <c r="O482" s="326"/>
      <c r="P482" s="326"/>
      <c r="Q482" s="326"/>
      <c r="R482" s="326"/>
      <c r="S482" s="326"/>
      <c r="T482" s="326"/>
      <c r="U482" s="326"/>
      <c r="V482" s="326"/>
      <c r="W482" s="326"/>
      <c r="X482" s="326"/>
      <c r="Y482" s="326"/>
      <c r="Z482" s="326"/>
      <c r="AA482" s="326"/>
      <c r="AB482" s="326"/>
      <c r="AC482" s="326"/>
      <c r="AD482" s="326"/>
    </row>
    <row r="483">
      <c r="A483" s="326"/>
      <c r="B483" s="326"/>
      <c r="C483" s="326"/>
      <c r="D483" s="326"/>
      <c r="E483" s="326"/>
      <c r="F483" s="326"/>
      <c r="G483" s="326"/>
      <c r="H483" s="326"/>
      <c r="I483" s="326"/>
      <c r="J483" s="326"/>
      <c r="K483" s="326"/>
      <c r="L483" s="326"/>
      <c r="M483" s="326"/>
      <c r="N483" s="326"/>
      <c r="O483" s="326"/>
      <c r="P483" s="326"/>
      <c r="Q483" s="326"/>
      <c r="R483" s="326"/>
      <c r="S483" s="326"/>
      <c r="T483" s="326"/>
      <c r="U483" s="326"/>
      <c r="V483" s="326"/>
      <c r="W483" s="326"/>
      <c r="X483" s="326"/>
      <c r="Y483" s="326"/>
      <c r="Z483" s="326"/>
      <c r="AA483" s="326"/>
      <c r="AB483" s="326"/>
      <c r="AC483" s="326"/>
      <c r="AD483" s="326"/>
    </row>
    <row r="484">
      <c r="A484" s="326"/>
      <c r="B484" s="326"/>
      <c r="C484" s="326"/>
      <c r="D484" s="326"/>
      <c r="E484" s="326"/>
      <c r="F484" s="326"/>
      <c r="G484" s="326"/>
      <c r="H484" s="326"/>
      <c r="I484" s="326"/>
      <c r="J484" s="326"/>
      <c r="K484" s="326"/>
      <c r="L484" s="326"/>
      <c r="M484" s="326"/>
      <c r="N484" s="326"/>
      <c r="O484" s="326"/>
      <c r="P484" s="326"/>
      <c r="Q484" s="326"/>
      <c r="R484" s="326"/>
      <c r="S484" s="326"/>
      <c r="T484" s="326"/>
      <c r="U484" s="326"/>
      <c r="V484" s="326"/>
      <c r="W484" s="326"/>
      <c r="X484" s="326"/>
      <c r="Y484" s="326"/>
      <c r="Z484" s="326"/>
      <c r="AA484" s="326"/>
      <c r="AB484" s="326"/>
      <c r="AC484" s="326"/>
      <c r="AD484" s="326"/>
    </row>
    <row r="485">
      <c r="A485" s="326"/>
      <c r="B485" s="326"/>
      <c r="C485" s="326"/>
      <c r="D485" s="326"/>
      <c r="E485" s="326"/>
      <c r="F485" s="326"/>
      <c r="G485" s="326"/>
      <c r="H485" s="326"/>
      <c r="I485" s="326"/>
      <c r="J485" s="326"/>
      <c r="K485" s="326"/>
      <c r="L485" s="326"/>
      <c r="M485" s="326"/>
      <c r="N485" s="326"/>
      <c r="O485" s="326"/>
      <c r="P485" s="326"/>
      <c r="Q485" s="326"/>
      <c r="R485" s="326"/>
      <c r="S485" s="326"/>
      <c r="T485" s="326"/>
      <c r="U485" s="326"/>
      <c r="V485" s="326"/>
      <c r="W485" s="326"/>
      <c r="X485" s="326"/>
      <c r="Y485" s="326"/>
      <c r="Z485" s="326"/>
      <c r="AA485" s="326"/>
      <c r="AB485" s="326"/>
      <c r="AC485" s="326"/>
      <c r="AD485" s="326"/>
    </row>
    <row r="486">
      <c r="A486" s="326"/>
      <c r="B486" s="326"/>
      <c r="C486" s="326"/>
      <c r="D486" s="326"/>
      <c r="E486" s="326"/>
      <c r="F486" s="326"/>
      <c r="G486" s="326"/>
      <c r="H486" s="326"/>
      <c r="I486" s="326"/>
      <c r="J486" s="326"/>
      <c r="K486" s="326"/>
      <c r="L486" s="326"/>
      <c r="M486" s="326"/>
      <c r="N486" s="326"/>
      <c r="O486" s="326"/>
      <c r="P486" s="326"/>
      <c r="Q486" s="326"/>
      <c r="R486" s="326"/>
      <c r="S486" s="326"/>
      <c r="T486" s="326"/>
      <c r="U486" s="326"/>
      <c r="V486" s="326"/>
      <c r="W486" s="326"/>
      <c r="X486" s="326"/>
      <c r="Y486" s="326"/>
      <c r="Z486" s="326"/>
      <c r="AA486" s="326"/>
      <c r="AB486" s="326"/>
      <c r="AC486" s="326"/>
      <c r="AD486" s="326"/>
    </row>
    <row r="487">
      <c r="A487" s="326"/>
      <c r="B487" s="326"/>
      <c r="C487" s="326"/>
      <c r="D487" s="326"/>
      <c r="E487" s="326"/>
      <c r="F487" s="326"/>
      <c r="G487" s="326"/>
      <c r="H487" s="326"/>
      <c r="I487" s="326"/>
      <c r="J487" s="326"/>
      <c r="K487" s="326"/>
      <c r="L487" s="326"/>
      <c r="M487" s="326"/>
      <c r="N487" s="326"/>
      <c r="O487" s="326"/>
      <c r="P487" s="326"/>
      <c r="Q487" s="326"/>
      <c r="R487" s="326"/>
      <c r="S487" s="326"/>
      <c r="T487" s="326"/>
      <c r="U487" s="326"/>
      <c r="V487" s="326"/>
      <c r="W487" s="326"/>
      <c r="X487" s="326"/>
      <c r="Y487" s="326"/>
      <c r="Z487" s="326"/>
      <c r="AA487" s="326"/>
      <c r="AB487" s="326"/>
      <c r="AC487" s="326"/>
      <c r="AD487" s="326"/>
    </row>
    <row r="488">
      <c r="A488" s="326"/>
      <c r="B488" s="326"/>
      <c r="C488" s="326"/>
      <c r="D488" s="326"/>
      <c r="E488" s="326"/>
      <c r="F488" s="326"/>
      <c r="G488" s="326"/>
      <c r="H488" s="326"/>
      <c r="I488" s="326"/>
      <c r="J488" s="326"/>
      <c r="K488" s="326"/>
      <c r="L488" s="326"/>
      <c r="M488" s="326"/>
      <c r="N488" s="326"/>
      <c r="O488" s="326"/>
      <c r="P488" s="326"/>
      <c r="Q488" s="326"/>
      <c r="R488" s="326"/>
      <c r="S488" s="326"/>
      <c r="T488" s="326"/>
      <c r="U488" s="326"/>
      <c r="V488" s="326"/>
      <c r="W488" s="326"/>
      <c r="X488" s="326"/>
      <c r="Y488" s="326"/>
      <c r="Z488" s="326"/>
      <c r="AA488" s="326"/>
      <c r="AB488" s="326"/>
      <c r="AC488" s="326"/>
      <c r="AD488" s="326"/>
    </row>
    <row r="489">
      <c r="A489" s="326"/>
      <c r="B489" s="326"/>
      <c r="C489" s="326"/>
      <c r="D489" s="326"/>
      <c r="E489" s="326"/>
      <c r="F489" s="326"/>
      <c r="G489" s="326"/>
      <c r="H489" s="326"/>
      <c r="I489" s="326"/>
      <c r="J489" s="326"/>
      <c r="K489" s="326"/>
      <c r="L489" s="326"/>
      <c r="M489" s="326"/>
      <c r="N489" s="326"/>
      <c r="O489" s="326"/>
      <c r="P489" s="326"/>
      <c r="Q489" s="326"/>
      <c r="R489" s="326"/>
      <c r="S489" s="326"/>
      <c r="T489" s="326"/>
      <c r="U489" s="326"/>
      <c r="V489" s="326"/>
      <c r="W489" s="326"/>
      <c r="X489" s="326"/>
      <c r="Y489" s="326"/>
      <c r="Z489" s="326"/>
      <c r="AA489" s="326"/>
      <c r="AB489" s="326"/>
      <c r="AC489" s="326"/>
      <c r="AD489" s="326"/>
    </row>
    <row r="490">
      <c r="A490" s="326"/>
      <c r="B490" s="326"/>
      <c r="C490" s="326"/>
      <c r="D490" s="326"/>
      <c r="E490" s="326"/>
      <c r="F490" s="326"/>
      <c r="G490" s="326"/>
      <c r="H490" s="326"/>
      <c r="I490" s="326"/>
      <c r="J490" s="326"/>
      <c r="K490" s="326"/>
      <c r="L490" s="326"/>
      <c r="M490" s="326"/>
      <c r="N490" s="326"/>
      <c r="O490" s="326"/>
      <c r="P490" s="326"/>
      <c r="Q490" s="326"/>
      <c r="R490" s="326"/>
      <c r="S490" s="326"/>
      <c r="T490" s="326"/>
      <c r="U490" s="326"/>
      <c r="V490" s="326"/>
      <c r="W490" s="326"/>
      <c r="X490" s="326"/>
      <c r="Y490" s="326"/>
      <c r="Z490" s="326"/>
      <c r="AA490" s="326"/>
      <c r="AB490" s="326"/>
      <c r="AC490" s="326"/>
      <c r="AD490" s="326"/>
    </row>
    <row r="491">
      <c r="A491" s="326"/>
      <c r="B491" s="326"/>
      <c r="C491" s="326"/>
      <c r="D491" s="326"/>
      <c r="E491" s="326"/>
      <c r="F491" s="326"/>
      <c r="G491" s="326"/>
      <c r="H491" s="326"/>
      <c r="I491" s="326"/>
      <c r="J491" s="326"/>
      <c r="K491" s="326"/>
      <c r="L491" s="326"/>
      <c r="M491" s="326"/>
      <c r="N491" s="326"/>
      <c r="O491" s="326"/>
      <c r="P491" s="326"/>
      <c r="Q491" s="326"/>
      <c r="R491" s="326"/>
      <c r="S491" s="326"/>
      <c r="T491" s="326"/>
      <c r="U491" s="326"/>
      <c r="V491" s="326"/>
      <c r="W491" s="326"/>
      <c r="X491" s="326"/>
      <c r="Y491" s="326"/>
      <c r="Z491" s="326"/>
      <c r="AA491" s="326"/>
      <c r="AB491" s="326"/>
      <c r="AC491" s="326"/>
      <c r="AD491" s="326"/>
    </row>
    <row r="492">
      <c r="A492" s="326"/>
      <c r="B492" s="326"/>
      <c r="C492" s="326"/>
      <c r="D492" s="326"/>
      <c r="E492" s="326"/>
      <c r="F492" s="326"/>
      <c r="G492" s="326"/>
      <c r="H492" s="326"/>
      <c r="I492" s="326"/>
      <c r="J492" s="326"/>
      <c r="K492" s="326"/>
      <c r="L492" s="326"/>
      <c r="M492" s="326"/>
      <c r="N492" s="326"/>
      <c r="O492" s="326"/>
      <c r="P492" s="326"/>
      <c r="Q492" s="326"/>
      <c r="R492" s="326"/>
      <c r="S492" s="326"/>
      <c r="T492" s="326"/>
      <c r="U492" s="326"/>
      <c r="V492" s="326"/>
      <c r="W492" s="326"/>
      <c r="X492" s="326"/>
      <c r="Y492" s="326"/>
      <c r="Z492" s="326"/>
      <c r="AA492" s="326"/>
      <c r="AB492" s="326"/>
      <c r="AC492" s="326"/>
      <c r="AD492" s="326"/>
    </row>
    <row r="493">
      <c r="A493" s="326"/>
      <c r="B493" s="326"/>
      <c r="C493" s="326"/>
      <c r="D493" s="326"/>
      <c r="E493" s="326"/>
      <c r="F493" s="326"/>
      <c r="G493" s="326"/>
      <c r="H493" s="326"/>
      <c r="I493" s="326"/>
      <c r="J493" s="326"/>
      <c r="K493" s="326"/>
      <c r="L493" s="326"/>
      <c r="M493" s="326"/>
      <c r="N493" s="326"/>
      <c r="O493" s="326"/>
      <c r="P493" s="326"/>
      <c r="Q493" s="326"/>
      <c r="R493" s="326"/>
      <c r="S493" s="326"/>
      <c r="T493" s="326"/>
      <c r="U493" s="326"/>
      <c r="V493" s="326"/>
      <c r="W493" s="326"/>
      <c r="X493" s="326"/>
      <c r="Y493" s="326"/>
      <c r="Z493" s="326"/>
      <c r="AA493" s="326"/>
      <c r="AB493" s="326"/>
      <c r="AC493" s="326"/>
      <c r="AD493" s="326"/>
    </row>
    <row r="494">
      <c r="A494" s="326"/>
      <c r="B494" s="326"/>
      <c r="C494" s="326"/>
      <c r="D494" s="326"/>
      <c r="E494" s="326"/>
      <c r="F494" s="326"/>
      <c r="G494" s="326"/>
      <c r="H494" s="326"/>
      <c r="I494" s="326"/>
      <c r="J494" s="326"/>
      <c r="K494" s="326"/>
      <c r="L494" s="326"/>
      <c r="M494" s="326"/>
      <c r="N494" s="326"/>
      <c r="O494" s="326"/>
      <c r="P494" s="326"/>
      <c r="Q494" s="326"/>
      <c r="R494" s="326"/>
      <c r="S494" s="326"/>
      <c r="T494" s="326"/>
      <c r="U494" s="326"/>
      <c r="V494" s="326"/>
      <c r="W494" s="326"/>
      <c r="X494" s="326"/>
      <c r="Y494" s="326"/>
      <c r="Z494" s="326"/>
      <c r="AA494" s="326"/>
      <c r="AB494" s="326"/>
      <c r="AC494" s="326"/>
      <c r="AD494" s="326"/>
    </row>
    <row r="495">
      <c r="A495" s="326"/>
      <c r="B495" s="326"/>
      <c r="C495" s="326"/>
      <c r="D495" s="326"/>
      <c r="E495" s="326"/>
      <c r="F495" s="326"/>
      <c r="G495" s="326"/>
      <c r="H495" s="326"/>
      <c r="I495" s="326"/>
      <c r="J495" s="326"/>
      <c r="K495" s="326"/>
      <c r="L495" s="326"/>
      <c r="M495" s="326"/>
      <c r="N495" s="326"/>
      <c r="O495" s="326"/>
      <c r="P495" s="326"/>
      <c r="Q495" s="326"/>
      <c r="R495" s="326"/>
      <c r="S495" s="326"/>
      <c r="T495" s="326"/>
      <c r="U495" s="326"/>
      <c r="V495" s="326"/>
      <c r="W495" s="326"/>
      <c r="X495" s="326"/>
      <c r="Y495" s="326"/>
      <c r="Z495" s="326"/>
      <c r="AA495" s="326"/>
      <c r="AB495" s="326"/>
      <c r="AC495" s="326"/>
      <c r="AD495" s="326"/>
    </row>
    <row r="496">
      <c r="A496" s="326"/>
      <c r="B496" s="326"/>
      <c r="C496" s="326"/>
      <c r="D496" s="326"/>
      <c r="E496" s="326"/>
      <c r="F496" s="326"/>
      <c r="G496" s="326"/>
      <c r="H496" s="326"/>
      <c r="I496" s="326"/>
      <c r="J496" s="326"/>
      <c r="K496" s="326"/>
      <c r="L496" s="326"/>
      <c r="M496" s="326"/>
      <c r="N496" s="326"/>
      <c r="O496" s="326"/>
      <c r="P496" s="326"/>
      <c r="Q496" s="326"/>
      <c r="R496" s="326"/>
      <c r="S496" s="326"/>
      <c r="T496" s="326"/>
      <c r="U496" s="326"/>
      <c r="V496" s="326"/>
      <c r="W496" s="326"/>
      <c r="X496" s="326"/>
      <c r="Y496" s="326"/>
      <c r="Z496" s="326"/>
      <c r="AA496" s="326"/>
      <c r="AB496" s="326"/>
      <c r="AC496" s="326"/>
      <c r="AD496" s="326"/>
    </row>
    <row r="497">
      <c r="A497" s="326"/>
      <c r="B497" s="326"/>
      <c r="C497" s="326"/>
      <c r="D497" s="326"/>
      <c r="E497" s="326"/>
      <c r="F497" s="326"/>
      <c r="G497" s="326"/>
      <c r="H497" s="326"/>
      <c r="I497" s="326"/>
      <c r="J497" s="326"/>
      <c r="K497" s="326"/>
      <c r="L497" s="326"/>
      <c r="M497" s="326"/>
      <c r="N497" s="326"/>
      <c r="O497" s="326"/>
      <c r="P497" s="326"/>
      <c r="Q497" s="326"/>
      <c r="R497" s="326"/>
      <c r="S497" s="326"/>
      <c r="T497" s="326"/>
      <c r="U497" s="326"/>
      <c r="V497" s="326"/>
      <c r="W497" s="326"/>
      <c r="X497" s="326"/>
      <c r="Y497" s="326"/>
      <c r="Z497" s="326"/>
      <c r="AA497" s="326"/>
      <c r="AB497" s="326"/>
      <c r="AC497" s="326"/>
      <c r="AD497" s="326"/>
    </row>
    <row r="498">
      <c r="A498" s="326"/>
      <c r="B498" s="326"/>
      <c r="C498" s="326"/>
      <c r="D498" s="326"/>
      <c r="E498" s="326"/>
      <c r="F498" s="326"/>
      <c r="G498" s="326"/>
      <c r="H498" s="326"/>
      <c r="I498" s="326"/>
      <c r="J498" s="326"/>
      <c r="K498" s="326"/>
      <c r="L498" s="326"/>
      <c r="M498" s="326"/>
      <c r="N498" s="326"/>
      <c r="O498" s="326"/>
      <c r="P498" s="326"/>
      <c r="Q498" s="326"/>
      <c r="R498" s="326"/>
      <c r="S498" s="326"/>
      <c r="T498" s="326"/>
      <c r="U498" s="326"/>
      <c r="V498" s="326"/>
      <c r="W498" s="326"/>
      <c r="X498" s="326"/>
      <c r="Y498" s="326"/>
      <c r="Z498" s="326"/>
      <c r="AA498" s="326"/>
      <c r="AB498" s="326"/>
      <c r="AC498" s="326"/>
      <c r="AD498" s="326"/>
    </row>
    <row r="499">
      <c r="A499" s="326"/>
      <c r="B499" s="326"/>
      <c r="C499" s="326"/>
      <c r="D499" s="326"/>
      <c r="E499" s="326"/>
      <c r="F499" s="326"/>
      <c r="G499" s="326"/>
      <c r="H499" s="326"/>
      <c r="I499" s="326"/>
      <c r="J499" s="326"/>
      <c r="K499" s="326"/>
      <c r="L499" s="326"/>
      <c r="M499" s="326"/>
      <c r="N499" s="326"/>
      <c r="O499" s="326"/>
      <c r="P499" s="326"/>
      <c r="Q499" s="326"/>
      <c r="R499" s="326"/>
      <c r="S499" s="326"/>
      <c r="T499" s="326"/>
      <c r="U499" s="326"/>
      <c r="V499" s="326"/>
      <c r="W499" s="326"/>
      <c r="X499" s="326"/>
      <c r="Y499" s="326"/>
      <c r="Z499" s="326"/>
      <c r="AA499" s="326"/>
      <c r="AB499" s="326"/>
      <c r="AC499" s="326"/>
      <c r="AD499" s="326"/>
    </row>
    <row r="500">
      <c r="A500" s="326"/>
      <c r="B500" s="326"/>
      <c r="C500" s="326"/>
      <c r="D500" s="326"/>
      <c r="E500" s="326"/>
      <c r="F500" s="326"/>
      <c r="G500" s="326"/>
      <c r="H500" s="326"/>
      <c r="I500" s="326"/>
      <c r="J500" s="326"/>
      <c r="K500" s="326"/>
      <c r="L500" s="326"/>
      <c r="M500" s="326"/>
      <c r="N500" s="326"/>
      <c r="O500" s="326"/>
      <c r="P500" s="326"/>
      <c r="Q500" s="326"/>
      <c r="R500" s="326"/>
      <c r="S500" s="326"/>
      <c r="T500" s="326"/>
      <c r="U500" s="326"/>
      <c r="V500" s="326"/>
      <c r="W500" s="326"/>
      <c r="X500" s="326"/>
      <c r="Y500" s="326"/>
      <c r="Z500" s="326"/>
      <c r="AA500" s="326"/>
      <c r="AB500" s="326"/>
      <c r="AC500" s="326"/>
      <c r="AD500" s="326"/>
    </row>
    <row r="501">
      <c r="A501" s="326"/>
      <c r="B501" s="326"/>
      <c r="C501" s="326"/>
      <c r="D501" s="326"/>
      <c r="E501" s="326"/>
      <c r="F501" s="326"/>
      <c r="G501" s="326"/>
      <c r="H501" s="326"/>
      <c r="I501" s="326"/>
      <c r="J501" s="326"/>
      <c r="K501" s="326"/>
      <c r="L501" s="326"/>
      <c r="M501" s="326"/>
      <c r="N501" s="326"/>
      <c r="O501" s="326"/>
      <c r="P501" s="326"/>
      <c r="Q501" s="326"/>
      <c r="R501" s="326"/>
      <c r="S501" s="326"/>
      <c r="T501" s="326"/>
      <c r="U501" s="326"/>
      <c r="V501" s="326"/>
      <c r="W501" s="326"/>
      <c r="X501" s="326"/>
      <c r="Y501" s="326"/>
      <c r="Z501" s="326"/>
      <c r="AA501" s="326"/>
      <c r="AB501" s="326"/>
      <c r="AC501" s="326"/>
      <c r="AD501" s="326"/>
    </row>
    <row r="502">
      <c r="A502" s="326"/>
      <c r="B502" s="326"/>
      <c r="C502" s="326"/>
      <c r="D502" s="326"/>
      <c r="E502" s="326"/>
      <c r="F502" s="326"/>
      <c r="G502" s="326"/>
      <c r="H502" s="326"/>
      <c r="I502" s="326"/>
      <c r="J502" s="326"/>
      <c r="K502" s="326"/>
      <c r="L502" s="326"/>
      <c r="M502" s="326"/>
      <c r="N502" s="326"/>
      <c r="O502" s="326"/>
      <c r="P502" s="326"/>
      <c r="Q502" s="326"/>
      <c r="R502" s="326"/>
      <c r="S502" s="326"/>
      <c r="T502" s="326"/>
      <c r="U502" s="326"/>
      <c r="V502" s="326"/>
      <c r="W502" s="326"/>
      <c r="X502" s="326"/>
      <c r="Y502" s="326"/>
      <c r="Z502" s="326"/>
      <c r="AA502" s="326"/>
      <c r="AB502" s="326"/>
      <c r="AC502" s="326"/>
      <c r="AD502" s="326"/>
    </row>
    <row r="503">
      <c r="A503" s="326"/>
      <c r="B503" s="326"/>
      <c r="C503" s="326"/>
      <c r="D503" s="326"/>
      <c r="E503" s="326"/>
      <c r="F503" s="326"/>
      <c r="G503" s="326"/>
      <c r="H503" s="326"/>
      <c r="I503" s="326"/>
      <c r="J503" s="326"/>
      <c r="K503" s="326"/>
      <c r="L503" s="326"/>
      <c r="M503" s="326"/>
      <c r="N503" s="326"/>
      <c r="O503" s="326"/>
      <c r="P503" s="326"/>
      <c r="Q503" s="326"/>
      <c r="R503" s="326"/>
      <c r="S503" s="326"/>
      <c r="T503" s="326"/>
      <c r="U503" s="326"/>
      <c r="V503" s="326"/>
      <c r="W503" s="326"/>
      <c r="X503" s="326"/>
      <c r="Y503" s="326"/>
      <c r="Z503" s="326"/>
      <c r="AA503" s="326"/>
      <c r="AB503" s="326"/>
      <c r="AC503" s="326"/>
      <c r="AD503" s="326"/>
    </row>
    <row r="504">
      <c r="A504" s="326"/>
      <c r="B504" s="326"/>
      <c r="C504" s="326"/>
      <c r="D504" s="326"/>
      <c r="E504" s="326"/>
      <c r="F504" s="326"/>
      <c r="G504" s="326"/>
      <c r="H504" s="326"/>
      <c r="I504" s="326"/>
      <c r="J504" s="326"/>
      <c r="K504" s="326"/>
      <c r="L504" s="326"/>
      <c r="M504" s="326"/>
      <c r="N504" s="326"/>
      <c r="O504" s="326"/>
      <c r="P504" s="326"/>
      <c r="Q504" s="326"/>
      <c r="R504" s="326"/>
      <c r="S504" s="326"/>
      <c r="T504" s="326"/>
      <c r="U504" s="326"/>
      <c r="V504" s="326"/>
      <c r="W504" s="326"/>
      <c r="X504" s="326"/>
      <c r="Y504" s="326"/>
      <c r="Z504" s="326"/>
      <c r="AA504" s="326"/>
      <c r="AB504" s="326"/>
      <c r="AC504" s="326"/>
      <c r="AD504" s="326"/>
    </row>
    <row r="505">
      <c r="A505" s="326"/>
      <c r="B505" s="326"/>
      <c r="C505" s="326"/>
      <c r="D505" s="326"/>
      <c r="E505" s="326"/>
      <c r="F505" s="326"/>
      <c r="G505" s="326"/>
      <c r="H505" s="326"/>
      <c r="I505" s="326"/>
      <c r="J505" s="326"/>
      <c r="K505" s="326"/>
      <c r="L505" s="326"/>
      <c r="M505" s="326"/>
      <c r="N505" s="326"/>
      <c r="O505" s="326"/>
      <c r="P505" s="326"/>
      <c r="Q505" s="326"/>
      <c r="R505" s="326"/>
      <c r="S505" s="326"/>
      <c r="T505" s="326"/>
      <c r="U505" s="326"/>
      <c r="V505" s="326"/>
      <c r="W505" s="326"/>
      <c r="X505" s="326"/>
      <c r="Y505" s="326"/>
      <c r="Z505" s="326"/>
      <c r="AA505" s="326"/>
      <c r="AB505" s="326"/>
      <c r="AC505" s="326"/>
      <c r="AD505" s="326"/>
    </row>
    <row r="506">
      <c r="A506" s="326"/>
      <c r="B506" s="326"/>
      <c r="C506" s="326"/>
      <c r="D506" s="326"/>
      <c r="E506" s="326"/>
      <c r="F506" s="326"/>
      <c r="G506" s="326"/>
      <c r="H506" s="326"/>
      <c r="I506" s="326"/>
      <c r="J506" s="326"/>
      <c r="K506" s="326"/>
      <c r="L506" s="326"/>
      <c r="M506" s="326"/>
      <c r="N506" s="326"/>
      <c r="O506" s="326"/>
      <c r="P506" s="326"/>
      <c r="Q506" s="326"/>
      <c r="R506" s="326"/>
      <c r="S506" s="326"/>
      <c r="T506" s="326"/>
      <c r="U506" s="326"/>
      <c r="V506" s="326"/>
      <c r="W506" s="326"/>
      <c r="X506" s="326"/>
      <c r="Y506" s="326"/>
      <c r="Z506" s="326"/>
      <c r="AA506" s="326"/>
      <c r="AB506" s="326"/>
      <c r="AC506" s="326"/>
      <c r="AD506" s="326"/>
    </row>
    <row r="507">
      <c r="A507" s="326"/>
      <c r="B507" s="326"/>
      <c r="C507" s="326"/>
      <c r="D507" s="326"/>
      <c r="E507" s="326"/>
      <c r="F507" s="326"/>
      <c r="G507" s="326"/>
      <c r="H507" s="326"/>
      <c r="I507" s="326"/>
      <c r="J507" s="326"/>
      <c r="K507" s="326"/>
      <c r="L507" s="326"/>
      <c r="M507" s="326"/>
      <c r="N507" s="326"/>
      <c r="O507" s="326"/>
      <c r="P507" s="326"/>
      <c r="Q507" s="326"/>
      <c r="R507" s="326"/>
      <c r="S507" s="326"/>
      <c r="T507" s="326"/>
      <c r="U507" s="326"/>
      <c r="V507" s="326"/>
      <c r="W507" s="326"/>
      <c r="X507" s="326"/>
      <c r="Y507" s="326"/>
      <c r="Z507" s="326"/>
      <c r="AA507" s="326"/>
      <c r="AB507" s="326"/>
      <c r="AC507" s="326"/>
      <c r="AD507" s="326"/>
    </row>
    <row r="508">
      <c r="A508" s="326"/>
      <c r="B508" s="326"/>
      <c r="C508" s="326"/>
      <c r="D508" s="326"/>
      <c r="E508" s="326"/>
      <c r="F508" s="326"/>
      <c r="G508" s="326"/>
      <c r="H508" s="326"/>
      <c r="I508" s="326"/>
      <c r="J508" s="326"/>
      <c r="K508" s="326"/>
      <c r="L508" s="326"/>
      <c r="M508" s="326"/>
      <c r="N508" s="326"/>
      <c r="O508" s="326"/>
      <c r="P508" s="326"/>
      <c r="Q508" s="326"/>
      <c r="R508" s="326"/>
      <c r="S508" s="326"/>
      <c r="T508" s="326"/>
      <c r="U508" s="326"/>
      <c r="V508" s="326"/>
      <c r="W508" s="326"/>
      <c r="X508" s="326"/>
      <c r="Y508" s="326"/>
      <c r="Z508" s="326"/>
      <c r="AA508" s="326"/>
      <c r="AB508" s="326"/>
      <c r="AC508" s="326"/>
      <c r="AD508" s="326"/>
    </row>
    <row r="509">
      <c r="A509" s="326"/>
      <c r="B509" s="326"/>
      <c r="C509" s="326"/>
      <c r="D509" s="326"/>
      <c r="E509" s="326"/>
      <c r="F509" s="326"/>
      <c r="G509" s="326"/>
      <c r="H509" s="326"/>
      <c r="I509" s="326"/>
      <c r="J509" s="326"/>
      <c r="K509" s="326"/>
      <c r="L509" s="326"/>
      <c r="M509" s="326"/>
      <c r="N509" s="326"/>
      <c r="O509" s="326"/>
      <c r="P509" s="326"/>
      <c r="Q509" s="326"/>
      <c r="R509" s="326"/>
      <c r="S509" s="326"/>
      <c r="T509" s="326"/>
      <c r="U509" s="326"/>
      <c r="V509" s="326"/>
      <c r="W509" s="326"/>
      <c r="X509" s="326"/>
      <c r="Y509" s="326"/>
      <c r="Z509" s="326"/>
      <c r="AA509" s="326"/>
      <c r="AB509" s="326"/>
      <c r="AC509" s="326"/>
      <c r="AD509" s="326"/>
    </row>
    <row r="510">
      <c r="A510" s="326"/>
      <c r="B510" s="326"/>
      <c r="C510" s="326"/>
      <c r="D510" s="326"/>
      <c r="E510" s="326"/>
      <c r="F510" s="326"/>
      <c r="G510" s="326"/>
      <c r="H510" s="326"/>
      <c r="I510" s="326"/>
      <c r="J510" s="326"/>
      <c r="K510" s="326"/>
      <c r="L510" s="326"/>
      <c r="M510" s="326"/>
      <c r="N510" s="326"/>
      <c r="O510" s="326"/>
      <c r="P510" s="326"/>
      <c r="Q510" s="326"/>
      <c r="R510" s="326"/>
      <c r="S510" s="326"/>
      <c r="T510" s="326"/>
      <c r="U510" s="326"/>
      <c r="V510" s="326"/>
      <c r="W510" s="326"/>
      <c r="X510" s="326"/>
      <c r="Y510" s="326"/>
      <c r="Z510" s="326"/>
      <c r="AA510" s="326"/>
      <c r="AB510" s="326"/>
      <c r="AC510" s="326"/>
      <c r="AD510" s="326"/>
    </row>
    <row r="511">
      <c r="A511" s="326"/>
      <c r="B511" s="326"/>
      <c r="C511" s="326"/>
      <c r="D511" s="326"/>
      <c r="E511" s="326"/>
      <c r="F511" s="326"/>
      <c r="G511" s="326"/>
      <c r="H511" s="326"/>
      <c r="I511" s="326"/>
      <c r="J511" s="326"/>
      <c r="K511" s="326"/>
      <c r="L511" s="326"/>
      <c r="M511" s="326"/>
      <c r="N511" s="326"/>
      <c r="O511" s="326"/>
      <c r="P511" s="326"/>
      <c r="Q511" s="326"/>
      <c r="R511" s="326"/>
      <c r="S511" s="326"/>
      <c r="T511" s="326"/>
      <c r="U511" s="326"/>
      <c r="V511" s="326"/>
      <c r="W511" s="326"/>
      <c r="X511" s="326"/>
      <c r="Y511" s="326"/>
      <c r="Z511" s="326"/>
      <c r="AA511" s="326"/>
      <c r="AB511" s="326"/>
      <c r="AC511" s="326"/>
      <c r="AD511" s="326"/>
    </row>
    <row r="512">
      <c r="A512" s="326"/>
      <c r="B512" s="326"/>
      <c r="C512" s="326"/>
      <c r="D512" s="326"/>
      <c r="E512" s="326"/>
      <c r="F512" s="326"/>
      <c r="G512" s="326"/>
      <c r="H512" s="326"/>
      <c r="I512" s="326"/>
      <c r="J512" s="326"/>
      <c r="K512" s="326"/>
      <c r="L512" s="326"/>
      <c r="M512" s="326"/>
      <c r="N512" s="326"/>
      <c r="O512" s="326"/>
      <c r="P512" s="326"/>
      <c r="Q512" s="326"/>
      <c r="R512" s="326"/>
      <c r="S512" s="326"/>
      <c r="T512" s="326"/>
      <c r="U512" s="326"/>
      <c r="V512" s="326"/>
      <c r="W512" s="326"/>
      <c r="X512" s="326"/>
      <c r="Y512" s="326"/>
      <c r="Z512" s="326"/>
      <c r="AA512" s="326"/>
      <c r="AB512" s="326"/>
      <c r="AC512" s="326"/>
      <c r="AD512" s="326"/>
    </row>
    <row r="513">
      <c r="A513" s="326"/>
      <c r="B513" s="326"/>
      <c r="C513" s="326"/>
      <c r="D513" s="326"/>
      <c r="E513" s="326"/>
      <c r="F513" s="326"/>
      <c r="G513" s="326"/>
      <c r="H513" s="326"/>
      <c r="I513" s="326"/>
      <c r="J513" s="326"/>
      <c r="K513" s="326"/>
      <c r="L513" s="326"/>
      <c r="M513" s="326"/>
      <c r="N513" s="326"/>
      <c r="O513" s="326"/>
      <c r="P513" s="326"/>
      <c r="Q513" s="326"/>
      <c r="R513" s="326"/>
      <c r="S513" s="326"/>
      <c r="T513" s="326"/>
      <c r="U513" s="326"/>
      <c r="V513" s="326"/>
      <c r="W513" s="326"/>
      <c r="X513" s="326"/>
      <c r="Y513" s="326"/>
      <c r="Z513" s="326"/>
      <c r="AA513" s="326"/>
      <c r="AB513" s="326"/>
      <c r="AC513" s="326"/>
      <c r="AD513" s="326"/>
    </row>
    <row r="514">
      <c r="A514" s="326"/>
      <c r="B514" s="326"/>
      <c r="C514" s="326"/>
      <c r="D514" s="326"/>
      <c r="E514" s="326"/>
      <c r="F514" s="326"/>
      <c r="G514" s="326"/>
      <c r="H514" s="326"/>
      <c r="I514" s="326"/>
      <c r="J514" s="326"/>
      <c r="K514" s="326"/>
      <c r="L514" s="326"/>
      <c r="M514" s="326"/>
      <c r="N514" s="326"/>
      <c r="O514" s="326"/>
      <c r="P514" s="326"/>
      <c r="Q514" s="326"/>
      <c r="R514" s="326"/>
      <c r="S514" s="326"/>
      <c r="T514" s="326"/>
      <c r="U514" s="326"/>
      <c r="V514" s="326"/>
      <c r="W514" s="326"/>
      <c r="X514" s="326"/>
      <c r="Y514" s="326"/>
      <c r="Z514" s="326"/>
      <c r="AA514" s="326"/>
      <c r="AB514" s="326"/>
      <c r="AC514" s="326"/>
      <c r="AD514" s="326"/>
    </row>
    <row r="515">
      <c r="A515" s="326"/>
      <c r="B515" s="326"/>
      <c r="C515" s="326"/>
      <c r="D515" s="326"/>
      <c r="E515" s="326"/>
      <c r="F515" s="326"/>
      <c r="G515" s="326"/>
      <c r="H515" s="326"/>
      <c r="I515" s="326"/>
      <c r="J515" s="326"/>
      <c r="K515" s="326"/>
      <c r="L515" s="326"/>
      <c r="M515" s="326"/>
      <c r="N515" s="326"/>
      <c r="O515" s="326"/>
      <c r="P515" s="326"/>
      <c r="Q515" s="326"/>
      <c r="R515" s="326"/>
      <c r="S515" s="326"/>
      <c r="T515" s="326"/>
      <c r="U515" s="326"/>
      <c r="V515" s="326"/>
      <c r="W515" s="326"/>
      <c r="X515" s="326"/>
      <c r="Y515" s="326"/>
      <c r="Z515" s="326"/>
      <c r="AA515" s="326"/>
      <c r="AB515" s="326"/>
      <c r="AC515" s="326"/>
      <c r="AD515" s="326"/>
    </row>
    <row r="516">
      <c r="A516" s="326"/>
      <c r="B516" s="326"/>
      <c r="C516" s="326"/>
      <c r="D516" s="326"/>
      <c r="E516" s="326"/>
      <c r="F516" s="326"/>
      <c r="G516" s="326"/>
      <c r="H516" s="326"/>
      <c r="I516" s="326"/>
      <c r="J516" s="326"/>
      <c r="K516" s="326"/>
      <c r="L516" s="326"/>
      <c r="M516" s="326"/>
      <c r="N516" s="326"/>
      <c r="O516" s="326"/>
      <c r="P516" s="326"/>
      <c r="Q516" s="326"/>
      <c r="R516" s="326"/>
      <c r="S516" s="326"/>
      <c r="T516" s="326"/>
      <c r="U516" s="326"/>
      <c r="V516" s="326"/>
      <c r="W516" s="326"/>
      <c r="X516" s="326"/>
      <c r="Y516" s="326"/>
      <c r="Z516" s="326"/>
      <c r="AA516" s="326"/>
      <c r="AB516" s="326"/>
      <c r="AC516" s="326"/>
      <c r="AD516" s="326"/>
    </row>
    <row r="517">
      <c r="A517" s="326"/>
      <c r="B517" s="326"/>
      <c r="C517" s="326"/>
      <c r="D517" s="326"/>
      <c r="E517" s="326"/>
      <c r="F517" s="326"/>
      <c r="G517" s="326"/>
      <c r="H517" s="326"/>
      <c r="I517" s="326"/>
      <c r="J517" s="326"/>
      <c r="K517" s="326"/>
      <c r="L517" s="326"/>
      <c r="M517" s="326"/>
      <c r="N517" s="326"/>
      <c r="O517" s="326"/>
      <c r="P517" s="326"/>
      <c r="Q517" s="326"/>
      <c r="R517" s="326"/>
      <c r="S517" s="326"/>
      <c r="T517" s="326"/>
      <c r="U517" s="326"/>
      <c r="V517" s="326"/>
      <c r="W517" s="326"/>
      <c r="X517" s="326"/>
      <c r="Y517" s="326"/>
      <c r="Z517" s="326"/>
      <c r="AA517" s="326"/>
      <c r="AB517" s="326"/>
      <c r="AC517" s="326"/>
      <c r="AD517" s="326"/>
    </row>
    <row r="518">
      <c r="A518" s="326"/>
      <c r="B518" s="326"/>
      <c r="C518" s="326"/>
      <c r="D518" s="326"/>
      <c r="E518" s="326"/>
      <c r="F518" s="326"/>
      <c r="G518" s="326"/>
      <c r="H518" s="326"/>
      <c r="I518" s="326"/>
      <c r="J518" s="326"/>
      <c r="K518" s="326"/>
      <c r="L518" s="326"/>
      <c r="M518" s="326"/>
      <c r="N518" s="326"/>
      <c r="O518" s="326"/>
      <c r="P518" s="326"/>
      <c r="Q518" s="326"/>
      <c r="R518" s="326"/>
      <c r="S518" s="326"/>
      <c r="T518" s="326"/>
      <c r="U518" s="326"/>
      <c r="V518" s="326"/>
      <c r="W518" s="326"/>
      <c r="X518" s="326"/>
      <c r="Y518" s="326"/>
      <c r="Z518" s="326"/>
      <c r="AA518" s="326"/>
      <c r="AB518" s="326"/>
      <c r="AC518" s="326"/>
      <c r="AD518" s="326"/>
    </row>
    <row r="519">
      <c r="A519" s="326"/>
      <c r="B519" s="326"/>
      <c r="C519" s="326"/>
      <c r="D519" s="326"/>
      <c r="E519" s="326"/>
      <c r="F519" s="326"/>
      <c r="G519" s="326"/>
      <c r="H519" s="326"/>
      <c r="I519" s="326"/>
      <c r="J519" s="326"/>
      <c r="K519" s="326"/>
      <c r="L519" s="326"/>
      <c r="M519" s="326"/>
      <c r="N519" s="326"/>
      <c r="O519" s="326"/>
      <c r="P519" s="326"/>
      <c r="Q519" s="326"/>
      <c r="R519" s="326"/>
      <c r="S519" s="326"/>
      <c r="T519" s="326"/>
      <c r="U519" s="326"/>
      <c r="V519" s="326"/>
      <c r="W519" s="326"/>
      <c r="X519" s="326"/>
      <c r="Y519" s="326"/>
      <c r="Z519" s="326"/>
      <c r="AA519" s="326"/>
      <c r="AB519" s="326"/>
      <c r="AC519" s="326"/>
      <c r="AD519" s="326"/>
    </row>
    <row r="520">
      <c r="A520" s="326"/>
      <c r="B520" s="326"/>
      <c r="C520" s="326"/>
      <c r="D520" s="326"/>
      <c r="E520" s="326"/>
      <c r="F520" s="326"/>
      <c r="G520" s="326"/>
      <c r="H520" s="326"/>
      <c r="I520" s="326"/>
      <c r="J520" s="326"/>
      <c r="K520" s="326"/>
      <c r="L520" s="326"/>
      <c r="M520" s="326"/>
      <c r="N520" s="326"/>
      <c r="O520" s="326"/>
      <c r="P520" s="326"/>
      <c r="Q520" s="326"/>
      <c r="R520" s="326"/>
      <c r="S520" s="326"/>
      <c r="T520" s="326"/>
      <c r="U520" s="326"/>
      <c r="V520" s="326"/>
      <c r="W520" s="326"/>
      <c r="X520" s="326"/>
      <c r="Y520" s="326"/>
      <c r="Z520" s="326"/>
      <c r="AA520" s="326"/>
      <c r="AB520" s="326"/>
      <c r="AC520" s="326"/>
      <c r="AD520" s="326"/>
    </row>
    <row r="521">
      <c r="A521" s="326"/>
      <c r="B521" s="326"/>
      <c r="C521" s="326"/>
      <c r="D521" s="326"/>
      <c r="E521" s="326"/>
      <c r="F521" s="326"/>
      <c r="G521" s="326"/>
      <c r="H521" s="326"/>
      <c r="I521" s="326"/>
      <c r="J521" s="326"/>
      <c r="K521" s="326"/>
      <c r="L521" s="326"/>
      <c r="M521" s="326"/>
      <c r="N521" s="326"/>
      <c r="O521" s="326"/>
      <c r="P521" s="326"/>
      <c r="Q521" s="326"/>
      <c r="R521" s="326"/>
      <c r="S521" s="326"/>
      <c r="T521" s="326"/>
      <c r="U521" s="326"/>
      <c r="V521" s="326"/>
      <c r="W521" s="326"/>
      <c r="X521" s="326"/>
      <c r="Y521" s="326"/>
      <c r="Z521" s="326"/>
      <c r="AA521" s="326"/>
      <c r="AB521" s="326"/>
      <c r="AC521" s="326"/>
      <c r="AD521" s="326"/>
    </row>
    <row r="522">
      <c r="A522" s="326"/>
      <c r="B522" s="326"/>
      <c r="C522" s="326"/>
      <c r="D522" s="326"/>
      <c r="E522" s="326"/>
      <c r="F522" s="326"/>
      <c r="G522" s="326"/>
      <c r="H522" s="326"/>
      <c r="I522" s="326"/>
      <c r="J522" s="326"/>
      <c r="K522" s="326"/>
      <c r="L522" s="326"/>
      <c r="M522" s="326"/>
      <c r="N522" s="326"/>
      <c r="O522" s="326"/>
      <c r="P522" s="326"/>
      <c r="Q522" s="326"/>
      <c r="R522" s="326"/>
      <c r="S522" s="326"/>
      <c r="T522" s="326"/>
      <c r="U522" s="326"/>
      <c r="V522" s="326"/>
      <c r="W522" s="326"/>
      <c r="X522" s="326"/>
      <c r="Y522" s="326"/>
      <c r="Z522" s="326"/>
      <c r="AA522" s="326"/>
      <c r="AB522" s="326"/>
      <c r="AC522" s="326"/>
      <c r="AD522" s="326"/>
    </row>
    <row r="523">
      <c r="A523" s="326"/>
      <c r="B523" s="326"/>
      <c r="C523" s="326"/>
      <c r="D523" s="326"/>
      <c r="E523" s="326"/>
      <c r="F523" s="326"/>
      <c r="G523" s="326"/>
      <c r="H523" s="326"/>
      <c r="I523" s="326"/>
      <c r="J523" s="326"/>
      <c r="K523" s="326"/>
      <c r="L523" s="326"/>
      <c r="M523" s="326"/>
      <c r="N523" s="326"/>
      <c r="O523" s="326"/>
      <c r="P523" s="326"/>
      <c r="Q523" s="326"/>
      <c r="R523" s="326"/>
      <c r="S523" s="326"/>
      <c r="T523" s="326"/>
      <c r="U523" s="326"/>
      <c r="V523" s="326"/>
      <c r="W523" s="326"/>
      <c r="X523" s="326"/>
      <c r="Y523" s="326"/>
      <c r="Z523" s="326"/>
      <c r="AA523" s="326"/>
      <c r="AB523" s="326"/>
      <c r="AC523" s="326"/>
      <c r="AD523" s="326"/>
    </row>
    <row r="524">
      <c r="A524" s="326"/>
      <c r="B524" s="326"/>
      <c r="C524" s="326"/>
      <c r="D524" s="326"/>
      <c r="E524" s="326"/>
      <c r="F524" s="326"/>
      <c r="G524" s="326"/>
      <c r="H524" s="326"/>
      <c r="I524" s="326"/>
      <c r="J524" s="326"/>
      <c r="K524" s="326"/>
      <c r="L524" s="326"/>
      <c r="M524" s="326"/>
      <c r="N524" s="326"/>
      <c r="O524" s="326"/>
      <c r="P524" s="326"/>
      <c r="Q524" s="326"/>
      <c r="R524" s="326"/>
      <c r="S524" s="326"/>
      <c r="T524" s="326"/>
      <c r="U524" s="326"/>
      <c r="V524" s="326"/>
      <c r="W524" s="326"/>
      <c r="X524" s="326"/>
      <c r="Y524" s="326"/>
      <c r="Z524" s="326"/>
      <c r="AA524" s="326"/>
      <c r="AB524" s="326"/>
      <c r="AC524" s="326"/>
      <c r="AD524" s="326"/>
    </row>
    <row r="525">
      <c r="A525" s="326"/>
      <c r="B525" s="326"/>
      <c r="C525" s="326"/>
      <c r="D525" s="326"/>
      <c r="E525" s="326"/>
      <c r="F525" s="326"/>
      <c r="G525" s="326"/>
      <c r="H525" s="326"/>
      <c r="I525" s="326"/>
      <c r="J525" s="326"/>
      <c r="K525" s="326"/>
      <c r="L525" s="326"/>
      <c r="M525" s="326"/>
      <c r="N525" s="326"/>
      <c r="O525" s="326"/>
      <c r="P525" s="326"/>
      <c r="Q525" s="326"/>
      <c r="R525" s="326"/>
      <c r="S525" s="326"/>
      <c r="T525" s="326"/>
      <c r="U525" s="326"/>
      <c r="V525" s="326"/>
      <c r="W525" s="326"/>
      <c r="X525" s="326"/>
      <c r="Y525" s="326"/>
      <c r="Z525" s="326"/>
      <c r="AA525" s="326"/>
      <c r="AB525" s="326"/>
      <c r="AC525" s="326"/>
      <c r="AD525" s="326"/>
    </row>
    <row r="526">
      <c r="A526" s="326"/>
      <c r="B526" s="326"/>
      <c r="C526" s="326"/>
      <c r="D526" s="326"/>
      <c r="E526" s="326"/>
      <c r="F526" s="326"/>
      <c r="G526" s="326"/>
      <c r="H526" s="326"/>
      <c r="I526" s="326"/>
      <c r="J526" s="326"/>
      <c r="K526" s="326"/>
      <c r="L526" s="326"/>
      <c r="M526" s="326"/>
      <c r="N526" s="326"/>
      <c r="O526" s="326"/>
      <c r="P526" s="326"/>
      <c r="Q526" s="326"/>
      <c r="R526" s="326"/>
      <c r="S526" s="326"/>
      <c r="T526" s="326"/>
      <c r="U526" s="326"/>
      <c r="V526" s="326"/>
      <c r="W526" s="326"/>
      <c r="X526" s="326"/>
      <c r="Y526" s="326"/>
      <c r="Z526" s="326"/>
      <c r="AA526" s="326"/>
      <c r="AB526" s="326"/>
      <c r="AC526" s="326"/>
      <c r="AD526" s="326"/>
    </row>
    <row r="527">
      <c r="A527" s="326"/>
      <c r="B527" s="326"/>
      <c r="C527" s="326"/>
      <c r="D527" s="326"/>
      <c r="E527" s="326"/>
      <c r="F527" s="326"/>
      <c r="G527" s="326"/>
      <c r="H527" s="326"/>
      <c r="I527" s="326"/>
      <c r="J527" s="326"/>
      <c r="K527" s="326"/>
      <c r="L527" s="326"/>
      <c r="M527" s="326"/>
      <c r="N527" s="326"/>
      <c r="O527" s="326"/>
      <c r="P527" s="326"/>
      <c r="Q527" s="326"/>
      <c r="R527" s="326"/>
      <c r="S527" s="326"/>
      <c r="T527" s="326"/>
      <c r="U527" s="326"/>
      <c r="V527" s="326"/>
      <c r="W527" s="326"/>
      <c r="X527" s="326"/>
      <c r="Y527" s="326"/>
      <c r="Z527" s="326"/>
      <c r="AA527" s="326"/>
      <c r="AB527" s="326"/>
      <c r="AC527" s="326"/>
      <c r="AD527" s="326"/>
    </row>
    <row r="528">
      <c r="A528" s="326"/>
      <c r="B528" s="326"/>
      <c r="C528" s="326"/>
      <c r="D528" s="326"/>
      <c r="E528" s="326"/>
      <c r="F528" s="326"/>
      <c r="G528" s="326"/>
      <c r="H528" s="326"/>
      <c r="I528" s="326"/>
      <c r="J528" s="326"/>
      <c r="K528" s="326"/>
      <c r="L528" s="326"/>
      <c r="M528" s="326"/>
      <c r="N528" s="326"/>
      <c r="O528" s="326"/>
      <c r="P528" s="326"/>
      <c r="Q528" s="326"/>
      <c r="R528" s="326"/>
      <c r="S528" s="326"/>
      <c r="T528" s="326"/>
      <c r="U528" s="326"/>
      <c r="V528" s="326"/>
      <c r="W528" s="326"/>
      <c r="X528" s="326"/>
      <c r="Y528" s="326"/>
      <c r="Z528" s="326"/>
      <c r="AA528" s="326"/>
      <c r="AB528" s="326"/>
      <c r="AC528" s="326"/>
      <c r="AD528" s="326"/>
    </row>
    <row r="529">
      <c r="A529" s="326"/>
      <c r="B529" s="326"/>
      <c r="C529" s="326"/>
      <c r="D529" s="326"/>
      <c r="E529" s="326"/>
      <c r="F529" s="326"/>
      <c r="G529" s="326"/>
      <c r="H529" s="326"/>
      <c r="I529" s="326"/>
      <c r="J529" s="326"/>
      <c r="K529" s="326"/>
      <c r="L529" s="326"/>
      <c r="M529" s="326"/>
      <c r="N529" s="326"/>
      <c r="O529" s="326"/>
      <c r="P529" s="326"/>
      <c r="Q529" s="326"/>
      <c r="R529" s="326"/>
      <c r="S529" s="326"/>
      <c r="T529" s="326"/>
      <c r="U529" s="326"/>
      <c r="V529" s="326"/>
      <c r="W529" s="326"/>
      <c r="X529" s="326"/>
      <c r="Y529" s="326"/>
      <c r="Z529" s="326"/>
      <c r="AA529" s="326"/>
      <c r="AB529" s="326"/>
      <c r="AC529" s="326"/>
      <c r="AD529" s="326"/>
    </row>
    <row r="530">
      <c r="A530" s="326"/>
      <c r="B530" s="326"/>
      <c r="C530" s="326"/>
      <c r="D530" s="326"/>
      <c r="E530" s="326"/>
      <c r="F530" s="326"/>
      <c r="G530" s="326"/>
      <c r="H530" s="326"/>
      <c r="I530" s="326"/>
      <c r="J530" s="326"/>
      <c r="K530" s="326"/>
      <c r="L530" s="326"/>
      <c r="M530" s="326"/>
      <c r="N530" s="326"/>
      <c r="O530" s="326"/>
      <c r="P530" s="326"/>
      <c r="Q530" s="326"/>
      <c r="R530" s="326"/>
      <c r="S530" s="326"/>
      <c r="T530" s="326"/>
      <c r="U530" s="326"/>
      <c r="V530" s="326"/>
      <c r="W530" s="326"/>
      <c r="X530" s="326"/>
      <c r="Y530" s="326"/>
      <c r="Z530" s="326"/>
      <c r="AA530" s="326"/>
      <c r="AB530" s="326"/>
      <c r="AC530" s="326"/>
      <c r="AD530" s="326"/>
    </row>
    <row r="531">
      <c r="A531" s="326"/>
      <c r="B531" s="326"/>
      <c r="C531" s="326"/>
      <c r="D531" s="326"/>
      <c r="E531" s="326"/>
      <c r="F531" s="326"/>
      <c r="G531" s="326"/>
      <c r="H531" s="326"/>
      <c r="I531" s="326"/>
      <c r="J531" s="326"/>
      <c r="K531" s="326"/>
      <c r="L531" s="326"/>
      <c r="M531" s="326"/>
      <c r="N531" s="326"/>
      <c r="O531" s="326"/>
      <c r="P531" s="326"/>
      <c r="Q531" s="326"/>
      <c r="R531" s="326"/>
      <c r="S531" s="326"/>
      <c r="T531" s="326"/>
      <c r="U531" s="326"/>
      <c r="V531" s="326"/>
      <c r="W531" s="326"/>
      <c r="X531" s="326"/>
      <c r="Y531" s="326"/>
      <c r="Z531" s="326"/>
      <c r="AA531" s="326"/>
      <c r="AB531" s="326"/>
      <c r="AC531" s="326"/>
      <c r="AD531" s="326"/>
    </row>
    <row r="532">
      <c r="A532" s="326"/>
      <c r="B532" s="326"/>
      <c r="C532" s="326"/>
      <c r="D532" s="326"/>
      <c r="E532" s="326"/>
      <c r="F532" s="326"/>
      <c r="G532" s="326"/>
      <c r="H532" s="326"/>
      <c r="I532" s="326"/>
      <c r="J532" s="326"/>
      <c r="K532" s="326"/>
      <c r="L532" s="326"/>
      <c r="M532" s="326"/>
      <c r="N532" s="326"/>
      <c r="O532" s="326"/>
      <c r="P532" s="326"/>
      <c r="Q532" s="326"/>
      <c r="R532" s="326"/>
      <c r="S532" s="326"/>
      <c r="T532" s="326"/>
      <c r="U532" s="326"/>
      <c r="V532" s="326"/>
      <c r="W532" s="326"/>
      <c r="X532" s="326"/>
      <c r="Y532" s="326"/>
      <c r="Z532" s="326"/>
      <c r="AA532" s="326"/>
      <c r="AB532" s="326"/>
      <c r="AC532" s="326"/>
      <c r="AD532" s="326"/>
    </row>
    <row r="533">
      <c r="A533" s="326"/>
      <c r="B533" s="326"/>
      <c r="C533" s="326"/>
      <c r="D533" s="326"/>
      <c r="E533" s="326"/>
      <c r="F533" s="326"/>
      <c r="G533" s="326"/>
      <c r="H533" s="326"/>
      <c r="I533" s="326"/>
      <c r="J533" s="326"/>
      <c r="K533" s="326"/>
      <c r="L533" s="326"/>
      <c r="M533" s="326"/>
      <c r="N533" s="326"/>
      <c r="O533" s="326"/>
      <c r="P533" s="326"/>
      <c r="Q533" s="326"/>
      <c r="R533" s="326"/>
      <c r="S533" s="326"/>
      <c r="T533" s="326"/>
      <c r="U533" s="326"/>
      <c r="V533" s="326"/>
      <c r="W533" s="326"/>
      <c r="X533" s="326"/>
      <c r="Y533" s="326"/>
      <c r="Z533" s="326"/>
      <c r="AA533" s="326"/>
      <c r="AB533" s="326"/>
      <c r="AC533" s="326"/>
      <c r="AD533" s="326"/>
    </row>
    <row r="534">
      <c r="A534" s="326"/>
      <c r="B534" s="326"/>
      <c r="C534" s="326"/>
      <c r="D534" s="326"/>
      <c r="E534" s="326"/>
      <c r="F534" s="326"/>
      <c r="G534" s="326"/>
      <c r="H534" s="326"/>
      <c r="I534" s="326"/>
      <c r="J534" s="326"/>
      <c r="K534" s="326"/>
      <c r="L534" s="326"/>
      <c r="M534" s="326"/>
      <c r="N534" s="326"/>
      <c r="O534" s="326"/>
      <c r="P534" s="326"/>
      <c r="Q534" s="326"/>
      <c r="R534" s="326"/>
      <c r="S534" s="326"/>
      <c r="T534" s="326"/>
      <c r="U534" s="326"/>
      <c r="V534" s="326"/>
      <c r="W534" s="326"/>
      <c r="X534" s="326"/>
      <c r="Y534" s="326"/>
      <c r="Z534" s="326"/>
      <c r="AA534" s="326"/>
      <c r="AB534" s="326"/>
      <c r="AC534" s="326"/>
      <c r="AD534" s="326"/>
    </row>
    <row r="535">
      <c r="A535" s="326"/>
      <c r="B535" s="326"/>
      <c r="C535" s="326"/>
      <c r="D535" s="326"/>
      <c r="E535" s="326"/>
      <c r="F535" s="326"/>
      <c r="G535" s="326"/>
      <c r="H535" s="326"/>
      <c r="I535" s="326"/>
      <c r="J535" s="326"/>
      <c r="K535" s="326"/>
      <c r="L535" s="326"/>
      <c r="M535" s="326"/>
      <c r="N535" s="326"/>
      <c r="O535" s="326"/>
      <c r="P535" s="326"/>
      <c r="Q535" s="326"/>
      <c r="R535" s="326"/>
      <c r="S535" s="326"/>
      <c r="T535" s="326"/>
      <c r="U535" s="326"/>
      <c r="V535" s="326"/>
      <c r="W535" s="326"/>
      <c r="X535" s="326"/>
      <c r="Y535" s="326"/>
      <c r="Z535" s="326"/>
      <c r="AA535" s="326"/>
      <c r="AB535" s="326"/>
      <c r="AC535" s="326"/>
      <c r="AD535" s="326"/>
    </row>
    <row r="536">
      <c r="A536" s="326"/>
      <c r="B536" s="326"/>
      <c r="C536" s="326"/>
      <c r="D536" s="326"/>
      <c r="E536" s="326"/>
      <c r="F536" s="326"/>
      <c r="G536" s="326"/>
      <c r="H536" s="326"/>
      <c r="I536" s="326"/>
      <c r="J536" s="326"/>
      <c r="K536" s="326"/>
      <c r="L536" s="326"/>
      <c r="M536" s="326"/>
      <c r="N536" s="326"/>
      <c r="O536" s="326"/>
      <c r="P536" s="326"/>
      <c r="Q536" s="326"/>
      <c r="R536" s="326"/>
      <c r="S536" s="326"/>
      <c r="T536" s="326"/>
      <c r="U536" s="326"/>
      <c r="V536" s="326"/>
      <c r="W536" s="326"/>
      <c r="X536" s="326"/>
      <c r="Y536" s="326"/>
      <c r="Z536" s="326"/>
      <c r="AA536" s="326"/>
      <c r="AB536" s="326"/>
      <c r="AC536" s="326"/>
      <c r="AD536" s="326"/>
    </row>
    <row r="537">
      <c r="A537" s="326"/>
      <c r="B537" s="326"/>
      <c r="C537" s="326"/>
      <c r="D537" s="326"/>
      <c r="E537" s="326"/>
      <c r="F537" s="326"/>
      <c r="G537" s="326"/>
      <c r="H537" s="326"/>
      <c r="I537" s="326"/>
      <c r="J537" s="326"/>
      <c r="K537" s="326"/>
      <c r="L537" s="326"/>
      <c r="M537" s="326"/>
      <c r="N537" s="326"/>
      <c r="O537" s="326"/>
      <c r="P537" s="326"/>
      <c r="Q537" s="326"/>
      <c r="R537" s="326"/>
      <c r="S537" s="326"/>
      <c r="T537" s="326"/>
      <c r="U537" s="326"/>
      <c r="V537" s="326"/>
      <c r="W537" s="326"/>
      <c r="X537" s="326"/>
      <c r="Y537" s="326"/>
      <c r="Z537" s="326"/>
      <c r="AA537" s="326"/>
      <c r="AB537" s="326"/>
      <c r="AC537" s="326"/>
      <c r="AD537" s="326"/>
    </row>
    <row r="538">
      <c r="A538" s="326"/>
      <c r="B538" s="326"/>
      <c r="C538" s="326"/>
      <c r="D538" s="326"/>
      <c r="E538" s="326"/>
      <c r="F538" s="326"/>
      <c r="G538" s="326"/>
      <c r="H538" s="326"/>
      <c r="I538" s="326"/>
      <c r="J538" s="326"/>
      <c r="K538" s="326"/>
      <c r="L538" s="326"/>
      <c r="M538" s="326"/>
      <c r="N538" s="326"/>
      <c r="O538" s="326"/>
      <c r="P538" s="326"/>
      <c r="Q538" s="326"/>
      <c r="R538" s="326"/>
      <c r="S538" s="326"/>
      <c r="T538" s="326"/>
      <c r="U538" s="326"/>
      <c r="V538" s="326"/>
      <c r="W538" s="326"/>
      <c r="X538" s="326"/>
      <c r="Y538" s="326"/>
      <c r="Z538" s="326"/>
      <c r="AA538" s="326"/>
      <c r="AB538" s="326"/>
      <c r="AC538" s="326"/>
      <c r="AD538" s="326"/>
    </row>
    <row r="539">
      <c r="A539" s="326"/>
      <c r="B539" s="326"/>
      <c r="C539" s="326"/>
      <c r="D539" s="326"/>
      <c r="E539" s="326"/>
      <c r="F539" s="326"/>
      <c r="G539" s="326"/>
      <c r="H539" s="326"/>
      <c r="I539" s="326"/>
      <c r="J539" s="326"/>
      <c r="K539" s="326"/>
      <c r="L539" s="326"/>
      <c r="M539" s="326"/>
      <c r="N539" s="326"/>
      <c r="O539" s="326"/>
      <c r="P539" s="326"/>
      <c r="Q539" s="326"/>
      <c r="R539" s="326"/>
      <c r="S539" s="326"/>
      <c r="T539" s="326"/>
      <c r="U539" s="326"/>
      <c r="V539" s="326"/>
      <c r="W539" s="326"/>
      <c r="X539" s="326"/>
      <c r="Y539" s="326"/>
      <c r="Z539" s="326"/>
      <c r="AA539" s="326"/>
      <c r="AB539" s="326"/>
      <c r="AC539" s="326"/>
      <c r="AD539" s="326"/>
    </row>
    <row r="540">
      <c r="A540" s="326"/>
      <c r="B540" s="326"/>
      <c r="C540" s="326"/>
      <c r="D540" s="326"/>
      <c r="E540" s="326"/>
      <c r="F540" s="326"/>
      <c r="G540" s="326"/>
      <c r="H540" s="326"/>
      <c r="I540" s="326"/>
      <c r="J540" s="326"/>
      <c r="K540" s="326"/>
      <c r="L540" s="326"/>
      <c r="M540" s="326"/>
      <c r="N540" s="326"/>
      <c r="O540" s="326"/>
      <c r="P540" s="326"/>
      <c r="Q540" s="326"/>
      <c r="R540" s="326"/>
      <c r="S540" s="326"/>
      <c r="T540" s="326"/>
      <c r="U540" s="326"/>
      <c r="V540" s="326"/>
      <c r="W540" s="326"/>
      <c r="X540" s="326"/>
      <c r="Y540" s="326"/>
      <c r="Z540" s="326"/>
      <c r="AA540" s="326"/>
      <c r="AB540" s="326"/>
      <c r="AC540" s="326"/>
      <c r="AD540" s="326"/>
    </row>
    <row r="541">
      <c r="A541" s="326"/>
      <c r="B541" s="326"/>
      <c r="C541" s="326"/>
      <c r="D541" s="326"/>
      <c r="E541" s="326"/>
      <c r="F541" s="326"/>
      <c r="G541" s="326"/>
      <c r="H541" s="326"/>
      <c r="I541" s="326"/>
      <c r="J541" s="326"/>
      <c r="K541" s="326"/>
      <c r="L541" s="326"/>
      <c r="M541" s="326"/>
      <c r="N541" s="326"/>
      <c r="O541" s="326"/>
      <c r="P541" s="326"/>
      <c r="Q541" s="326"/>
      <c r="R541" s="326"/>
      <c r="S541" s="326"/>
      <c r="T541" s="326"/>
      <c r="U541" s="326"/>
      <c r="V541" s="326"/>
      <c r="W541" s="326"/>
      <c r="X541" s="326"/>
      <c r="Y541" s="326"/>
      <c r="Z541" s="326"/>
      <c r="AA541" s="326"/>
      <c r="AB541" s="326"/>
      <c r="AC541" s="326"/>
      <c r="AD541" s="326"/>
    </row>
    <row r="542">
      <c r="A542" s="326"/>
      <c r="B542" s="326"/>
      <c r="C542" s="326"/>
      <c r="D542" s="326"/>
      <c r="E542" s="326"/>
      <c r="F542" s="326"/>
      <c r="G542" s="326"/>
      <c r="H542" s="326"/>
      <c r="I542" s="326"/>
      <c r="J542" s="326"/>
      <c r="K542" s="326"/>
      <c r="L542" s="326"/>
      <c r="M542" s="326"/>
      <c r="N542" s="326"/>
      <c r="O542" s="326"/>
      <c r="P542" s="326"/>
      <c r="Q542" s="326"/>
      <c r="R542" s="326"/>
      <c r="S542" s="326"/>
      <c r="T542" s="326"/>
      <c r="U542" s="326"/>
      <c r="V542" s="326"/>
      <c r="W542" s="326"/>
      <c r="X542" s="326"/>
      <c r="Y542" s="326"/>
      <c r="Z542" s="326"/>
      <c r="AA542" s="326"/>
      <c r="AB542" s="326"/>
      <c r="AC542" s="326"/>
      <c r="AD542" s="326"/>
    </row>
    <row r="543">
      <c r="A543" s="326"/>
      <c r="B543" s="326"/>
      <c r="C543" s="326"/>
      <c r="D543" s="326"/>
      <c r="E543" s="326"/>
      <c r="F543" s="326"/>
      <c r="G543" s="326"/>
      <c r="H543" s="326"/>
      <c r="I543" s="326"/>
      <c r="J543" s="326"/>
      <c r="K543" s="326"/>
      <c r="L543" s="326"/>
      <c r="M543" s="326"/>
      <c r="N543" s="326"/>
      <c r="O543" s="326"/>
      <c r="P543" s="326"/>
      <c r="Q543" s="326"/>
      <c r="R543" s="326"/>
      <c r="S543" s="326"/>
      <c r="T543" s="326"/>
      <c r="U543" s="326"/>
      <c r="V543" s="326"/>
      <c r="W543" s="326"/>
      <c r="X543" s="326"/>
      <c r="Y543" s="326"/>
      <c r="Z543" s="326"/>
      <c r="AA543" s="326"/>
      <c r="AB543" s="326"/>
      <c r="AC543" s="326"/>
      <c r="AD543" s="326"/>
    </row>
    <row r="544">
      <c r="A544" s="326"/>
      <c r="B544" s="326"/>
      <c r="C544" s="326"/>
      <c r="D544" s="326"/>
      <c r="E544" s="326"/>
      <c r="F544" s="326"/>
      <c r="G544" s="326"/>
      <c r="H544" s="326"/>
      <c r="I544" s="326"/>
      <c r="J544" s="326"/>
      <c r="K544" s="326"/>
      <c r="L544" s="326"/>
      <c r="M544" s="326"/>
      <c r="N544" s="326"/>
      <c r="O544" s="326"/>
      <c r="P544" s="326"/>
      <c r="Q544" s="326"/>
      <c r="R544" s="326"/>
      <c r="S544" s="326"/>
      <c r="T544" s="326"/>
      <c r="U544" s="326"/>
      <c r="V544" s="326"/>
      <c r="W544" s="326"/>
      <c r="X544" s="326"/>
      <c r="Y544" s="326"/>
      <c r="Z544" s="326"/>
      <c r="AA544" s="326"/>
      <c r="AB544" s="326"/>
      <c r="AC544" s="326"/>
      <c r="AD544" s="326"/>
    </row>
    <row r="545">
      <c r="A545" s="326"/>
      <c r="B545" s="326"/>
      <c r="C545" s="326"/>
      <c r="D545" s="326"/>
      <c r="E545" s="326"/>
      <c r="F545" s="326"/>
      <c r="G545" s="326"/>
      <c r="H545" s="326"/>
      <c r="I545" s="326"/>
      <c r="J545" s="326"/>
      <c r="K545" s="326"/>
      <c r="L545" s="326"/>
      <c r="M545" s="326"/>
      <c r="N545" s="326"/>
      <c r="O545" s="326"/>
      <c r="P545" s="326"/>
      <c r="Q545" s="326"/>
      <c r="R545" s="326"/>
      <c r="S545" s="326"/>
      <c r="T545" s="326"/>
      <c r="U545" s="326"/>
      <c r="V545" s="326"/>
      <c r="W545" s="326"/>
      <c r="X545" s="326"/>
      <c r="Y545" s="326"/>
      <c r="Z545" s="326"/>
      <c r="AA545" s="326"/>
      <c r="AB545" s="326"/>
      <c r="AC545" s="326"/>
      <c r="AD545" s="326"/>
    </row>
    <row r="546">
      <c r="A546" s="326"/>
      <c r="B546" s="326"/>
      <c r="C546" s="326"/>
      <c r="D546" s="326"/>
      <c r="E546" s="326"/>
      <c r="F546" s="326"/>
      <c r="G546" s="326"/>
      <c r="H546" s="326"/>
      <c r="I546" s="326"/>
      <c r="J546" s="326"/>
      <c r="K546" s="326"/>
      <c r="L546" s="326"/>
      <c r="M546" s="326"/>
      <c r="N546" s="326"/>
      <c r="O546" s="326"/>
      <c r="P546" s="326"/>
      <c r="Q546" s="326"/>
      <c r="R546" s="326"/>
      <c r="S546" s="326"/>
      <c r="T546" s="326"/>
      <c r="U546" s="326"/>
      <c r="V546" s="326"/>
      <c r="W546" s="326"/>
      <c r="X546" s="326"/>
      <c r="Y546" s="326"/>
      <c r="Z546" s="326"/>
      <c r="AA546" s="326"/>
      <c r="AB546" s="326"/>
      <c r="AC546" s="326"/>
      <c r="AD546" s="326"/>
    </row>
    <row r="547">
      <c r="A547" s="326"/>
      <c r="B547" s="326"/>
      <c r="C547" s="326"/>
      <c r="D547" s="326"/>
      <c r="E547" s="326"/>
      <c r="F547" s="326"/>
      <c r="G547" s="326"/>
      <c r="H547" s="326"/>
      <c r="I547" s="326"/>
      <c r="J547" s="326"/>
      <c r="K547" s="326"/>
      <c r="L547" s="326"/>
      <c r="M547" s="326"/>
      <c r="N547" s="326"/>
      <c r="O547" s="326"/>
      <c r="P547" s="326"/>
      <c r="Q547" s="326"/>
      <c r="R547" s="326"/>
      <c r="S547" s="326"/>
      <c r="T547" s="326"/>
      <c r="U547" s="326"/>
      <c r="V547" s="326"/>
      <c r="W547" s="326"/>
      <c r="X547" s="326"/>
      <c r="Y547" s="326"/>
      <c r="Z547" s="326"/>
      <c r="AA547" s="326"/>
      <c r="AB547" s="326"/>
      <c r="AC547" s="326"/>
      <c r="AD547" s="326"/>
    </row>
    <row r="548">
      <c r="A548" s="326"/>
      <c r="B548" s="326"/>
      <c r="C548" s="326"/>
      <c r="D548" s="326"/>
      <c r="E548" s="326"/>
      <c r="F548" s="326"/>
      <c r="G548" s="326"/>
      <c r="H548" s="326"/>
      <c r="I548" s="326"/>
      <c r="J548" s="326"/>
      <c r="K548" s="326"/>
      <c r="L548" s="326"/>
      <c r="M548" s="326"/>
      <c r="N548" s="326"/>
      <c r="O548" s="326"/>
      <c r="P548" s="326"/>
      <c r="Q548" s="326"/>
      <c r="R548" s="326"/>
      <c r="S548" s="326"/>
      <c r="T548" s="326"/>
      <c r="U548" s="326"/>
      <c r="V548" s="326"/>
      <c r="W548" s="326"/>
      <c r="X548" s="326"/>
      <c r="Y548" s="326"/>
      <c r="Z548" s="326"/>
      <c r="AA548" s="326"/>
      <c r="AB548" s="326"/>
      <c r="AC548" s="326"/>
      <c r="AD548" s="326"/>
    </row>
    <row r="549">
      <c r="A549" s="326"/>
      <c r="B549" s="326"/>
      <c r="C549" s="326"/>
      <c r="D549" s="326"/>
      <c r="E549" s="326"/>
      <c r="F549" s="326"/>
      <c r="G549" s="326"/>
      <c r="H549" s="326"/>
      <c r="I549" s="326"/>
      <c r="J549" s="326"/>
      <c r="K549" s="326"/>
      <c r="L549" s="326"/>
      <c r="M549" s="326"/>
      <c r="N549" s="326"/>
      <c r="O549" s="326"/>
      <c r="P549" s="326"/>
      <c r="Q549" s="326"/>
      <c r="R549" s="326"/>
      <c r="S549" s="326"/>
      <c r="T549" s="326"/>
      <c r="U549" s="326"/>
      <c r="V549" s="326"/>
      <c r="W549" s="326"/>
      <c r="X549" s="326"/>
      <c r="Y549" s="326"/>
      <c r="Z549" s="326"/>
      <c r="AA549" s="326"/>
      <c r="AB549" s="326"/>
      <c r="AC549" s="326"/>
      <c r="AD549" s="326"/>
    </row>
    <row r="550">
      <c r="A550" s="326"/>
      <c r="B550" s="326"/>
      <c r="C550" s="326"/>
      <c r="D550" s="326"/>
      <c r="E550" s="326"/>
      <c r="F550" s="326"/>
      <c r="G550" s="326"/>
      <c r="H550" s="326"/>
      <c r="I550" s="326"/>
      <c r="J550" s="326"/>
      <c r="K550" s="326"/>
      <c r="L550" s="326"/>
      <c r="M550" s="326"/>
      <c r="N550" s="326"/>
      <c r="O550" s="326"/>
      <c r="P550" s="326"/>
      <c r="Q550" s="326"/>
      <c r="R550" s="326"/>
      <c r="S550" s="326"/>
      <c r="T550" s="326"/>
      <c r="U550" s="326"/>
      <c r="V550" s="326"/>
      <c r="W550" s="326"/>
      <c r="X550" s="326"/>
      <c r="Y550" s="326"/>
      <c r="Z550" s="326"/>
      <c r="AA550" s="326"/>
      <c r="AB550" s="326"/>
      <c r="AC550" s="326"/>
      <c r="AD550" s="326"/>
    </row>
    <row r="551">
      <c r="A551" s="326"/>
      <c r="B551" s="326"/>
      <c r="C551" s="326"/>
      <c r="D551" s="326"/>
      <c r="E551" s="326"/>
      <c r="F551" s="326"/>
      <c r="G551" s="326"/>
      <c r="H551" s="326"/>
      <c r="I551" s="326"/>
      <c r="J551" s="326"/>
      <c r="K551" s="326"/>
      <c r="L551" s="326"/>
      <c r="M551" s="326"/>
      <c r="N551" s="326"/>
      <c r="O551" s="326"/>
      <c r="P551" s="326"/>
      <c r="Q551" s="326"/>
      <c r="R551" s="326"/>
      <c r="S551" s="326"/>
      <c r="T551" s="326"/>
      <c r="U551" s="326"/>
      <c r="V551" s="326"/>
      <c r="W551" s="326"/>
      <c r="X551" s="326"/>
      <c r="Y551" s="326"/>
      <c r="Z551" s="326"/>
      <c r="AA551" s="326"/>
      <c r="AB551" s="326"/>
      <c r="AC551" s="326"/>
      <c r="AD551" s="326"/>
    </row>
    <row r="552">
      <c r="A552" s="326"/>
      <c r="B552" s="326"/>
      <c r="C552" s="326"/>
      <c r="D552" s="326"/>
      <c r="E552" s="326"/>
      <c r="F552" s="326"/>
      <c r="G552" s="326"/>
      <c r="H552" s="326"/>
      <c r="I552" s="326"/>
      <c r="J552" s="326"/>
      <c r="K552" s="326"/>
      <c r="L552" s="326"/>
      <c r="M552" s="326"/>
      <c r="N552" s="326"/>
      <c r="O552" s="326"/>
      <c r="P552" s="326"/>
      <c r="Q552" s="326"/>
      <c r="R552" s="326"/>
      <c r="S552" s="326"/>
      <c r="T552" s="326"/>
      <c r="U552" s="326"/>
      <c r="V552" s="326"/>
      <c r="W552" s="326"/>
      <c r="X552" s="326"/>
      <c r="Y552" s="326"/>
      <c r="Z552" s="326"/>
      <c r="AA552" s="326"/>
      <c r="AB552" s="326"/>
      <c r="AC552" s="326"/>
      <c r="AD552" s="326"/>
    </row>
    <row r="553">
      <c r="A553" s="326"/>
      <c r="B553" s="326"/>
      <c r="C553" s="326"/>
      <c r="D553" s="326"/>
      <c r="E553" s="326"/>
      <c r="F553" s="326"/>
      <c r="G553" s="326"/>
      <c r="H553" s="326"/>
      <c r="I553" s="326"/>
      <c r="J553" s="326"/>
      <c r="K553" s="326"/>
      <c r="L553" s="326"/>
      <c r="M553" s="326"/>
      <c r="N553" s="326"/>
      <c r="O553" s="326"/>
      <c r="P553" s="326"/>
      <c r="Q553" s="326"/>
      <c r="R553" s="326"/>
      <c r="S553" s="326"/>
      <c r="T553" s="326"/>
      <c r="U553" s="326"/>
      <c r="V553" s="326"/>
      <c r="W553" s="326"/>
      <c r="X553" s="326"/>
      <c r="Y553" s="326"/>
      <c r="Z553" s="326"/>
      <c r="AA553" s="326"/>
      <c r="AB553" s="326"/>
      <c r="AC553" s="326"/>
      <c r="AD553" s="326"/>
    </row>
    <row r="554">
      <c r="A554" s="326"/>
      <c r="B554" s="326"/>
      <c r="C554" s="326"/>
      <c r="D554" s="326"/>
      <c r="E554" s="326"/>
      <c r="F554" s="326"/>
      <c r="G554" s="326"/>
      <c r="H554" s="326"/>
      <c r="I554" s="326"/>
      <c r="J554" s="326"/>
      <c r="K554" s="326"/>
      <c r="L554" s="326"/>
      <c r="M554" s="326"/>
      <c r="N554" s="326"/>
      <c r="O554" s="326"/>
      <c r="P554" s="326"/>
      <c r="Q554" s="326"/>
      <c r="R554" s="326"/>
      <c r="S554" s="326"/>
      <c r="T554" s="326"/>
      <c r="U554" s="326"/>
      <c r="V554" s="326"/>
      <c r="W554" s="326"/>
      <c r="X554" s="326"/>
      <c r="Y554" s="326"/>
      <c r="Z554" s="326"/>
      <c r="AA554" s="326"/>
      <c r="AB554" s="326"/>
      <c r="AC554" s="326"/>
      <c r="AD554" s="326"/>
    </row>
    <row r="555">
      <c r="A555" s="326"/>
      <c r="B555" s="326"/>
      <c r="C555" s="326"/>
      <c r="D555" s="326"/>
      <c r="E555" s="326"/>
      <c r="F555" s="326"/>
      <c r="G555" s="326"/>
      <c r="H555" s="326"/>
      <c r="I555" s="326"/>
      <c r="J555" s="326"/>
      <c r="K555" s="326"/>
      <c r="L555" s="326"/>
      <c r="M555" s="326"/>
      <c r="N555" s="326"/>
      <c r="O555" s="326"/>
      <c r="P555" s="326"/>
      <c r="Q555" s="326"/>
      <c r="R555" s="326"/>
      <c r="S555" s="326"/>
      <c r="T555" s="326"/>
      <c r="U555" s="326"/>
      <c r="V555" s="326"/>
      <c r="W555" s="326"/>
      <c r="X555" s="326"/>
      <c r="Y555" s="326"/>
      <c r="Z555" s="326"/>
      <c r="AA555" s="326"/>
      <c r="AB555" s="326"/>
      <c r="AC555" s="326"/>
      <c r="AD555" s="326"/>
    </row>
    <row r="556">
      <c r="A556" s="326"/>
      <c r="B556" s="326"/>
      <c r="C556" s="326"/>
      <c r="D556" s="326"/>
      <c r="E556" s="326"/>
      <c r="F556" s="326"/>
      <c r="G556" s="326"/>
      <c r="H556" s="326"/>
      <c r="I556" s="326"/>
      <c r="J556" s="326"/>
      <c r="K556" s="326"/>
      <c r="L556" s="326"/>
      <c r="M556" s="326"/>
      <c r="N556" s="326"/>
      <c r="O556" s="326"/>
      <c r="P556" s="326"/>
      <c r="Q556" s="326"/>
      <c r="R556" s="326"/>
      <c r="S556" s="326"/>
      <c r="T556" s="326"/>
      <c r="U556" s="326"/>
      <c r="V556" s="326"/>
      <c r="W556" s="326"/>
      <c r="X556" s="326"/>
      <c r="Y556" s="326"/>
      <c r="Z556" s="326"/>
      <c r="AA556" s="326"/>
      <c r="AB556" s="326"/>
      <c r="AC556" s="326"/>
      <c r="AD556" s="326"/>
    </row>
    <row r="557">
      <c r="A557" s="326"/>
      <c r="B557" s="326"/>
      <c r="C557" s="326"/>
      <c r="D557" s="326"/>
      <c r="E557" s="326"/>
      <c r="F557" s="326"/>
      <c r="G557" s="326"/>
      <c r="H557" s="326"/>
      <c r="I557" s="326"/>
      <c r="J557" s="326"/>
      <c r="K557" s="326"/>
      <c r="L557" s="326"/>
      <c r="M557" s="326"/>
      <c r="N557" s="326"/>
      <c r="O557" s="326"/>
      <c r="P557" s="326"/>
      <c r="Q557" s="326"/>
      <c r="R557" s="326"/>
      <c r="S557" s="326"/>
      <c r="T557" s="326"/>
      <c r="U557" s="326"/>
      <c r="V557" s="326"/>
      <c r="W557" s="326"/>
      <c r="X557" s="326"/>
      <c r="Y557" s="326"/>
      <c r="Z557" s="326"/>
      <c r="AA557" s="326"/>
      <c r="AB557" s="326"/>
      <c r="AC557" s="326"/>
      <c r="AD557" s="326"/>
    </row>
    <row r="558">
      <c r="A558" s="326"/>
      <c r="B558" s="326"/>
      <c r="C558" s="326"/>
      <c r="D558" s="326"/>
      <c r="E558" s="326"/>
      <c r="F558" s="326"/>
      <c r="G558" s="326"/>
      <c r="H558" s="326"/>
      <c r="I558" s="326"/>
      <c r="J558" s="326"/>
      <c r="K558" s="326"/>
      <c r="L558" s="326"/>
      <c r="M558" s="326"/>
      <c r="N558" s="326"/>
      <c r="O558" s="326"/>
      <c r="P558" s="326"/>
      <c r="Q558" s="326"/>
      <c r="R558" s="326"/>
      <c r="S558" s="326"/>
      <c r="T558" s="326"/>
      <c r="U558" s="326"/>
      <c r="V558" s="326"/>
      <c r="W558" s="326"/>
      <c r="X558" s="326"/>
      <c r="Y558" s="326"/>
      <c r="Z558" s="326"/>
      <c r="AA558" s="326"/>
      <c r="AB558" s="326"/>
      <c r="AC558" s="326"/>
      <c r="AD558" s="326"/>
    </row>
    <row r="559">
      <c r="A559" s="326"/>
      <c r="B559" s="326"/>
      <c r="C559" s="326"/>
      <c r="D559" s="326"/>
      <c r="E559" s="326"/>
      <c r="F559" s="326"/>
      <c r="G559" s="326"/>
      <c r="H559" s="326"/>
      <c r="I559" s="326"/>
      <c r="J559" s="326"/>
      <c r="K559" s="326"/>
      <c r="L559" s="326"/>
      <c r="M559" s="326"/>
      <c r="N559" s="326"/>
      <c r="O559" s="326"/>
      <c r="P559" s="326"/>
      <c r="Q559" s="326"/>
      <c r="R559" s="326"/>
      <c r="S559" s="326"/>
      <c r="T559" s="326"/>
      <c r="U559" s="326"/>
      <c r="V559" s="326"/>
      <c r="W559" s="326"/>
      <c r="X559" s="326"/>
      <c r="Y559" s="326"/>
      <c r="Z559" s="326"/>
      <c r="AA559" s="326"/>
      <c r="AB559" s="326"/>
      <c r="AC559" s="326"/>
      <c r="AD559" s="326"/>
    </row>
    <row r="560">
      <c r="A560" s="326"/>
      <c r="B560" s="326"/>
      <c r="C560" s="326"/>
      <c r="D560" s="326"/>
      <c r="E560" s="326"/>
      <c r="F560" s="326"/>
      <c r="G560" s="326"/>
      <c r="H560" s="326"/>
      <c r="I560" s="326"/>
      <c r="J560" s="326"/>
      <c r="K560" s="326"/>
      <c r="L560" s="326"/>
      <c r="M560" s="326"/>
      <c r="N560" s="326"/>
      <c r="O560" s="326"/>
      <c r="P560" s="326"/>
      <c r="Q560" s="326"/>
      <c r="R560" s="326"/>
      <c r="S560" s="326"/>
      <c r="T560" s="326"/>
      <c r="U560" s="326"/>
      <c r="V560" s="326"/>
      <c r="W560" s="326"/>
      <c r="X560" s="326"/>
      <c r="Y560" s="326"/>
      <c r="Z560" s="326"/>
      <c r="AA560" s="326"/>
      <c r="AB560" s="326"/>
      <c r="AC560" s="326"/>
      <c r="AD560" s="326"/>
    </row>
    <row r="561">
      <c r="A561" s="326"/>
      <c r="B561" s="326"/>
      <c r="C561" s="326"/>
      <c r="D561" s="326"/>
      <c r="E561" s="326"/>
      <c r="F561" s="326"/>
      <c r="G561" s="326"/>
      <c r="H561" s="326"/>
      <c r="I561" s="326"/>
      <c r="J561" s="326"/>
      <c r="K561" s="326"/>
      <c r="L561" s="326"/>
      <c r="M561" s="326"/>
      <c r="N561" s="326"/>
      <c r="O561" s="326"/>
      <c r="P561" s="326"/>
      <c r="Q561" s="326"/>
      <c r="R561" s="326"/>
      <c r="S561" s="326"/>
      <c r="T561" s="326"/>
      <c r="U561" s="326"/>
      <c r="V561" s="326"/>
      <c r="W561" s="326"/>
      <c r="X561" s="326"/>
      <c r="Y561" s="326"/>
      <c r="Z561" s="326"/>
      <c r="AA561" s="326"/>
      <c r="AB561" s="326"/>
      <c r="AC561" s="326"/>
      <c r="AD561" s="326"/>
    </row>
    <row r="562">
      <c r="A562" s="326"/>
      <c r="B562" s="326"/>
      <c r="C562" s="326"/>
      <c r="D562" s="326"/>
      <c r="E562" s="326"/>
      <c r="F562" s="326"/>
      <c r="G562" s="326"/>
      <c r="H562" s="326"/>
      <c r="I562" s="326"/>
      <c r="J562" s="326"/>
      <c r="K562" s="326"/>
      <c r="L562" s="326"/>
      <c r="M562" s="326"/>
      <c r="N562" s="326"/>
      <c r="O562" s="326"/>
      <c r="P562" s="326"/>
      <c r="Q562" s="326"/>
      <c r="R562" s="326"/>
      <c r="S562" s="326"/>
      <c r="T562" s="326"/>
      <c r="U562" s="326"/>
      <c r="V562" s="326"/>
      <c r="W562" s="326"/>
      <c r="X562" s="326"/>
      <c r="Y562" s="326"/>
      <c r="Z562" s="326"/>
      <c r="AA562" s="326"/>
      <c r="AB562" s="326"/>
      <c r="AC562" s="326"/>
      <c r="AD562" s="326"/>
    </row>
    <row r="563">
      <c r="A563" s="326"/>
      <c r="B563" s="326"/>
      <c r="C563" s="326"/>
      <c r="D563" s="326"/>
      <c r="E563" s="326"/>
      <c r="F563" s="326"/>
      <c r="G563" s="326"/>
      <c r="H563" s="326"/>
      <c r="I563" s="326"/>
      <c r="J563" s="326"/>
      <c r="K563" s="326"/>
      <c r="L563" s="326"/>
      <c r="M563" s="326"/>
      <c r="N563" s="326"/>
      <c r="O563" s="326"/>
      <c r="P563" s="326"/>
      <c r="Q563" s="326"/>
      <c r="R563" s="326"/>
      <c r="S563" s="326"/>
      <c r="T563" s="326"/>
      <c r="U563" s="326"/>
      <c r="V563" s="326"/>
      <c r="W563" s="326"/>
      <c r="X563" s="326"/>
      <c r="Y563" s="326"/>
      <c r="Z563" s="326"/>
      <c r="AA563" s="326"/>
      <c r="AB563" s="326"/>
      <c r="AC563" s="326"/>
      <c r="AD563" s="326"/>
    </row>
    <row r="564">
      <c r="A564" s="326"/>
      <c r="B564" s="326"/>
      <c r="C564" s="326"/>
      <c r="D564" s="326"/>
      <c r="E564" s="326"/>
      <c r="F564" s="326"/>
      <c r="G564" s="326"/>
      <c r="H564" s="326"/>
      <c r="I564" s="326"/>
      <c r="J564" s="326"/>
      <c r="K564" s="326"/>
      <c r="L564" s="326"/>
      <c r="M564" s="326"/>
      <c r="N564" s="326"/>
      <c r="O564" s="326"/>
      <c r="P564" s="326"/>
      <c r="Q564" s="326"/>
      <c r="R564" s="326"/>
      <c r="S564" s="326"/>
      <c r="T564" s="326"/>
      <c r="U564" s="326"/>
      <c r="V564" s="326"/>
      <c r="W564" s="326"/>
      <c r="X564" s="326"/>
      <c r="Y564" s="326"/>
      <c r="Z564" s="326"/>
      <c r="AA564" s="326"/>
      <c r="AB564" s="326"/>
      <c r="AC564" s="326"/>
      <c r="AD564" s="326"/>
    </row>
    <row r="565">
      <c r="A565" s="326"/>
      <c r="B565" s="326"/>
      <c r="C565" s="326"/>
      <c r="D565" s="326"/>
      <c r="E565" s="326"/>
      <c r="F565" s="326"/>
      <c r="G565" s="326"/>
      <c r="H565" s="326"/>
      <c r="I565" s="326"/>
      <c r="J565" s="326"/>
      <c r="K565" s="326"/>
      <c r="L565" s="326"/>
      <c r="M565" s="326"/>
      <c r="N565" s="326"/>
      <c r="O565" s="326"/>
      <c r="P565" s="326"/>
      <c r="Q565" s="326"/>
      <c r="R565" s="326"/>
      <c r="S565" s="326"/>
      <c r="T565" s="326"/>
      <c r="U565" s="326"/>
      <c r="V565" s="326"/>
      <c r="W565" s="326"/>
      <c r="X565" s="326"/>
      <c r="Y565" s="326"/>
      <c r="Z565" s="326"/>
      <c r="AA565" s="326"/>
      <c r="AB565" s="326"/>
      <c r="AC565" s="326"/>
      <c r="AD565" s="326"/>
    </row>
    <row r="566">
      <c r="A566" s="326"/>
      <c r="B566" s="326"/>
      <c r="C566" s="326"/>
      <c r="D566" s="326"/>
      <c r="E566" s="326"/>
      <c r="F566" s="326"/>
      <c r="G566" s="326"/>
      <c r="H566" s="326"/>
      <c r="I566" s="326"/>
      <c r="J566" s="326"/>
      <c r="K566" s="326"/>
      <c r="L566" s="326"/>
      <c r="M566" s="326"/>
      <c r="N566" s="326"/>
      <c r="O566" s="326"/>
      <c r="P566" s="326"/>
      <c r="Q566" s="326"/>
      <c r="R566" s="326"/>
      <c r="S566" s="326"/>
      <c r="T566" s="326"/>
      <c r="U566" s="326"/>
      <c r="V566" s="326"/>
      <c r="W566" s="326"/>
      <c r="X566" s="326"/>
      <c r="Y566" s="326"/>
      <c r="Z566" s="326"/>
      <c r="AA566" s="326"/>
      <c r="AB566" s="326"/>
      <c r="AC566" s="326"/>
      <c r="AD566" s="326"/>
    </row>
    <row r="567">
      <c r="A567" s="326"/>
      <c r="B567" s="326"/>
      <c r="C567" s="326"/>
      <c r="D567" s="326"/>
      <c r="E567" s="326"/>
      <c r="F567" s="326"/>
      <c r="G567" s="326"/>
      <c r="H567" s="326"/>
      <c r="I567" s="326"/>
      <c r="J567" s="326"/>
      <c r="K567" s="326"/>
      <c r="L567" s="326"/>
      <c r="M567" s="326"/>
      <c r="N567" s="326"/>
      <c r="O567" s="326"/>
      <c r="P567" s="326"/>
      <c r="Q567" s="326"/>
      <c r="R567" s="326"/>
      <c r="S567" s="326"/>
      <c r="T567" s="326"/>
      <c r="U567" s="326"/>
      <c r="V567" s="326"/>
      <c r="W567" s="326"/>
      <c r="X567" s="326"/>
      <c r="Y567" s="326"/>
      <c r="Z567" s="326"/>
      <c r="AA567" s="326"/>
      <c r="AB567" s="326"/>
      <c r="AC567" s="326"/>
      <c r="AD567" s="326"/>
    </row>
    <row r="568">
      <c r="A568" s="326"/>
      <c r="B568" s="326"/>
      <c r="C568" s="326"/>
      <c r="D568" s="326"/>
      <c r="E568" s="326"/>
      <c r="F568" s="326"/>
      <c r="G568" s="326"/>
      <c r="H568" s="326"/>
      <c r="I568" s="326"/>
      <c r="J568" s="326"/>
      <c r="K568" s="326"/>
      <c r="L568" s="326"/>
      <c r="M568" s="326"/>
      <c r="N568" s="326"/>
      <c r="O568" s="326"/>
      <c r="P568" s="326"/>
      <c r="Q568" s="326"/>
      <c r="R568" s="326"/>
      <c r="S568" s="326"/>
      <c r="T568" s="326"/>
      <c r="U568" s="326"/>
      <c r="V568" s="326"/>
      <c r="W568" s="326"/>
      <c r="X568" s="326"/>
      <c r="Y568" s="326"/>
      <c r="Z568" s="326"/>
      <c r="AA568" s="326"/>
      <c r="AB568" s="326"/>
      <c r="AC568" s="326"/>
      <c r="AD568" s="326"/>
    </row>
    <row r="569">
      <c r="A569" s="326"/>
      <c r="B569" s="326"/>
      <c r="C569" s="326"/>
      <c r="D569" s="326"/>
      <c r="E569" s="326"/>
      <c r="F569" s="326"/>
      <c r="G569" s="326"/>
      <c r="H569" s="326"/>
      <c r="I569" s="326"/>
      <c r="J569" s="326"/>
      <c r="K569" s="326"/>
      <c r="L569" s="326"/>
      <c r="M569" s="326"/>
      <c r="N569" s="326"/>
      <c r="O569" s="326"/>
      <c r="P569" s="326"/>
      <c r="Q569" s="326"/>
      <c r="R569" s="326"/>
      <c r="S569" s="326"/>
      <c r="T569" s="326"/>
      <c r="U569" s="326"/>
      <c r="V569" s="326"/>
      <c r="W569" s="326"/>
      <c r="X569" s="326"/>
      <c r="Y569" s="326"/>
      <c r="Z569" s="326"/>
      <c r="AA569" s="326"/>
      <c r="AB569" s="326"/>
      <c r="AC569" s="326"/>
      <c r="AD569" s="326"/>
    </row>
    <row r="570">
      <c r="A570" s="326"/>
      <c r="B570" s="326"/>
      <c r="C570" s="326"/>
      <c r="D570" s="326"/>
      <c r="E570" s="326"/>
      <c r="F570" s="326"/>
      <c r="G570" s="326"/>
      <c r="H570" s="326"/>
      <c r="I570" s="326"/>
      <c r="J570" s="326"/>
      <c r="K570" s="326"/>
      <c r="L570" s="326"/>
      <c r="M570" s="326"/>
      <c r="N570" s="326"/>
      <c r="O570" s="326"/>
      <c r="P570" s="326"/>
      <c r="Q570" s="326"/>
      <c r="R570" s="326"/>
      <c r="S570" s="326"/>
      <c r="T570" s="326"/>
      <c r="U570" s="326"/>
      <c r="V570" s="326"/>
      <c r="W570" s="326"/>
      <c r="X570" s="326"/>
      <c r="Y570" s="326"/>
      <c r="Z570" s="326"/>
      <c r="AA570" s="326"/>
      <c r="AB570" s="326"/>
      <c r="AC570" s="326"/>
      <c r="AD570" s="326"/>
    </row>
    <row r="571">
      <c r="A571" s="326"/>
      <c r="B571" s="326"/>
      <c r="C571" s="326"/>
      <c r="D571" s="326"/>
      <c r="E571" s="326"/>
      <c r="F571" s="326"/>
      <c r="G571" s="326"/>
      <c r="H571" s="326"/>
      <c r="I571" s="326"/>
      <c r="J571" s="326"/>
      <c r="K571" s="326"/>
      <c r="L571" s="326"/>
      <c r="M571" s="326"/>
      <c r="N571" s="326"/>
      <c r="O571" s="326"/>
      <c r="P571" s="326"/>
      <c r="Q571" s="326"/>
      <c r="R571" s="326"/>
      <c r="S571" s="326"/>
      <c r="T571" s="326"/>
      <c r="U571" s="326"/>
      <c r="V571" s="326"/>
      <c r="W571" s="326"/>
      <c r="X571" s="326"/>
      <c r="Y571" s="326"/>
      <c r="Z571" s="326"/>
      <c r="AA571" s="326"/>
      <c r="AB571" s="326"/>
      <c r="AC571" s="326"/>
      <c r="AD571" s="326"/>
    </row>
    <row r="572">
      <c r="A572" s="326"/>
      <c r="B572" s="326"/>
      <c r="C572" s="326"/>
      <c r="D572" s="326"/>
      <c r="E572" s="326"/>
      <c r="F572" s="326"/>
      <c r="G572" s="326"/>
      <c r="H572" s="326"/>
      <c r="I572" s="326"/>
      <c r="J572" s="326"/>
      <c r="K572" s="326"/>
      <c r="L572" s="326"/>
      <c r="M572" s="326"/>
      <c r="N572" s="326"/>
      <c r="O572" s="326"/>
      <c r="P572" s="326"/>
      <c r="Q572" s="326"/>
      <c r="R572" s="326"/>
      <c r="S572" s="326"/>
      <c r="T572" s="326"/>
      <c r="U572" s="326"/>
      <c r="V572" s="326"/>
      <c r="W572" s="326"/>
      <c r="X572" s="326"/>
      <c r="Y572" s="326"/>
      <c r="Z572" s="326"/>
      <c r="AA572" s="326"/>
      <c r="AB572" s="326"/>
      <c r="AC572" s="326"/>
      <c r="AD572" s="326"/>
    </row>
    <row r="573">
      <c r="A573" s="326"/>
      <c r="B573" s="326"/>
      <c r="C573" s="326"/>
      <c r="D573" s="326"/>
      <c r="E573" s="326"/>
      <c r="F573" s="326"/>
      <c r="G573" s="326"/>
      <c r="H573" s="326"/>
      <c r="I573" s="326"/>
      <c r="J573" s="326"/>
      <c r="K573" s="326"/>
      <c r="L573" s="326"/>
      <c r="M573" s="326"/>
      <c r="N573" s="326"/>
      <c r="O573" s="326"/>
      <c r="P573" s="326"/>
      <c r="Q573" s="326"/>
      <c r="R573" s="326"/>
      <c r="S573" s="326"/>
      <c r="T573" s="326"/>
      <c r="U573" s="326"/>
      <c r="V573" s="326"/>
      <c r="W573" s="326"/>
      <c r="X573" s="326"/>
      <c r="Y573" s="326"/>
      <c r="Z573" s="326"/>
      <c r="AA573" s="326"/>
      <c r="AB573" s="326"/>
      <c r="AC573" s="326"/>
      <c r="AD573" s="326"/>
    </row>
    <row r="574">
      <c r="A574" s="326"/>
      <c r="B574" s="326"/>
      <c r="C574" s="326"/>
      <c r="D574" s="326"/>
      <c r="E574" s="326"/>
      <c r="F574" s="326"/>
      <c r="G574" s="326"/>
      <c r="H574" s="326"/>
      <c r="I574" s="326"/>
      <c r="J574" s="326"/>
      <c r="K574" s="326"/>
      <c r="L574" s="326"/>
      <c r="M574" s="326"/>
      <c r="N574" s="326"/>
      <c r="O574" s="326"/>
      <c r="P574" s="326"/>
      <c r="Q574" s="326"/>
      <c r="R574" s="326"/>
      <c r="S574" s="326"/>
      <c r="T574" s="326"/>
      <c r="U574" s="326"/>
      <c r="V574" s="326"/>
      <c r="W574" s="326"/>
      <c r="X574" s="326"/>
      <c r="Y574" s="326"/>
      <c r="Z574" s="326"/>
      <c r="AA574" s="326"/>
      <c r="AB574" s="326"/>
      <c r="AC574" s="326"/>
      <c r="AD574" s="326"/>
    </row>
    <row r="575">
      <c r="A575" s="326"/>
      <c r="B575" s="326"/>
      <c r="C575" s="326"/>
      <c r="D575" s="326"/>
      <c r="E575" s="326"/>
      <c r="F575" s="326"/>
      <c r="G575" s="326"/>
      <c r="H575" s="326"/>
      <c r="I575" s="326"/>
      <c r="J575" s="326"/>
      <c r="K575" s="326"/>
      <c r="L575" s="326"/>
      <c r="M575" s="326"/>
      <c r="N575" s="326"/>
      <c r="O575" s="326"/>
      <c r="P575" s="326"/>
      <c r="Q575" s="326"/>
      <c r="R575" s="326"/>
      <c r="S575" s="326"/>
      <c r="T575" s="326"/>
      <c r="U575" s="326"/>
      <c r="V575" s="326"/>
      <c r="W575" s="326"/>
      <c r="X575" s="326"/>
      <c r="Y575" s="326"/>
      <c r="Z575" s="326"/>
      <c r="AA575" s="326"/>
      <c r="AB575" s="326"/>
      <c r="AC575" s="326"/>
      <c r="AD575" s="326"/>
    </row>
    <row r="576">
      <c r="A576" s="326"/>
      <c r="B576" s="326"/>
      <c r="C576" s="326"/>
      <c r="D576" s="326"/>
      <c r="E576" s="326"/>
      <c r="F576" s="326"/>
      <c r="G576" s="326"/>
      <c r="H576" s="326"/>
      <c r="I576" s="326"/>
      <c r="J576" s="326"/>
      <c r="K576" s="326"/>
      <c r="L576" s="326"/>
      <c r="M576" s="326"/>
      <c r="N576" s="326"/>
      <c r="O576" s="326"/>
      <c r="P576" s="326"/>
      <c r="Q576" s="326"/>
      <c r="R576" s="326"/>
      <c r="S576" s="326"/>
      <c r="T576" s="326"/>
      <c r="U576" s="326"/>
      <c r="V576" s="326"/>
      <c r="W576" s="326"/>
      <c r="X576" s="326"/>
      <c r="Y576" s="326"/>
      <c r="Z576" s="326"/>
      <c r="AA576" s="326"/>
      <c r="AB576" s="326"/>
      <c r="AC576" s="326"/>
      <c r="AD576" s="326"/>
    </row>
    <row r="577">
      <c r="A577" s="326"/>
      <c r="B577" s="326"/>
      <c r="C577" s="326"/>
      <c r="D577" s="326"/>
      <c r="E577" s="326"/>
      <c r="F577" s="326"/>
      <c r="G577" s="326"/>
      <c r="H577" s="326"/>
      <c r="I577" s="326"/>
      <c r="J577" s="326"/>
      <c r="K577" s="326"/>
      <c r="L577" s="326"/>
      <c r="M577" s="326"/>
      <c r="N577" s="326"/>
      <c r="O577" s="326"/>
      <c r="P577" s="326"/>
      <c r="Q577" s="326"/>
      <c r="R577" s="326"/>
      <c r="S577" s="326"/>
      <c r="T577" s="326"/>
      <c r="U577" s="326"/>
      <c r="V577" s="326"/>
      <c r="W577" s="326"/>
      <c r="X577" s="326"/>
      <c r="Y577" s="326"/>
      <c r="Z577" s="326"/>
      <c r="AA577" s="326"/>
      <c r="AB577" s="326"/>
      <c r="AC577" s="326"/>
      <c r="AD577" s="326"/>
    </row>
    <row r="578">
      <c r="A578" s="326"/>
      <c r="B578" s="326"/>
      <c r="C578" s="326"/>
      <c r="D578" s="326"/>
      <c r="E578" s="326"/>
      <c r="F578" s="326"/>
      <c r="G578" s="326"/>
      <c r="H578" s="326"/>
      <c r="I578" s="326"/>
      <c r="J578" s="326"/>
      <c r="K578" s="326"/>
      <c r="L578" s="326"/>
      <c r="M578" s="326"/>
      <c r="N578" s="326"/>
      <c r="O578" s="326"/>
      <c r="P578" s="326"/>
      <c r="Q578" s="326"/>
      <c r="R578" s="326"/>
      <c r="S578" s="326"/>
      <c r="T578" s="326"/>
      <c r="U578" s="326"/>
      <c r="V578" s="326"/>
      <c r="W578" s="326"/>
      <c r="X578" s="326"/>
      <c r="Y578" s="326"/>
      <c r="Z578" s="326"/>
      <c r="AA578" s="326"/>
      <c r="AB578" s="326"/>
      <c r="AC578" s="326"/>
      <c r="AD578" s="326"/>
    </row>
    <row r="579">
      <c r="A579" s="326"/>
      <c r="B579" s="326"/>
      <c r="C579" s="326"/>
      <c r="D579" s="326"/>
      <c r="E579" s="326"/>
      <c r="F579" s="326"/>
      <c r="G579" s="326"/>
      <c r="H579" s="326"/>
      <c r="I579" s="326"/>
      <c r="J579" s="326"/>
      <c r="K579" s="326"/>
      <c r="L579" s="326"/>
      <c r="M579" s="326"/>
      <c r="N579" s="326"/>
      <c r="O579" s="326"/>
      <c r="P579" s="326"/>
      <c r="Q579" s="326"/>
      <c r="R579" s="326"/>
      <c r="S579" s="326"/>
      <c r="T579" s="326"/>
      <c r="U579" s="326"/>
      <c r="V579" s="326"/>
      <c r="W579" s="326"/>
      <c r="X579" s="326"/>
      <c r="Y579" s="326"/>
      <c r="Z579" s="326"/>
      <c r="AA579" s="326"/>
      <c r="AB579" s="326"/>
      <c r="AC579" s="326"/>
      <c r="AD579" s="326"/>
    </row>
    <row r="580">
      <c r="A580" s="326"/>
      <c r="B580" s="326"/>
      <c r="C580" s="326"/>
      <c r="D580" s="326"/>
      <c r="E580" s="326"/>
      <c r="F580" s="326"/>
      <c r="G580" s="326"/>
      <c r="H580" s="326"/>
      <c r="I580" s="326"/>
      <c r="J580" s="326"/>
      <c r="K580" s="326"/>
      <c r="L580" s="326"/>
      <c r="M580" s="326"/>
      <c r="N580" s="326"/>
      <c r="O580" s="326"/>
      <c r="P580" s="326"/>
      <c r="Q580" s="326"/>
      <c r="R580" s="326"/>
      <c r="S580" s="326"/>
      <c r="T580" s="326"/>
      <c r="U580" s="326"/>
      <c r="V580" s="326"/>
      <c r="W580" s="326"/>
      <c r="X580" s="326"/>
      <c r="Y580" s="326"/>
      <c r="Z580" s="326"/>
      <c r="AA580" s="326"/>
      <c r="AB580" s="326"/>
      <c r="AC580" s="326"/>
      <c r="AD580" s="326"/>
    </row>
    <row r="581">
      <c r="A581" s="326"/>
      <c r="B581" s="326"/>
      <c r="C581" s="326"/>
      <c r="D581" s="326"/>
      <c r="E581" s="326"/>
      <c r="F581" s="326"/>
      <c r="G581" s="326"/>
      <c r="H581" s="326"/>
      <c r="I581" s="326"/>
      <c r="J581" s="326"/>
      <c r="K581" s="326"/>
      <c r="L581" s="326"/>
      <c r="M581" s="326"/>
      <c r="N581" s="326"/>
      <c r="O581" s="326"/>
      <c r="P581" s="326"/>
      <c r="Q581" s="326"/>
      <c r="R581" s="326"/>
      <c r="S581" s="326"/>
      <c r="T581" s="326"/>
      <c r="U581" s="326"/>
      <c r="V581" s="326"/>
      <c r="W581" s="326"/>
      <c r="X581" s="326"/>
      <c r="Y581" s="326"/>
      <c r="Z581" s="326"/>
      <c r="AA581" s="326"/>
      <c r="AB581" s="326"/>
      <c r="AC581" s="326"/>
      <c r="AD581" s="326"/>
    </row>
    <row r="582">
      <c r="A582" s="326"/>
      <c r="B582" s="326"/>
      <c r="C582" s="326"/>
      <c r="D582" s="326"/>
      <c r="E582" s="326"/>
      <c r="F582" s="326"/>
      <c r="G582" s="326"/>
      <c r="H582" s="326"/>
      <c r="I582" s="326"/>
      <c r="J582" s="326"/>
      <c r="K582" s="326"/>
      <c r="L582" s="326"/>
      <c r="M582" s="326"/>
      <c r="N582" s="326"/>
      <c r="O582" s="326"/>
      <c r="P582" s="326"/>
      <c r="Q582" s="326"/>
      <c r="R582" s="326"/>
      <c r="S582" s="326"/>
      <c r="T582" s="326"/>
      <c r="U582" s="326"/>
      <c r="V582" s="326"/>
      <c r="W582" s="326"/>
      <c r="X582" s="326"/>
      <c r="Y582" s="326"/>
      <c r="Z582" s="326"/>
      <c r="AA582" s="326"/>
      <c r="AB582" s="326"/>
      <c r="AC582" s="326"/>
      <c r="AD582" s="326"/>
    </row>
    <row r="583">
      <c r="A583" s="326"/>
      <c r="B583" s="326"/>
      <c r="C583" s="326"/>
      <c r="D583" s="326"/>
      <c r="E583" s="326"/>
      <c r="F583" s="326"/>
      <c r="G583" s="326"/>
      <c r="H583" s="326"/>
      <c r="I583" s="326"/>
      <c r="J583" s="326"/>
      <c r="K583" s="326"/>
      <c r="L583" s="326"/>
      <c r="M583" s="326"/>
      <c r="N583" s="326"/>
      <c r="O583" s="326"/>
      <c r="P583" s="326"/>
      <c r="Q583" s="326"/>
      <c r="R583" s="326"/>
      <c r="S583" s="326"/>
      <c r="T583" s="326"/>
      <c r="U583" s="326"/>
      <c r="V583" s="326"/>
      <c r="W583" s="326"/>
      <c r="X583" s="326"/>
      <c r="Y583" s="326"/>
      <c r="Z583" s="326"/>
      <c r="AA583" s="326"/>
      <c r="AB583" s="326"/>
      <c r="AC583" s="326"/>
      <c r="AD583" s="326"/>
    </row>
    <row r="584">
      <c r="A584" s="326"/>
      <c r="B584" s="326"/>
      <c r="C584" s="326"/>
      <c r="D584" s="326"/>
      <c r="E584" s="326"/>
      <c r="F584" s="326"/>
      <c r="G584" s="326"/>
      <c r="H584" s="326"/>
      <c r="I584" s="326"/>
      <c r="J584" s="326"/>
      <c r="K584" s="326"/>
      <c r="L584" s="326"/>
      <c r="M584" s="326"/>
      <c r="N584" s="326"/>
      <c r="O584" s="326"/>
      <c r="P584" s="326"/>
      <c r="Q584" s="326"/>
      <c r="R584" s="326"/>
      <c r="S584" s="326"/>
      <c r="T584" s="326"/>
      <c r="U584" s="326"/>
      <c r="V584" s="326"/>
      <c r="W584" s="326"/>
      <c r="X584" s="326"/>
      <c r="Y584" s="326"/>
      <c r="Z584" s="326"/>
      <c r="AA584" s="326"/>
      <c r="AB584" s="326"/>
      <c r="AC584" s="326"/>
      <c r="AD584" s="326"/>
    </row>
    <row r="585">
      <c r="A585" s="326"/>
      <c r="B585" s="326"/>
      <c r="C585" s="326"/>
      <c r="D585" s="326"/>
      <c r="E585" s="326"/>
      <c r="F585" s="326"/>
      <c r="G585" s="326"/>
      <c r="H585" s="326"/>
      <c r="I585" s="326"/>
      <c r="J585" s="326"/>
      <c r="K585" s="326"/>
      <c r="L585" s="326"/>
      <c r="M585" s="326"/>
      <c r="N585" s="326"/>
      <c r="O585" s="326"/>
      <c r="P585" s="326"/>
      <c r="Q585" s="326"/>
      <c r="R585" s="326"/>
      <c r="S585" s="326"/>
      <c r="T585" s="326"/>
      <c r="U585" s="326"/>
      <c r="V585" s="326"/>
      <c r="W585" s="326"/>
      <c r="X585" s="326"/>
      <c r="Y585" s="326"/>
      <c r="Z585" s="326"/>
      <c r="AA585" s="326"/>
      <c r="AB585" s="326"/>
      <c r="AC585" s="326"/>
      <c r="AD585" s="326"/>
    </row>
    <row r="586">
      <c r="A586" s="326"/>
      <c r="B586" s="326"/>
      <c r="C586" s="326"/>
      <c r="D586" s="326"/>
      <c r="E586" s="326"/>
      <c r="F586" s="326"/>
      <c r="G586" s="326"/>
      <c r="H586" s="326"/>
      <c r="I586" s="326"/>
      <c r="J586" s="326"/>
      <c r="K586" s="326"/>
      <c r="L586" s="326"/>
      <c r="M586" s="326"/>
      <c r="N586" s="326"/>
      <c r="O586" s="326"/>
      <c r="P586" s="326"/>
      <c r="Q586" s="326"/>
      <c r="R586" s="326"/>
      <c r="S586" s="326"/>
      <c r="T586" s="326"/>
      <c r="U586" s="326"/>
      <c r="V586" s="326"/>
      <c r="W586" s="326"/>
      <c r="X586" s="326"/>
      <c r="Y586" s="326"/>
      <c r="Z586" s="326"/>
      <c r="AA586" s="326"/>
      <c r="AB586" s="326"/>
      <c r="AC586" s="326"/>
      <c r="AD586" s="326"/>
    </row>
    <row r="587">
      <c r="A587" s="326"/>
      <c r="B587" s="326"/>
      <c r="C587" s="326"/>
      <c r="D587" s="326"/>
      <c r="E587" s="326"/>
      <c r="F587" s="326"/>
      <c r="G587" s="326"/>
      <c r="H587" s="326"/>
      <c r="I587" s="326"/>
      <c r="J587" s="326"/>
      <c r="K587" s="326"/>
      <c r="L587" s="326"/>
      <c r="M587" s="326"/>
      <c r="N587" s="326"/>
      <c r="O587" s="326"/>
      <c r="P587" s="326"/>
      <c r="Q587" s="326"/>
      <c r="R587" s="326"/>
      <c r="S587" s="326"/>
      <c r="T587" s="326"/>
      <c r="U587" s="326"/>
      <c r="V587" s="326"/>
      <c r="W587" s="326"/>
      <c r="X587" s="326"/>
      <c r="Y587" s="326"/>
      <c r="Z587" s="326"/>
      <c r="AA587" s="326"/>
      <c r="AB587" s="326"/>
      <c r="AC587" s="326"/>
      <c r="AD587" s="326"/>
    </row>
    <row r="588">
      <c r="A588" s="326"/>
      <c r="B588" s="326"/>
      <c r="C588" s="326"/>
      <c r="D588" s="326"/>
      <c r="E588" s="326"/>
      <c r="F588" s="326"/>
      <c r="G588" s="326"/>
      <c r="H588" s="326"/>
      <c r="I588" s="326"/>
      <c r="J588" s="326"/>
      <c r="K588" s="326"/>
      <c r="L588" s="326"/>
      <c r="M588" s="326"/>
      <c r="N588" s="326"/>
      <c r="O588" s="326"/>
      <c r="P588" s="326"/>
      <c r="Q588" s="326"/>
      <c r="R588" s="326"/>
      <c r="S588" s="326"/>
      <c r="T588" s="326"/>
      <c r="U588" s="326"/>
      <c r="V588" s="326"/>
      <c r="W588" s="326"/>
      <c r="X588" s="326"/>
      <c r="Y588" s="326"/>
      <c r="Z588" s="326"/>
      <c r="AA588" s="326"/>
      <c r="AB588" s="326"/>
      <c r="AC588" s="326"/>
      <c r="AD588" s="326"/>
    </row>
    <row r="589">
      <c r="A589" s="326"/>
      <c r="B589" s="326"/>
      <c r="C589" s="326"/>
      <c r="D589" s="326"/>
      <c r="E589" s="326"/>
      <c r="F589" s="326"/>
      <c r="G589" s="326"/>
      <c r="H589" s="326"/>
      <c r="I589" s="326"/>
      <c r="J589" s="326"/>
      <c r="K589" s="326"/>
      <c r="L589" s="326"/>
      <c r="M589" s="326"/>
      <c r="N589" s="326"/>
      <c r="O589" s="326"/>
      <c r="P589" s="326"/>
      <c r="Q589" s="326"/>
      <c r="R589" s="326"/>
      <c r="S589" s="326"/>
      <c r="T589" s="326"/>
      <c r="U589" s="326"/>
      <c r="V589" s="326"/>
      <c r="W589" s="326"/>
      <c r="X589" s="326"/>
      <c r="Y589" s="326"/>
      <c r="Z589" s="326"/>
      <c r="AA589" s="326"/>
      <c r="AB589" s="326"/>
      <c r="AC589" s="326"/>
      <c r="AD589" s="326"/>
    </row>
    <row r="590">
      <c r="A590" s="326"/>
      <c r="B590" s="326"/>
      <c r="C590" s="326"/>
      <c r="D590" s="326"/>
      <c r="E590" s="326"/>
      <c r="F590" s="326"/>
      <c r="G590" s="326"/>
      <c r="H590" s="326"/>
      <c r="I590" s="326"/>
      <c r="J590" s="326"/>
      <c r="K590" s="326"/>
      <c r="L590" s="326"/>
      <c r="M590" s="326"/>
      <c r="N590" s="326"/>
      <c r="O590" s="326"/>
      <c r="P590" s="326"/>
      <c r="Q590" s="326"/>
      <c r="R590" s="326"/>
      <c r="S590" s="326"/>
      <c r="T590" s="326"/>
      <c r="U590" s="326"/>
      <c r="V590" s="326"/>
      <c r="W590" s="326"/>
      <c r="X590" s="326"/>
      <c r="Y590" s="326"/>
      <c r="Z590" s="326"/>
      <c r="AA590" s="326"/>
      <c r="AB590" s="326"/>
      <c r="AC590" s="326"/>
      <c r="AD590" s="326"/>
    </row>
    <row r="591">
      <c r="A591" s="326"/>
      <c r="B591" s="326"/>
      <c r="C591" s="326"/>
      <c r="D591" s="326"/>
      <c r="E591" s="326"/>
      <c r="F591" s="326"/>
      <c r="G591" s="326"/>
      <c r="H591" s="326"/>
      <c r="I591" s="326"/>
      <c r="J591" s="326"/>
      <c r="K591" s="326"/>
      <c r="L591" s="326"/>
      <c r="M591" s="326"/>
      <c r="N591" s="326"/>
      <c r="O591" s="326"/>
      <c r="P591" s="326"/>
      <c r="Q591" s="326"/>
      <c r="R591" s="326"/>
      <c r="S591" s="326"/>
      <c r="T591" s="326"/>
      <c r="U591" s="326"/>
      <c r="V591" s="326"/>
      <c r="W591" s="326"/>
      <c r="X591" s="326"/>
      <c r="Y591" s="326"/>
      <c r="Z591" s="326"/>
      <c r="AA591" s="326"/>
      <c r="AB591" s="326"/>
      <c r="AC591" s="326"/>
      <c r="AD591" s="326"/>
    </row>
    <row r="592">
      <c r="A592" s="326"/>
      <c r="B592" s="326"/>
      <c r="C592" s="326"/>
      <c r="D592" s="326"/>
      <c r="E592" s="326"/>
      <c r="F592" s="326"/>
      <c r="G592" s="326"/>
      <c r="H592" s="326"/>
      <c r="I592" s="326"/>
      <c r="J592" s="326"/>
      <c r="K592" s="326"/>
      <c r="L592" s="326"/>
      <c r="M592" s="326"/>
      <c r="N592" s="326"/>
      <c r="O592" s="326"/>
      <c r="P592" s="326"/>
      <c r="Q592" s="326"/>
      <c r="R592" s="326"/>
      <c r="S592" s="326"/>
      <c r="T592" s="326"/>
      <c r="U592" s="326"/>
      <c r="V592" s="326"/>
      <c r="W592" s="326"/>
      <c r="X592" s="326"/>
      <c r="Y592" s="326"/>
      <c r="Z592" s="326"/>
      <c r="AA592" s="326"/>
      <c r="AB592" s="326"/>
      <c r="AC592" s="326"/>
      <c r="AD592" s="326"/>
    </row>
    <row r="593">
      <c r="A593" s="326"/>
      <c r="B593" s="326"/>
      <c r="C593" s="326"/>
      <c r="D593" s="326"/>
      <c r="E593" s="326"/>
      <c r="F593" s="326"/>
      <c r="G593" s="326"/>
      <c r="H593" s="326"/>
      <c r="I593" s="326"/>
      <c r="J593" s="326"/>
      <c r="K593" s="326"/>
      <c r="L593" s="326"/>
      <c r="M593" s="326"/>
      <c r="N593" s="326"/>
      <c r="O593" s="326"/>
      <c r="P593" s="326"/>
      <c r="Q593" s="326"/>
      <c r="R593" s="326"/>
      <c r="S593" s="326"/>
      <c r="T593" s="326"/>
      <c r="U593" s="326"/>
      <c r="V593" s="326"/>
      <c r="W593" s="326"/>
      <c r="X593" s="326"/>
      <c r="Y593" s="326"/>
      <c r="Z593" s="326"/>
      <c r="AA593" s="326"/>
      <c r="AB593" s="326"/>
      <c r="AC593" s="326"/>
      <c r="AD593" s="326"/>
    </row>
    <row r="594">
      <c r="A594" s="326"/>
      <c r="B594" s="326"/>
      <c r="C594" s="326"/>
      <c r="D594" s="326"/>
      <c r="E594" s="326"/>
      <c r="F594" s="326"/>
      <c r="G594" s="326"/>
      <c r="H594" s="326"/>
      <c r="I594" s="326"/>
      <c r="J594" s="326"/>
      <c r="K594" s="326"/>
      <c r="L594" s="326"/>
      <c r="M594" s="326"/>
      <c r="N594" s="326"/>
      <c r="O594" s="326"/>
      <c r="P594" s="326"/>
      <c r="Q594" s="326"/>
      <c r="R594" s="326"/>
      <c r="S594" s="326"/>
      <c r="T594" s="326"/>
      <c r="U594" s="326"/>
      <c r="V594" s="326"/>
      <c r="W594" s="326"/>
      <c r="X594" s="326"/>
      <c r="Y594" s="326"/>
      <c r="Z594" s="326"/>
      <c r="AA594" s="326"/>
      <c r="AB594" s="326"/>
      <c r="AC594" s="326"/>
      <c r="AD594" s="326"/>
    </row>
    <row r="595">
      <c r="A595" s="326"/>
      <c r="B595" s="326"/>
      <c r="C595" s="326"/>
      <c r="D595" s="326"/>
      <c r="E595" s="326"/>
      <c r="F595" s="326"/>
      <c r="G595" s="326"/>
      <c r="H595" s="326"/>
      <c r="I595" s="326"/>
      <c r="J595" s="326"/>
      <c r="K595" s="326"/>
      <c r="L595" s="326"/>
      <c r="M595" s="326"/>
      <c r="N595" s="326"/>
      <c r="O595" s="326"/>
      <c r="P595" s="326"/>
      <c r="Q595" s="326"/>
      <c r="R595" s="326"/>
      <c r="S595" s="326"/>
      <c r="T595" s="326"/>
      <c r="U595" s="326"/>
      <c r="V595" s="326"/>
      <c r="W595" s="326"/>
      <c r="X595" s="326"/>
      <c r="Y595" s="326"/>
      <c r="Z595" s="326"/>
      <c r="AA595" s="326"/>
      <c r="AB595" s="326"/>
      <c r="AC595" s="326"/>
      <c r="AD595" s="326"/>
    </row>
    <row r="596">
      <c r="A596" s="326"/>
      <c r="B596" s="326"/>
      <c r="C596" s="326"/>
      <c r="D596" s="326"/>
      <c r="E596" s="326"/>
      <c r="F596" s="326"/>
      <c r="G596" s="326"/>
      <c r="H596" s="326"/>
      <c r="I596" s="326"/>
      <c r="J596" s="326"/>
      <c r="K596" s="326"/>
      <c r="L596" s="326"/>
      <c r="M596" s="326"/>
      <c r="N596" s="326"/>
      <c r="O596" s="326"/>
      <c r="P596" s="326"/>
      <c r="Q596" s="326"/>
      <c r="R596" s="326"/>
      <c r="S596" s="326"/>
      <c r="T596" s="326"/>
      <c r="U596" s="326"/>
      <c r="V596" s="326"/>
      <c r="W596" s="326"/>
      <c r="X596" s="326"/>
      <c r="Y596" s="326"/>
      <c r="Z596" s="326"/>
      <c r="AA596" s="326"/>
      <c r="AB596" s="326"/>
      <c r="AC596" s="326"/>
      <c r="AD596" s="326"/>
    </row>
    <row r="597">
      <c r="A597" s="326"/>
      <c r="B597" s="326"/>
      <c r="C597" s="326"/>
      <c r="D597" s="326"/>
      <c r="E597" s="326"/>
      <c r="F597" s="326"/>
      <c r="G597" s="326"/>
      <c r="H597" s="326"/>
      <c r="I597" s="326"/>
      <c r="J597" s="326"/>
      <c r="K597" s="326"/>
      <c r="L597" s="326"/>
      <c r="M597" s="326"/>
      <c r="N597" s="326"/>
      <c r="O597" s="326"/>
      <c r="P597" s="326"/>
      <c r="Q597" s="326"/>
      <c r="R597" s="326"/>
      <c r="S597" s="326"/>
      <c r="T597" s="326"/>
      <c r="U597" s="326"/>
      <c r="V597" s="326"/>
      <c r="W597" s="326"/>
      <c r="X597" s="326"/>
      <c r="Y597" s="326"/>
      <c r="Z597" s="326"/>
      <c r="AA597" s="326"/>
      <c r="AB597" s="326"/>
      <c r="AC597" s="326"/>
      <c r="AD597" s="326"/>
    </row>
    <row r="598">
      <c r="A598" s="326"/>
      <c r="B598" s="326"/>
      <c r="C598" s="326"/>
      <c r="D598" s="326"/>
      <c r="E598" s="326"/>
      <c r="F598" s="326"/>
      <c r="G598" s="326"/>
      <c r="H598" s="326"/>
      <c r="I598" s="326"/>
      <c r="J598" s="326"/>
      <c r="K598" s="326"/>
      <c r="L598" s="326"/>
      <c r="M598" s="326"/>
      <c r="N598" s="326"/>
      <c r="O598" s="326"/>
      <c r="P598" s="326"/>
      <c r="Q598" s="326"/>
      <c r="R598" s="326"/>
      <c r="S598" s="326"/>
      <c r="T598" s="326"/>
      <c r="U598" s="326"/>
      <c r="V598" s="326"/>
      <c r="W598" s="326"/>
      <c r="X598" s="326"/>
      <c r="Y598" s="326"/>
      <c r="Z598" s="326"/>
      <c r="AA598" s="326"/>
      <c r="AB598" s="326"/>
      <c r="AC598" s="326"/>
      <c r="AD598" s="326"/>
    </row>
    <row r="599">
      <c r="A599" s="326"/>
      <c r="B599" s="326"/>
      <c r="C599" s="326"/>
      <c r="D599" s="326"/>
      <c r="E599" s="326"/>
      <c r="F599" s="326"/>
      <c r="G599" s="326"/>
      <c r="H599" s="326"/>
      <c r="I599" s="326"/>
      <c r="J599" s="326"/>
      <c r="K599" s="326"/>
      <c r="L599" s="326"/>
      <c r="M599" s="326"/>
      <c r="N599" s="326"/>
      <c r="O599" s="326"/>
      <c r="P599" s="326"/>
      <c r="Q599" s="326"/>
      <c r="R599" s="326"/>
      <c r="S599" s="326"/>
      <c r="T599" s="326"/>
      <c r="U599" s="326"/>
      <c r="V599" s="326"/>
      <c r="W599" s="326"/>
      <c r="X599" s="326"/>
      <c r="Y599" s="326"/>
      <c r="Z599" s="326"/>
      <c r="AA599" s="326"/>
      <c r="AB599" s="326"/>
      <c r="AC599" s="326"/>
      <c r="AD599" s="326"/>
    </row>
    <row r="600">
      <c r="A600" s="326"/>
      <c r="B600" s="326"/>
      <c r="C600" s="326"/>
      <c r="D600" s="326"/>
      <c r="E600" s="326"/>
      <c r="F600" s="326"/>
      <c r="G600" s="326"/>
      <c r="H600" s="326"/>
      <c r="I600" s="326"/>
      <c r="J600" s="326"/>
      <c r="K600" s="326"/>
      <c r="L600" s="326"/>
      <c r="M600" s="326"/>
      <c r="N600" s="326"/>
      <c r="O600" s="326"/>
      <c r="P600" s="326"/>
      <c r="Q600" s="326"/>
      <c r="R600" s="326"/>
      <c r="S600" s="326"/>
      <c r="T600" s="326"/>
      <c r="U600" s="326"/>
      <c r="V600" s="326"/>
      <c r="W600" s="326"/>
      <c r="X600" s="326"/>
      <c r="Y600" s="326"/>
      <c r="Z600" s="326"/>
      <c r="AA600" s="326"/>
      <c r="AB600" s="326"/>
      <c r="AC600" s="326"/>
      <c r="AD600" s="326"/>
    </row>
    <row r="601">
      <c r="A601" s="326"/>
      <c r="B601" s="326"/>
      <c r="C601" s="326"/>
      <c r="D601" s="326"/>
      <c r="E601" s="326"/>
      <c r="F601" s="326"/>
      <c r="G601" s="326"/>
      <c r="H601" s="326"/>
      <c r="I601" s="326"/>
      <c r="J601" s="326"/>
      <c r="K601" s="326"/>
      <c r="L601" s="326"/>
      <c r="M601" s="326"/>
      <c r="N601" s="326"/>
      <c r="O601" s="326"/>
      <c r="P601" s="326"/>
      <c r="Q601" s="326"/>
      <c r="R601" s="326"/>
      <c r="S601" s="326"/>
      <c r="T601" s="326"/>
      <c r="U601" s="326"/>
      <c r="V601" s="326"/>
      <c r="W601" s="326"/>
      <c r="X601" s="326"/>
      <c r="Y601" s="326"/>
      <c r="Z601" s="326"/>
      <c r="AA601" s="326"/>
      <c r="AB601" s="326"/>
      <c r="AC601" s="326"/>
      <c r="AD601" s="326"/>
    </row>
    <row r="602">
      <c r="A602" s="326"/>
      <c r="B602" s="326"/>
      <c r="C602" s="326"/>
      <c r="D602" s="326"/>
      <c r="E602" s="326"/>
      <c r="F602" s="326"/>
      <c r="G602" s="326"/>
      <c r="H602" s="326"/>
      <c r="I602" s="326"/>
      <c r="J602" s="326"/>
      <c r="K602" s="326"/>
      <c r="L602" s="326"/>
      <c r="M602" s="326"/>
      <c r="N602" s="326"/>
      <c r="O602" s="326"/>
      <c r="P602" s="326"/>
      <c r="Q602" s="326"/>
      <c r="R602" s="326"/>
      <c r="S602" s="326"/>
      <c r="T602" s="326"/>
      <c r="U602" s="326"/>
      <c r="V602" s="326"/>
      <c r="W602" s="326"/>
      <c r="X602" s="326"/>
      <c r="Y602" s="326"/>
      <c r="Z602" s="326"/>
      <c r="AA602" s="326"/>
      <c r="AB602" s="326"/>
      <c r="AC602" s="326"/>
      <c r="AD602" s="326"/>
    </row>
    <row r="603">
      <c r="A603" s="326"/>
      <c r="B603" s="326"/>
      <c r="C603" s="326"/>
      <c r="D603" s="326"/>
      <c r="E603" s="326"/>
      <c r="F603" s="326"/>
      <c r="G603" s="326"/>
      <c r="H603" s="326"/>
      <c r="I603" s="326"/>
      <c r="J603" s="326"/>
      <c r="K603" s="326"/>
      <c r="L603" s="326"/>
      <c r="M603" s="326"/>
      <c r="N603" s="326"/>
      <c r="O603" s="326"/>
      <c r="P603" s="326"/>
      <c r="Q603" s="326"/>
      <c r="R603" s="326"/>
      <c r="S603" s="326"/>
      <c r="T603" s="326"/>
      <c r="U603" s="326"/>
      <c r="V603" s="326"/>
      <c r="W603" s="326"/>
      <c r="X603" s="326"/>
      <c r="Y603" s="326"/>
      <c r="Z603" s="326"/>
      <c r="AA603" s="326"/>
      <c r="AB603" s="326"/>
      <c r="AC603" s="326"/>
      <c r="AD603" s="326"/>
    </row>
    <row r="604">
      <c r="A604" s="326"/>
      <c r="B604" s="326"/>
      <c r="C604" s="326"/>
      <c r="D604" s="326"/>
      <c r="E604" s="326"/>
      <c r="F604" s="326"/>
      <c r="G604" s="326"/>
      <c r="H604" s="326"/>
      <c r="I604" s="326"/>
      <c r="J604" s="326"/>
      <c r="K604" s="326"/>
      <c r="L604" s="326"/>
      <c r="M604" s="326"/>
      <c r="N604" s="326"/>
      <c r="O604" s="326"/>
      <c r="P604" s="326"/>
      <c r="Q604" s="326"/>
      <c r="R604" s="326"/>
      <c r="S604" s="326"/>
      <c r="T604" s="326"/>
      <c r="U604" s="326"/>
      <c r="V604" s="326"/>
      <c r="W604" s="326"/>
      <c r="X604" s="326"/>
      <c r="Y604" s="326"/>
      <c r="Z604" s="326"/>
      <c r="AA604" s="326"/>
      <c r="AB604" s="326"/>
      <c r="AC604" s="326"/>
      <c r="AD604" s="326"/>
    </row>
    <row r="605">
      <c r="A605" s="326"/>
      <c r="B605" s="326"/>
      <c r="C605" s="326"/>
      <c r="D605" s="326"/>
      <c r="E605" s="326"/>
      <c r="F605" s="326"/>
      <c r="G605" s="326"/>
      <c r="H605" s="326"/>
      <c r="I605" s="326"/>
      <c r="J605" s="326"/>
      <c r="K605" s="326"/>
      <c r="L605" s="326"/>
      <c r="M605" s="326"/>
      <c r="N605" s="326"/>
      <c r="O605" s="326"/>
      <c r="P605" s="326"/>
      <c r="Q605" s="326"/>
      <c r="R605" s="326"/>
      <c r="S605" s="326"/>
      <c r="T605" s="326"/>
      <c r="U605" s="326"/>
      <c r="V605" s="326"/>
      <c r="W605" s="326"/>
      <c r="X605" s="326"/>
      <c r="Y605" s="326"/>
      <c r="Z605" s="326"/>
      <c r="AA605" s="326"/>
      <c r="AB605" s="326"/>
      <c r="AC605" s="326"/>
      <c r="AD605" s="326"/>
    </row>
    <row r="606">
      <c r="A606" s="326"/>
      <c r="B606" s="326"/>
      <c r="C606" s="326"/>
      <c r="D606" s="326"/>
      <c r="E606" s="326"/>
      <c r="F606" s="326"/>
      <c r="G606" s="326"/>
      <c r="H606" s="326"/>
      <c r="I606" s="326"/>
      <c r="J606" s="326"/>
      <c r="K606" s="326"/>
      <c r="L606" s="326"/>
      <c r="M606" s="326"/>
      <c r="N606" s="326"/>
      <c r="O606" s="326"/>
      <c r="P606" s="326"/>
      <c r="Q606" s="326"/>
      <c r="R606" s="326"/>
      <c r="S606" s="326"/>
      <c r="T606" s="326"/>
      <c r="U606" s="326"/>
      <c r="V606" s="326"/>
      <c r="W606" s="326"/>
      <c r="X606" s="326"/>
      <c r="Y606" s="326"/>
      <c r="Z606" s="326"/>
      <c r="AA606" s="326"/>
      <c r="AB606" s="326"/>
      <c r="AC606" s="326"/>
      <c r="AD606" s="326"/>
    </row>
    <row r="607">
      <c r="A607" s="326"/>
      <c r="B607" s="326"/>
      <c r="C607" s="326"/>
      <c r="D607" s="326"/>
      <c r="E607" s="326"/>
      <c r="F607" s="326"/>
      <c r="G607" s="326"/>
      <c r="H607" s="326"/>
      <c r="I607" s="326"/>
      <c r="J607" s="326"/>
      <c r="K607" s="326"/>
      <c r="L607" s="326"/>
      <c r="M607" s="326"/>
      <c r="N607" s="326"/>
      <c r="O607" s="326"/>
      <c r="P607" s="326"/>
      <c r="Q607" s="326"/>
      <c r="R607" s="326"/>
      <c r="S607" s="326"/>
      <c r="T607" s="326"/>
      <c r="U607" s="326"/>
      <c r="V607" s="326"/>
      <c r="W607" s="326"/>
      <c r="X607" s="326"/>
      <c r="Y607" s="326"/>
      <c r="Z607" s="326"/>
      <c r="AA607" s="326"/>
      <c r="AB607" s="326"/>
      <c r="AC607" s="326"/>
      <c r="AD607" s="326"/>
    </row>
    <row r="608">
      <c r="A608" s="326"/>
      <c r="B608" s="326"/>
      <c r="C608" s="326"/>
      <c r="D608" s="326"/>
      <c r="E608" s="326"/>
      <c r="F608" s="326"/>
      <c r="G608" s="326"/>
      <c r="H608" s="326"/>
      <c r="I608" s="326"/>
      <c r="J608" s="326"/>
      <c r="K608" s="326"/>
      <c r="L608" s="326"/>
      <c r="M608" s="326"/>
      <c r="N608" s="326"/>
      <c r="O608" s="326"/>
      <c r="P608" s="326"/>
      <c r="Q608" s="326"/>
      <c r="R608" s="326"/>
      <c r="S608" s="326"/>
      <c r="T608" s="326"/>
      <c r="U608" s="326"/>
      <c r="V608" s="326"/>
      <c r="W608" s="326"/>
      <c r="X608" s="326"/>
      <c r="Y608" s="326"/>
      <c r="Z608" s="326"/>
      <c r="AA608" s="326"/>
      <c r="AB608" s="326"/>
      <c r="AC608" s="326"/>
      <c r="AD608" s="326"/>
    </row>
    <row r="609">
      <c r="A609" s="326"/>
      <c r="B609" s="326"/>
      <c r="C609" s="326"/>
      <c r="D609" s="326"/>
      <c r="E609" s="326"/>
      <c r="F609" s="326"/>
      <c r="G609" s="326"/>
      <c r="H609" s="326"/>
      <c r="I609" s="326"/>
      <c r="J609" s="326"/>
      <c r="K609" s="326"/>
      <c r="L609" s="326"/>
      <c r="M609" s="326"/>
      <c r="N609" s="326"/>
      <c r="O609" s="326"/>
      <c r="P609" s="326"/>
      <c r="Q609" s="326"/>
      <c r="R609" s="326"/>
      <c r="S609" s="326"/>
      <c r="T609" s="326"/>
      <c r="U609" s="326"/>
      <c r="V609" s="326"/>
      <c r="W609" s="326"/>
      <c r="X609" s="326"/>
      <c r="Y609" s="326"/>
      <c r="Z609" s="326"/>
      <c r="AA609" s="326"/>
      <c r="AB609" s="326"/>
      <c r="AC609" s="326"/>
      <c r="AD609" s="326"/>
    </row>
    <row r="610">
      <c r="A610" s="326"/>
      <c r="B610" s="326"/>
      <c r="C610" s="326"/>
      <c r="D610" s="326"/>
      <c r="E610" s="326"/>
      <c r="F610" s="326"/>
      <c r="G610" s="326"/>
      <c r="H610" s="326"/>
      <c r="I610" s="326"/>
      <c r="J610" s="326"/>
      <c r="K610" s="326"/>
      <c r="L610" s="326"/>
      <c r="M610" s="326"/>
      <c r="N610" s="326"/>
      <c r="O610" s="326"/>
      <c r="P610" s="326"/>
      <c r="Q610" s="326"/>
      <c r="R610" s="326"/>
      <c r="S610" s="326"/>
      <c r="T610" s="326"/>
      <c r="U610" s="326"/>
      <c r="V610" s="326"/>
      <c r="W610" s="326"/>
      <c r="X610" s="326"/>
      <c r="Y610" s="326"/>
      <c r="Z610" s="326"/>
      <c r="AA610" s="326"/>
      <c r="AB610" s="326"/>
      <c r="AC610" s="326"/>
      <c r="AD610" s="326"/>
    </row>
    <row r="611">
      <c r="A611" s="326"/>
      <c r="B611" s="326"/>
      <c r="C611" s="326"/>
      <c r="D611" s="326"/>
      <c r="E611" s="326"/>
      <c r="F611" s="326"/>
      <c r="G611" s="326"/>
      <c r="H611" s="326"/>
      <c r="I611" s="326"/>
      <c r="J611" s="326"/>
      <c r="K611" s="326"/>
      <c r="L611" s="326"/>
      <c r="M611" s="326"/>
      <c r="N611" s="326"/>
      <c r="O611" s="326"/>
      <c r="P611" s="326"/>
      <c r="Q611" s="326"/>
      <c r="R611" s="326"/>
      <c r="S611" s="326"/>
      <c r="T611" s="326"/>
      <c r="U611" s="326"/>
      <c r="V611" s="326"/>
      <c r="W611" s="326"/>
      <c r="X611" s="326"/>
      <c r="Y611" s="326"/>
      <c r="Z611" s="326"/>
      <c r="AA611" s="326"/>
      <c r="AB611" s="326"/>
      <c r="AC611" s="326"/>
      <c r="AD611" s="326"/>
    </row>
    <row r="612">
      <c r="A612" s="326"/>
      <c r="B612" s="326"/>
      <c r="C612" s="326"/>
      <c r="D612" s="326"/>
      <c r="E612" s="326"/>
      <c r="F612" s="326"/>
      <c r="G612" s="326"/>
      <c r="H612" s="326"/>
      <c r="I612" s="326"/>
      <c r="J612" s="326"/>
      <c r="K612" s="326"/>
      <c r="L612" s="326"/>
      <c r="M612" s="326"/>
      <c r="N612" s="326"/>
      <c r="O612" s="326"/>
      <c r="P612" s="326"/>
      <c r="Q612" s="326"/>
      <c r="R612" s="326"/>
      <c r="S612" s="326"/>
      <c r="T612" s="326"/>
      <c r="U612" s="326"/>
      <c r="V612" s="326"/>
      <c r="W612" s="326"/>
      <c r="X612" s="326"/>
      <c r="Y612" s="326"/>
      <c r="Z612" s="326"/>
      <c r="AA612" s="326"/>
      <c r="AB612" s="326"/>
      <c r="AC612" s="326"/>
      <c r="AD612" s="326"/>
    </row>
    <row r="613">
      <c r="A613" s="326"/>
      <c r="B613" s="326"/>
      <c r="C613" s="326"/>
      <c r="D613" s="326"/>
      <c r="E613" s="326"/>
      <c r="F613" s="326"/>
      <c r="G613" s="326"/>
      <c r="H613" s="326"/>
      <c r="I613" s="326"/>
      <c r="J613" s="326"/>
      <c r="K613" s="326"/>
      <c r="L613" s="326"/>
      <c r="M613" s="326"/>
      <c r="N613" s="326"/>
      <c r="O613" s="326"/>
      <c r="P613" s="326"/>
      <c r="Q613" s="326"/>
      <c r="R613" s="326"/>
      <c r="S613" s="326"/>
      <c r="T613" s="326"/>
      <c r="U613" s="326"/>
      <c r="V613" s="326"/>
      <c r="W613" s="326"/>
      <c r="X613" s="326"/>
      <c r="Y613" s="326"/>
      <c r="Z613" s="326"/>
      <c r="AA613" s="326"/>
      <c r="AB613" s="326"/>
      <c r="AC613" s="326"/>
      <c r="AD613" s="326"/>
    </row>
    <row r="614">
      <c r="A614" s="326"/>
      <c r="B614" s="326"/>
      <c r="C614" s="326"/>
      <c r="D614" s="326"/>
      <c r="E614" s="326"/>
      <c r="F614" s="326"/>
      <c r="G614" s="326"/>
      <c r="H614" s="326"/>
      <c r="I614" s="326"/>
      <c r="J614" s="326"/>
      <c r="K614" s="326"/>
      <c r="L614" s="326"/>
      <c r="M614" s="326"/>
      <c r="N614" s="326"/>
      <c r="O614" s="326"/>
      <c r="P614" s="326"/>
      <c r="Q614" s="326"/>
      <c r="R614" s="326"/>
      <c r="S614" s="326"/>
      <c r="T614" s="326"/>
      <c r="U614" s="326"/>
      <c r="V614" s="326"/>
      <c r="W614" s="326"/>
      <c r="X614" s="326"/>
      <c r="Y614" s="326"/>
      <c r="Z614" s="326"/>
      <c r="AA614" s="326"/>
      <c r="AB614" s="326"/>
      <c r="AC614" s="326"/>
      <c r="AD614" s="326"/>
    </row>
    <row r="615">
      <c r="A615" s="326"/>
      <c r="B615" s="326"/>
      <c r="C615" s="326"/>
      <c r="D615" s="326"/>
      <c r="E615" s="326"/>
      <c r="F615" s="326"/>
      <c r="G615" s="326"/>
      <c r="H615" s="326"/>
      <c r="I615" s="326"/>
      <c r="J615" s="326"/>
      <c r="K615" s="326"/>
      <c r="L615" s="326"/>
      <c r="M615" s="326"/>
      <c r="N615" s="326"/>
      <c r="O615" s="326"/>
      <c r="P615" s="326"/>
      <c r="Q615" s="326"/>
      <c r="R615" s="326"/>
      <c r="S615" s="326"/>
      <c r="T615" s="326"/>
      <c r="U615" s="326"/>
      <c r="V615" s="326"/>
      <c r="W615" s="326"/>
      <c r="X615" s="326"/>
      <c r="Y615" s="326"/>
      <c r="Z615" s="326"/>
      <c r="AA615" s="326"/>
      <c r="AB615" s="326"/>
      <c r="AC615" s="326"/>
      <c r="AD615" s="326"/>
    </row>
    <row r="616">
      <c r="A616" s="326"/>
      <c r="B616" s="326"/>
      <c r="C616" s="326"/>
      <c r="D616" s="326"/>
      <c r="E616" s="326"/>
      <c r="F616" s="326"/>
      <c r="G616" s="326"/>
      <c r="H616" s="326"/>
      <c r="I616" s="326"/>
      <c r="J616" s="326"/>
      <c r="K616" s="326"/>
      <c r="L616" s="326"/>
      <c r="M616" s="326"/>
      <c r="N616" s="326"/>
      <c r="O616" s="326"/>
      <c r="P616" s="326"/>
      <c r="Q616" s="326"/>
      <c r="R616" s="326"/>
      <c r="S616" s="326"/>
      <c r="T616" s="326"/>
      <c r="U616" s="326"/>
      <c r="V616" s="326"/>
      <c r="W616" s="326"/>
      <c r="X616" s="326"/>
      <c r="Y616" s="326"/>
      <c r="Z616" s="326"/>
      <c r="AA616" s="326"/>
      <c r="AB616" s="326"/>
      <c r="AC616" s="326"/>
      <c r="AD616" s="326"/>
    </row>
    <row r="617">
      <c r="A617" s="326"/>
      <c r="B617" s="326"/>
      <c r="C617" s="326"/>
      <c r="D617" s="326"/>
      <c r="E617" s="326"/>
      <c r="F617" s="326"/>
      <c r="G617" s="326"/>
      <c r="H617" s="326"/>
      <c r="I617" s="326"/>
      <c r="J617" s="326"/>
      <c r="K617" s="326"/>
      <c r="L617" s="326"/>
      <c r="M617" s="326"/>
      <c r="N617" s="326"/>
      <c r="O617" s="326"/>
      <c r="P617" s="326"/>
      <c r="Q617" s="326"/>
      <c r="R617" s="326"/>
      <c r="S617" s="326"/>
      <c r="T617" s="326"/>
      <c r="U617" s="326"/>
      <c r="V617" s="326"/>
      <c r="W617" s="326"/>
      <c r="X617" s="326"/>
      <c r="Y617" s="326"/>
      <c r="Z617" s="326"/>
      <c r="AA617" s="326"/>
      <c r="AB617" s="326"/>
      <c r="AC617" s="326"/>
      <c r="AD617" s="326"/>
    </row>
    <row r="618">
      <c r="A618" s="326"/>
      <c r="B618" s="326"/>
      <c r="C618" s="326"/>
      <c r="D618" s="326"/>
      <c r="E618" s="326"/>
      <c r="F618" s="326"/>
      <c r="G618" s="326"/>
      <c r="H618" s="326"/>
      <c r="I618" s="326"/>
      <c r="J618" s="326"/>
      <c r="K618" s="326"/>
      <c r="L618" s="326"/>
      <c r="M618" s="326"/>
      <c r="N618" s="326"/>
      <c r="O618" s="326"/>
      <c r="P618" s="326"/>
      <c r="Q618" s="326"/>
      <c r="R618" s="326"/>
      <c r="S618" s="326"/>
      <c r="T618" s="326"/>
      <c r="U618" s="326"/>
      <c r="V618" s="326"/>
      <c r="W618" s="326"/>
      <c r="X618" s="326"/>
      <c r="Y618" s="326"/>
      <c r="Z618" s="326"/>
      <c r="AA618" s="326"/>
      <c r="AB618" s="326"/>
      <c r="AC618" s="326"/>
      <c r="AD618" s="326"/>
    </row>
    <row r="619">
      <c r="A619" s="326"/>
      <c r="B619" s="326"/>
      <c r="C619" s="326"/>
      <c r="D619" s="326"/>
      <c r="E619" s="326"/>
      <c r="F619" s="326"/>
      <c r="G619" s="326"/>
      <c r="H619" s="326"/>
      <c r="I619" s="326"/>
      <c r="J619" s="326"/>
      <c r="K619" s="326"/>
      <c r="L619" s="326"/>
      <c r="M619" s="326"/>
      <c r="N619" s="326"/>
      <c r="O619" s="326"/>
      <c r="P619" s="326"/>
      <c r="Q619" s="326"/>
      <c r="R619" s="326"/>
      <c r="S619" s="326"/>
      <c r="T619" s="326"/>
      <c r="U619" s="326"/>
      <c r="V619" s="326"/>
      <c r="W619" s="326"/>
      <c r="X619" s="326"/>
      <c r="Y619" s="326"/>
      <c r="Z619" s="326"/>
      <c r="AA619" s="326"/>
      <c r="AB619" s="326"/>
      <c r="AC619" s="326"/>
      <c r="AD619" s="326"/>
    </row>
    <row r="620">
      <c r="A620" s="326"/>
      <c r="B620" s="326"/>
      <c r="C620" s="326"/>
      <c r="D620" s="326"/>
      <c r="E620" s="326"/>
      <c r="F620" s="326"/>
      <c r="G620" s="326"/>
      <c r="H620" s="326"/>
      <c r="I620" s="326"/>
      <c r="J620" s="326"/>
      <c r="K620" s="326"/>
      <c r="L620" s="326"/>
      <c r="M620" s="326"/>
      <c r="N620" s="326"/>
      <c r="O620" s="326"/>
      <c r="P620" s="326"/>
      <c r="Q620" s="326"/>
      <c r="R620" s="326"/>
      <c r="S620" s="326"/>
      <c r="T620" s="326"/>
      <c r="U620" s="326"/>
      <c r="V620" s="326"/>
      <c r="W620" s="326"/>
      <c r="X620" s="326"/>
      <c r="Y620" s="326"/>
      <c r="Z620" s="326"/>
      <c r="AA620" s="326"/>
      <c r="AB620" s="326"/>
      <c r="AC620" s="326"/>
      <c r="AD620" s="326"/>
    </row>
    <row r="621">
      <c r="A621" s="326"/>
      <c r="B621" s="326"/>
      <c r="C621" s="326"/>
      <c r="D621" s="326"/>
      <c r="E621" s="326"/>
      <c r="F621" s="326"/>
      <c r="G621" s="326"/>
      <c r="H621" s="326"/>
      <c r="I621" s="326"/>
      <c r="J621" s="326"/>
      <c r="K621" s="326"/>
      <c r="L621" s="326"/>
      <c r="M621" s="326"/>
      <c r="N621" s="326"/>
      <c r="O621" s="326"/>
      <c r="P621" s="326"/>
      <c r="Q621" s="326"/>
      <c r="R621" s="326"/>
      <c r="S621" s="326"/>
      <c r="T621" s="326"/>
      <c r="U621" s="326"/>
      <c r="V621" s="326"/>
      <c r="W621" s="326"/>
      <c r="X621" s="326"/>
      <c r="Y621" s="326"/>
      <c r="Z621" s="326"/>
      <c r="AA621" s="326"/>
      <c r="AB621" s="326"/>
      <c r="AC621" s="326"/>
      <c r="AD621" s="326"/>
    </row>
    <row r="622">
      <c r="A622" s="326"/>
      <c r="B622" s="326"/>
      <c r="C622" s="326"/>
      <c r="D622" s="326"/>
      <c r="E622" s="326"/>
      <c r="F622" s="326"/>
      <c r="G622" s="326"/>
      <c r="H622" s="326"/>
      <c r="I622" s="326"/>
      <c r="J622" s="326"/>
      <c r="K622" s="326"/>
      <c r="L622" s="326"/>
      <c r="M622" s="326"/>
      <c r="N622" s="326"/>
      <c r="O622" s="326"/>
      <c r="P622" s="326"/>
      <c r="Q622" s="326"/>
      <c r="R622" s="326"/>
      <c r="S622" s="326"/>
      <c r="T622" s="326"/>
      <c r="U622" s="326"/>
      <c r="V622" s="326"/>
      <c r="W622" s="326"/>
      <c r="X622" s="326"/>
      <c r="Y622" s="326"/>
      <c r="Z622" s="326"/>
      <c r="AA622" s="326"/>
      <c r="AB622" s="326"/>
      <c r="AC622" s="326"/>
      <c r="AD622" s="326"/>
    </row>
    <row r="623">
      <c r="A623" s="326"/>
      <c r="B623" s="326"/>
      <c r="C623" s="326"/>
      <c r="D623" s="326"/>
      <c r="E623" s="326"/>
      <c r="F623" s="326"/>
      <c r="G623" s="326"/>
      <c r="H623" s="326"/>
      <c r="I623" s="326"/>
      <c r="J623" s="326"/>
      <c r="K623" s="326"/>
      <c r="L623" s="326"/>
      <c r="M623" s="326"/>
      <c r="N623" s="326"/>
      <c r="O623" s="326"/>
      <c r="P623" s="326"/>
      <c r="Q623" s="326"/>
      <c r="R623" s="326"/>
      <c r="S623" s="326"/>
      <c r="T623" s="326"/>
      <c r="U623" s="326"/>
      <c r="V623" s="326"/>
      <c r="W623" s="326"/>
      <c r="X623" s="326"/>
      <c r="Y623" s="326"/>
      <c r="Z623" s="326"/>
      <c r="AA623" s="326"/>
      <c r="AB623" s="326"/>
      <c r="AC623" s="326"/>
      <c r="AD623" s="326"/>
    </row>
    <row r="624">
      <c r="A624" s="326"/>
      <c r="B624" s="326"/>
      <c r="C624" s="326"/>
      <c r="D624" s="326"/>
      <c r="E624" s="326"/>
      <c r="F624" s="326"/>
      <c r="G624" s="326"/>
      <c r="H624" s="326"/>
      <c r="I624" s="326"/>
      <c r="J624" s="326"/>
      <c r="K624" s="326"/>
      <c r="L624" s="326"/>
      <c r="M624" s="326"/>
      <c r="N624" s="326"/>
      <c r="O624" s="326"/>
      <c r="P624" s="326"/>
      <c r="Q624" s="326"/>
      <c r="R624" s="326"/>
      <c r="S624" s="326"/>
      <c r="T624" s="326"/>
      <c r="U624" s="326"/>
      <c r="V624" s="326"/>
      <c r="W624" s="326"/>
      <c r="X624" s="326"/>
      <c r="Y624" s="326"/>
      <c r="Z624" s="326"/>
      <c r="AA624" s="326"/>
      <c r="AB624" s="326"/>
      <c r="AC624" s="326"/>
      <c r="AD624" s="326"/>
    </row>
    <row r="625">
      <c r="A625" s="326"/>
      <c r="B625" s="326"/>
      <c r="C625" s="326"/>
      <c r="D625" s="326"/>
      <c r="E625" s="326"/>
      <c r="F625" s="326"/>
      <c r="G625" s="326"/>
      <c r="H625" s="326"/>
      <c r="I625" s="326"/>
      <c r="J625" s="326"/>
      <c r="K625" s="326"/>
      <c r="L625" s="326"/>
      <c r="M625" s="326"/>
      <c r="N625" s="326"/>
      <c r="O625" s="326"/>
      <c r="P625" s="326"/>
      <c r="Q625" s="326"/>
      <c r="R625" s="326"/>
      <c r="S625" s="326"/>
      <c r="T625" s="326"/>
      <c r="U625" s="326"/>
      <c r="V625" s="326"/>
      <c r="W625" s="326"/>
      <c r="X625" s="326"/>
      <c r="Y625" s="326"/>
      <c r="Z625" s="326"/>
      <c r="AA625" s="326"/>
      <c r="AB625" s="326"/>
      <c r="AC625" s="326"/>
      <c r="AD625" s="326"/>
    </row>
    <row r="626">
      <c r="A626" s="326"/>
      <c r="B626" s="326"/>
      <c r="C626" s="326"/>
      <c r="D626" s="326"/>
      <c r="E626" s="326"/>
      <c r="F626" s="326"/>
      <c r="G626" s="326"/>
      <c r="H626" s="326"/>
      <c r="I626" s="326"/>
      <c r="J626" s="326"/>
      <c r="K626" s="326"/>
      <c r="L626" s="326"/>
      <c r="M626" s="326"/>
      <c r="N626" s="326"/>
      <c r="O626" s="326"/>
      <c r="P626" s="326"/>
      <c r="Q626" s="326"/>
      <c r="R626" s="326"/>
      <c r="S626" s="326"/>
      <c r="T626" s="326"/>
      <c r="U626" s="326"/>
      <c r="V626" s="326"/>
      <c r="W626" s="326"/>
      <c r="X626" s="326"/>
      <c r="Y626" s="326"/>
      <c r="Z626" s="326"/>
      <c r="AA626" s="326"/>
      <c r="AB626" s="326"/>
      <c r="AC626" s="326"/>
      <c r="AD626" s="326"/>
    </row>
    <row r="627">
      <c r="A627" s="326"/>
      <c r="B627" s="326"/>
      <c r="C627" s="326"/>
      <c r="D627" s="326"/>
      <c r="E627" s="326"/>
      <c r="F627" s="326"/>
      <c r="G627" s="326"/>
      <c r="H627" s="326"/>
      <c r="I627" s="326"/>
      <c r="J627" s="326"/>
      <c r="K627" s="326"/>
      <c r="L627" s="326"/>
      <c r="M627" s="326"/>
      <c r="N627" s="326"/>
      <c r="O627" s="326"/>
      <c r="P627" s="326"/>
      <c r="Q627" s="326"/>
      <c r="R627" s="326"/>
      <c r="S627" s="326"/>
      <c r="T627" s="326"/>
      <c r="U627" s="326"/>
      <c r="V627" s="326"/>
      <c r="W627" s="326"/>
      <c r="X627" s="326"/>
      <c r="Y627" s="326"/>
      <c r="Z627" s="326"/>
      <c r="AA627" s="326"/>
      <c r="AB627" s="326"/>
      <c r="AC627" s="326"/>
      <c r="AD627" s="326"/>
    </row>
    <row r="628">
      <c r="A628" s="326"/>
      <c r="B628" s="326"/>
      <c r="C628" s="326"/>
      <c r="D628" s="326"/>
      <c r="E628" s="326"/>
      <c r="F628" s="326"/>
      <c r="G628" s="326"/>
      <c r="H628" s="326"/>
      <c r="I628" s="326"/>
      <c r="J628" s="326"/>
      <c r="K628" s="326"/>
      <c r="L628" s="326"/>
      <c r="M628" s="326"/>
      <c r="N628" s="326"/>
      <c r="O628" s="326"/>
      <c r="P628" s="326"/>
      <c r="Q628" s="326"/>
      <c r="R628" s="326"/>
      <c r="S628" s="326"/>
      <c r="T628" s="326"/>
      <c r="U628" s="326"/>
      <c r="V628" s="326"/>
      <c r="W628" s="326"/>
      <c r="X628" s="326"/>
      <c r="Y628" s="326"/>
      <c r="Z628" s="326"/>
      <c r="AA628" s="326"/>
      <c r="AB628" s="326"/>
      <c r="AC628" s="326"/>
      <c r="AD628" s="326"/>
    </row>
    <row r="629">
      <c r="A629" s="326"/>
      <c r="B629" s="326"/>
      <c r="C629" s="326"/>
      <c r="D629" s="326"/>
      <c r="E629" s="326"/>
      <c r="F629" s="326"/>
      <c r="G629" s="326"/>
      <c r="H629" s="326"/>
      <c r="I629" s="326"/>
      <c r="J629" s="326"/>
      <c r="K629" s="326"/>
      <c r="L629" s="326"/>
      <c r="M629" s="326"/>
      <c r="N629" s="326"/>
      <c r="O629" s="326"/>
      <c r="P629" s="326"/>
      <c r="Q629" s="326"/>
      <c r="R629" s="326"/>
      <c r="S629" s="326"/>
      <c r="T629" s="326"/>
      <c r="U629" s="326"/>
      <c r="V629" s="326"/>
      <c r="W629" s="326"/>
      <c r="X629" s="326"/>
      <c r="Y629" s="326"/>
      <c r="Z629" s="326"/>
      <c r="AA629" s="326"/>
      <c r="AB629" s="326"/>
      <c r="AC629" s="326"/>
      <c r="AD629" s="326"/>
    </row>
    <row r="630">
      <c r="A630" s="326"/>
      <c r="B630" s="326"/>
      <c r="C630" s="326"/>
      <c r="D630" s="326"/>
      <c r="E630" s="326"/>
      <c r="F630" s="326"/>
      <c r="G630" s="326"/>
      <c r="H630" s="326"/>
      <c r="I630" s="326"/>
      <c r="J630" s="326"/>
      <c r="K630" s="326"/>
      <c r="L630" s="326"/>
      <c r="M630" s="326"/>
      <c r="N630" s="326"/>
      <c r="O630" s="326"/>
      <c r="P630" s="326"/>
      <c r="Q630" s="326"/>
      <c r="R630" s="326"/>
      <c r="S630" s="326"/>
      <c r="T630" s="326"/>
      <c r="U630" s="326"/>
      <c r="V630" s="326"/>
      <c r="W630" s="326"/>
      <c r="X630" s="326"/>
      <c r="Y630" s="326"/>
      <c r="Z630" s="326"/>
      <c r="AA630" s="326"/>
      <c r="AB630" s="326"/>
      <c r="AC630" s="326"/>
      <c r="AD630" s="326"/>
    </row>
    <row r="631">
      <c r="A631" s="326"/>
      <c r="B631" s="326"/>
      <c r="C631" s="326"/>
      <c r="D631" s="326"/>
      <c r="E631" s="326"/>
      <c r="F631" s="326"/>
      <c r="G631" s="326"/>
      <c r="H631" s="326"/>
      <c r="I631" s="326"/>
      <c r="J631" s="326"/>
      <c r="K631" s="326"/>
      <c r="L631" s="326"/>
      <c r="M631" s="326"/>
      <c r="N631" s="326"/>
      <c r="O631" s="326"/>
      <c r="P631" s="326"/>
      <c r="Q631" s="326"/>
      <c r="R631" s="326"/>
      <c r="S631" s="326"/>
      <c r="T631" s="326"/>
      <c r="U631" s="326"/>
      <c r="V631" s="326"/>
      <c r="W631" s="326"/>
      <c r="X631" s="326"/>
      <c r="Y631" s="326"/>
      <c r="Z631" s="326"/>
      <c r="AA631" s="326"/>
      <c r="AB631" s="326"/>
      <c r="AC631" s="326"/>
      <c r="AD631" s="326"/>
    </row>
    <row r="632">
      <c r="A632" s="326"/>
      <c r="B632" s="326"/>
      <c r="C632" s="326"/>
      <c r="D632" s="326"/>
      <c r="E632" s="326"/>
      <c r="F632" s="326"/>
      <c r="G632" s="326"/>
      <c r="H632" s="326"/>
      <c r="I632" s="326"/>
      <c r="J632" s="326"/>
      <c r="K632" s="326"/>
      <c r="L632" s="326"/>
      <c r="M632" s="326"/>
      <c r="N632" s="326"/>
      <c r="O632" s="326"/>
      <c r="P632" s="326"/>
      <c r="Q632" s="326"/>
      <c r="R632" s="326"/>
      <c r="S632" s="326"/>
      <c r="T632" s="326"/>
      <c r="U632" s="326"/>
      <c r="V632" s="326"/>
      <c r="W632" s="326"/>
      <c r="X632" s="326"/>
      <c r="Y632" s="326"/>
      <c r="Z632" s="326"/>
      <c r="AA632" s="326"/>
      <c r="AB632" s="326"/>
      <c r="AC632" s="326"/>
      <c r="AD632" s="326"/>
    </row>
    <row r="633">
      <c r="A633" s="326"/>
      <c r="B633" s="326"/>
      <c r="C633" s="326"/>
      <c r="D633" s="326"/>
      <c r="E633" s="326"/>
      <c r="F633" s="326"/>
      <c r="G633" s="326"/>
      <c r="H633" s="326"/>
      <c r="I633" s="326"/>
      <c r="J633" s="326"/>
      <c r="K633" s="326"/>
      <c r="L633" s="326"/>
      <c r="M633" s="326"/>
      <c r="N633" s="326"/>
      <c r="O633" s="326"/>
      <c r="P633" s="326"/>
      <c r="Q633" s="326"/>
      <c r="R633" s="326"/>
      <c r="S633" s="326"/>
      <c r="T633" s="326"/>
      <c r="U633" s="326"/>
      <c r="V633" s="326"/>
      <c r="W633" s="326"/>
      <c r="X633" s="326"/>
      <c r="Y633" s="326"/>
      <c r="Z633" s="326"/>
      <c r="AA633" s="326"/>
      <c r="AB633" s="326"/>
      <c r="AC633" s="326"/>
      <c r="AD633" s="326"/>
    </row>
    <row r="634">
      <c r="A634" s="326"/>
      <c r="B634" s="326"/>
      <c r="C634" s="326"/>
      <c r="D634" s="326"/>
      <c r="E634" s="326"/>
      <c r="F634" s="326"/>
      <c r="G634" s="326"/>
      <c r="H634" s="326"/>
      <c r="I634" s="326"/>
      <c r="J634" s="326"/>
      <c r="K634" s="326"/>
      <c r="L634" s="326"/>
      <c r="M634" s="326"/>
      <c r="N634" s="326"/>
      <c r="O634" s="326"/>
      <c r="P634" s="326"/>
      <c r="Q634" s="326"/>
      <c r="R634" s="326"/>
      <c r="S634" s="326"/>
      <c r="T634" s="326"/>
      <c r="U634" s="326"/>
      <c r="V634" s="326"/>
      <c r="W634" s="326"/>
      <c r="X634" s="326"/>
      <c r="Y634" s="326"/>
      <c r="Z634" s="326"/>
      <c r="AA634" s="326"/>
      <c r="AB634" s="326"/>
      <c r="AC634" s="326"/>
      <c r="AD634" s="326"/>
    </row>
    <row r="635">
      <c r="A635" s="326"/>
      <c r="B635" s="326"/>
      <c r="C635" s="326"/>
      <c r="D635" s="326"/>
      <c r="E635" s="326"/>
      <c r="F635" s="326"/>
      <c r="G635" s="326"/>
      <c r="H635" s="326"/>
      <c r="I635" s="326"/>
      <c r="J635" s="326"/>
      <c r="K635" s="326"/>
      <c r="L635" s="326"/>
      <c r="M635" s="326"/>
      <c r="N635" s="326"/>
      <c r="O635" s="326"/>
      <c r="P635" s="326"/>
      <c r="Q635" s="326"/>
      <c r="R635" s="326"/>
      <c r="S635" s="326"/>
      <c r="T635" s="326"/>
      <c r="U635" s="326"/>
      <c r="V635" s="326"/>
      <c r="W635" s="326"/>
      <c r="X635" s="326"/>
      <c r="Y635" s="326"/>
      <c r="Z635" s="326"/>
      <c r="AA635" s="326"/>
      <c r="AB635" s="326"/>
      <c r="AC635" s="326"/>
      <c r="AD635" s="326"/>
    </row>
    <row r="636">
      <c r="A636" s="326"/>
      <c r="B636" s="326"/>
      <c r="C636" s="326"/>
      <c r="D636" s="326"/>
      <c r="E636" s="326"/>
      <c r="F636" s="326"/>
      <c r="G636" s="326"/>
      <c r="H636" s="326"/>
      <c r="I636" s="326"/>
      <c r="J636" s="326"/>
      <c r="K636" s="326"/>
      <c r="L636" s="326"/>
      <c r="M636" s="326"/>
      <c r="N636" s="326"/>
      <c r="O636" s="326"/>
      <c r="P636" s="326"/>
      <c r="Q636" s="326"/>
      <c r="R636" s="326"/>
      <c r="S636" s="326"/>
      <c r="T636" s="326"/>
      <c r="U636" s="326"/>
      <c r="V636" s="326"/>
      <c r="W636" s="326"/>
      <c r="X636" s="326"/>
      <c r="Y636" s="326"/>
      <c r="Z636" s="326"/>
      <c r="AA636" s="326"/>
      <c r="AB636" s="326"/>
      <c r="AC636" s="326"/>
      <c r="AD636" s="326"/>
    </row>
    <row r="637">
      <c r="A637" s="326"/>
      <c r="B637" s="326"/>
      <c r="C637" s="326"/>
      <c r="D637" s="326"/>
      <c r="E637" s="326"/>
      <c r="F637" s="326"/>
      <c r="G637" s="326"/>
      <c r="H637" s="326"/>
      <c r="I637" s="326"/>
      <c r="J637" s="326"/>
      <c r="K637" s="326"/>
      <c r="L637" s="326"/>
      <c r="M637" s="326"/>
      <c r="N637" s="326"/>
      <c r="O637" s="326"/>
      <c r="P637" s="326"/>
      <c r="Q637" s="326"/>
      <c r="R637" s="326"/>
      <c r="S637" s="326"/>
      <c r="T637" s="326"/>
      <c r="U637" s="326"/>
      <c r="V637" s="326"/>
      <c r="W637" s="326"/>
      <c r="X637" s="326"/>
      <c r="Y637" s="326"/>
      <c r="Z637" s="326"/>
      <c r="AA637" s="326"/>
      <c r="AB637" s="326"/>
      <c r="AC637" s="326"/>
      <c r="AD637" s="326"/>
    </row>
    <row r="638">
      <c r="A638" s="326"/>
      <c r="B638" s="326"/>
      <c r="C638" s="326"/>
      <c r="D638" s="326"/>
      <c r="E638" s="326"/>
      <c r="F638" s="326"/>
      <c r="G638" s="326"/>
      <c r="H638" s="326"/>
      <c r="I638" s="326"/>
      <c r="J638" s="326"/>
      <c r="K638" s="326"/>
      <c r="L638" s="326"/>
      <c r="M638" s="326"/>
      <c r="N638" s="326"/>
      <c r="O638" s="326"/>
      <c r="P638" s="326"/>
      <c r="Q638" s="326"/>
      <c r="R638" s="326"/>
      <c r="S638" s="326"/>
      <c r="T638" s="326"/>
      <c r="U638" s="326"/>
      <c r="V638" s="326"/>
      <c r="W638" s="326"/>
      <c r="X638" s="326"/>
      <c r="Y638" s="326"/>
      <c r="Z638" s="326"/>
      <c r="AA638" s="326"/>
      <c r="AB638" s="326"/>
      <c r="AC638" s="326"/>
      <c r="AD638" s="326"/>
    </row>
    <row r="639">
      <c r="A639" s="326"/>
      <c r="B639" s="326"/>
      <c r="C639" s="326"/>
      <c r="D639" s="326"/>
      <c r="E639" s="326"/>
      <c r="F639" s="326"/>
      <c r="G639" s="326"/>
      <c r="H639" s="326"/>
      <c r="I639" s="326"/>
      <c r="J639" s="326"/>
      <c r="K639" s="326"/>
      <c r="L639" s="326"/>
      <c r="M639" s="326"/>
      <c r="N639" s="326"/>
      <c r="O639" s="326"/>
      <c r="P639" s="326"/>
      <c r="Q639" s="326"/>
      <c r="R639" s="326"/>
      <c r="S639" s="326"/>
      <c r="T639" s="326"/>
      <c r="U639" s="326"/>
      <c r="V639" s="326"/>
      <c r="W639" s="326"/>
      <c r="X639" s="326"/>
      <c r="Y639" s="326"/>
      <c r="Z639" s="326"/>
      <c r="AA639" s="326"/>
      <c r="AB639" s="326"/>
      <c r="AC639" s="326"/>
      <c r="AD639" s="326"/>
    </row>
    <row r="640">
      <c r="A640" s="326"/>
      <c r="B640" s="326"/>
      <c r="C640" s="326"/>
      <c r="D640" s="326"/>
      <c r="E640" s="326"/>
      <c r="F640" s="326"/>
      <c r="G640" s="326"/>
      <c r="H640" s="326"/>
      <c r="I640" s="326"/>
      <c r="J640" s="326"/>
      <c r="K640" s="326"/>
      <c r="L640" s="326"/>
      <c r="M640" s="326"/>
      <c r="N640" s="326"/>
      <c r="O640" s="326"/>
      <c r="P640" s="326"/>
      <c r="Q640" s="326"/>
      <c r="R640" s="326"/>
      <c r="S640" s="326"/>
      <c r="T640" s="326"/>
      <c r="U640" s="326"/>
      <c r="V640" s="326"/>
      <c r="W640" s="326"/>
      <c r="X640" s="326"/>
      <c r="Y640" s="326"/>
      <c r="Z640" s="326"/>
      <c r="AA640" s="326"/>
      <c r="AB640" s="326"/>
      <c r="AC640" s="326"/>
      <c r="AD640" s="326"/>
    </row>
    <row r="641">
      <c r="A641" s="326"/>
      <c r="B641" s="326"/>
      <c r="C641" s="326"/>
      <c r="D641" s="326"/>
      <c r="E641" s="326"/>
      <c r="F641" s="326"/>
      <c r="G641" s="326"/>
      <c r="H641" s="326"/>
      <c r="I641" s="326"/>
      <c r="J641" s="326"/>
      <c r="K641" s="326"/>
      <c r="L641" s="326"/>
      <c r="M641" s="326"/>
      <c r="N641" s="326"/>
      <c r="O641" s="326"/>
      <c r="P641" s="326"/>
      <c r="Q641" s="326"/>
      <c r="R641" s="326"/>
      <c r="S641" s="326"/>
      <c r="T641" s="326"/>
      <c r="U641" s="326"/>
      <c r="V641" s="326"/>
      <c r="W641" s="326"/>
      <c r="X641" s="326"/>
      <c r="Y641" s="326"/>
      <c r="Z641" s="326"/>
      <c r="AA641" s="326"/>
      <c r="AB641" s="326"/>
      <c r="AC641" s="326"/>
      <c r="AD641" s="326"/>
    </row>
    <row r="642">
      <c r="A642" s="326"/>
      <c r="B642" s="326"/>
      <c r="C642" s="326"/>
      <c r="D642" s="326"/>
      <c r="E642" s="326"/>
      <c r="F642" s="326"/>
      <c r="G642" s="326"/>
      <c r="H642" s="326"/>
      <c r="I642" s="326"/>
      <c r="J642" s="326"/>
      <c r="K642" s="326"/>
      <c r="L642" s="326"/>
      <c r="M642" s="326"/>
      <c r="N642" s="326"/>
      <c r="O642" s="326"/>
      <c r="P642" s="326"/>
      <c r="Q642" s="326"/>
      <c r="R642" s="326"/>
      <c r="S642" s="326"/>
      <c r="T642" s="326"/>
      <c r="U642" s="326"/>
      <c r="V642" s="326"/>
      <c r="W642" s="326"/>
      <c r="X642" s="326"/>
      <c r="Y642" s="326"/>
      <c r="Z642" s="326"/>
      <c r="AA642" s="326"/>
      <c r="AB642" s="326"/>
      <c r="AC642" s="326"/>
      <c r="AD642" s="326"/>
    </row>
    <row r="643">
      <c r="A643" s="326"/>
      <c r="B643" s="326"/>
      <c r="C643" s="326"/>
      <c r="D643" s="326"/>
      <c r="E643" s="326"/>
      <c r="F643" s="326"/>
      <c r="G643" s="326"/>
      <c r="H643" s="326"/>
      <c r="I643" s="326"/>
      <c r="J643" s="326"/>
      <c r="K643" s="326"/>
      <c r="L643" s="326"/>
      <c r="M643" s="326"/>
      <c r="N643" s="326"/>
      <c r="O643" s="326"/>
      <c r="P643" s="326"/>
      <c r="Q643" s="326"/>
      <c r="R643" s="326"/>
      <c r="S643" s="326"/>
      <c r="T643" s="326"/>
      <c r="U643" s="326"/>
      <c r="V643" s="326"/>
      <c r="W643" s="326"/>
      <c r="X643" s="326"/>
      <c r="Y643" s="326"/>
      <c r="Z643" s="326"/>
      <c r="AA643" s="326"/>
      <c r="AB643" s="326"/>
      <c r="AC643" s="326"/>
      <c r="AD643" s="326"/>
    </row>
    <row r="644">
      <c r="A644" s="326"/>
      <c r="B644" s="326"/>
      <c r="C644" s="326"/>
      <c r="D644" s="326"/>
      <c r="E644" s="326"/>
      <c r="F644" s="326"/>
      <c r="G644" s="326"/>
      <c r="H644" s="326"/>
      <c r="I644" s="326"/>
      <c r="J644" s="326"/>
      <c r="K644" s="326"/>
      <c r="L644" s="326"/>
      <c r="M644" s="326"/>
      <c r="N644" s="326"/>
      <c r="O644" s="326"/>
      <c r="P644" s="326"/>
      <c r="Q644" s="326"/>
      <c r="R644" s="326"/>
      <c r="S644" s="326"/>
      <c r="T644" s="326"/>
      <c r="U644" s="326"/>
      <c r="V644" s="326"/>
      <c r="W644" s="326"/>
      <c r="X644" s="326"/>
      <c r="Y644" s="326"/>
      <c r="Z644" s="326"/>
      <c r="AA644" s="326"/>
      <c r="AB644" s="326"/>
      <c r="AC644" s="326"/>
      <c r="AD644" s="326"/>
    </row>
    <row r="645">
      <c r="A645" s="326"/>
      <c r="B645" s="326"/>
      <c r="C645" s="326"/>
      <c r="D645" s="326"/>
      <c r="E645" s="326"/>
      <c r="F645" s="326"/>
      <c r="G645" s="326"/>
      <c r="H645" s="326"/>
      <c r="I645" s="326"/>
      <c r="J645" s="326"/>
      <c r="K645" s="326"/>
      <c r="L645" s="326"/>
      <c r="M645" s="326"/>
      <c r="N645" s="326"/>
      <c r="O645" s="326"/>
      <c r="P645" s="326"/>
      <c r="Q645" s="326"/>
      <c r="R645" s="326"/>
      <c r="S645" s="326"/>
      <c r="T645" s="326"/>
      <c r="U645" s="326"/>
      <c r="V645" s="326"/>
      <c r="W645" s="326"/>
      <c r="X645" s="326"/>
      <c r="Y645" s="326"/>
      <c r="Z645" s="326"/>
      <c r="AA645" s="326"/>
      <c r="AB645" s="326"/>
      <c r="AC645" s="326"/>
      <c r="AD645" s="326"/>
    </row>
    <row r="646">
      <c r="A646" s="326"/>
      <c r="B646" s="326"/>
      <c r="C646" s="326"/>
      <c r="D646" s="326"/>
      <c r="E646" s="326"/>
      <c r="F646" s="326"/>
      <c r="G646" s="326"/>
      <c r="H646" s="326"/>
      <c r="I646" s="326"/>
      <c r="J646" s="326"/>
      <c r="K646" s="326"/>
      <c r="L646" s="326"/>
      <c r="M646" s="326"/>
      <c r="N646" s="326"/>
      <c r="O646" s="326"/>
      <c r="P646" s="326"/>
      <c r="Q646" s="326"/>
      <c r="R646" s="326"/>
      <c r="S646" s="326"/>
      <c r="T646" s="326"/>
      <c r="U646" s="326"/>
      <c r="V646" s="326"/>
      <c r="W646" s="326"/>
      <c r="X646" s="326"/>
      <c r="Y646" s="326"/>
      <c r="Z646" s="326"/>
      <c r="AA646" s="326"/>
      <c r="AB646" s="326"/>
      <c r="AC646" s="326"/>
      <c r="AD646" s="326"/>
    </row>
    <row r="647">
      <c r="A647" s="326"/>
      <c r="B647" s="326"/>
      <c r="C647" s="326"/>
      <c r="D647" s="326"/>
      <c r="E647" s="326"/>
      <c r="F647" s="326"/>
      <c r="G647" s="326"/>
      <c r="H647" s="326"/>
      <c r="I647" s="326"/>
      <c r="J647" s="326"/>
      <c r="K647" s="326"/>
      <c r="L647" s="326"/>
      <c r="M647" s="326"/>
      <c r="N647" s="326"/>
      <c r="O647" s="326"/>
      <c r="P647" s="326"/>
      <c r="Q647" s="326"/>
      <c r="R647" s="326"/>
      <c r="S647" s="326"/>
      <c r="T647" s="326"/>
      <c r="U647" s="326"/>
      <c r="V647" s="326"/>
      <c r="W647" s="326"/>
      <c r="X647" s="326"/>
      <c r="Y647" s="326"/>
      <c r="Z647" s="326"/>
      <c r="AA647" s="326"/>
      <c r="AB647" s="326"/>
      <c r="AC647" s="326"/>
      <c r="AD647" s="326"/>
    </row>
    <row r="648">
      <c r="A648" s="326"/>
      <c r="B648" s="326"/>
      <c r="C648" s="326"/>
      <c r="D648" s="326"/>
      <c r="E648" s="326"/>
      <c r="F648" s="326"/>
      <c r="G648" s="326"/>
      <c r="H648" s="326"/>
      <c r="I648" s="326"/>
      <c r="J648" s="326"/>
      <c r="K648" s="326"/>
      <c r="L648" s="326"/>
      <c r="M648" s="326"/>
      <c r="N648" s="326"/>
      <c r="O648" s="326"/>
      <c r="P648" s="326"/>
      <c r="Q648" s="326"/>
      <c r="R648" s="326"/>
      <c r="S648" s="326"/>
      <c r="T648" s="326"/>
      <c r="U648" s="326"/>
      <c r="V648" s="326"/>
      <c r="W648" s="326"/>
      <c r="X648" s="326"/>
      <c r="Y648" s="326"/>
      <c r="Z648" s="326"/>
      <c r="AA648" s="326"/>
      <c r="AB648" s="326"/>
      <c r="AC648" s="326"/>
      <c r="AD648" s="326"/>
    </row>
    <row r="649">
      <c r="A649" s="326"/>
      <c r="B649" s="326"/>
      <c r="C649" s="326"/>
      <c r="D649" s="326"/>
      <c r="E649" s="326"/>
      <c r="F649" s="326"/>
      <c r="G649" s="326"/>
      <c r="H649" s="326"/>
      <c r="I649" s="326"/>
      <c r="J649" s="326"/>
      <c r="K649" s="326"/>
      <c r="L649" s="326"/>
      <c r="M649" s="326"/>
      <c r="N649" s="326"/>
      <c r="O649" s="326"/>
      <c r="P649" s="326"/>
      <c r="Q649" s="326"/>
      <c r="R649" s="326"/>
      <c r="S649" s="326"/>
      <c r="T649" s="326"/>
      <c r="U649" s="326"/>
      <c r="V649" s="326"/>
      <c r="W649" s="326"/>
      <c r="X649" s="326"/>
      <c r="Y649" s="326"/>
      <c r="Z649" s="326"/>
      <c r="AA649" s="326"/>
      <c r="AB649" s="326"/>
      <c r="AC649" s="326"/>
      <c r="AD649" s="326"/>
    </row>
    <row r="650">
      <c r="A650" s="326"/>
      <c r="B650" s="326"/>
      <c r="C650" s="326"/>
      <c r="D650" s="326"/>
      <c r="E650" s="326"/>
      <c r="F650" s="326"/>
      <c r="G650" s="326"/>
      <c r="H650" s="326"/>
      <c r="I650" s="326"/>
      <c r="J650" s="326"/>
      <c r="K650" s="326"/>
      <c r="L650" s="326"/>
      <c r="M650" s="326"/>
      <c r="N650" s="326"/>
      <c r="O650" s="326"/>
      <c r="P650" s="326"/>
      <c r="Q650" s="326"/>
      <c r="R650" s="326"/>
      <c r="S650" s="326"/>
      <c r="T650" s="326"/>
      <c r="U650" s="326"/>
      <c r="V650" s="326"/>
      <c r="W650" s="326"/>
      <c r="X650" s="326"/>
      <c r="Y650" s="326"/>
      <c r="Z650" s="326"/>
      <c r="AA650" s="326"/>
      <c r="AB650" s="326"/>
      <c r="AC650" s="326"/>
      <c r="AD650" s="326"/>
    </row>
    <row r="651">
      <c r="A651" s="326"/>
      <c r="B651" s="326"/>
      <c r="C651" s="326"/>
      <c r="D651" s="326"/>
      <c r="E651" s="326"/>
      <c r="F651" s="326"/>
      <c r="G651" s="326"/>
      <c r="H651" s="326"/>
      <c r="I651" s="326"/>
      <c r="J651" s="326"/>
      <c r="K651" s="326"/>
      <c r="L651" s="326"/>
      <c r="M651" s="326"/>
      <c r="N651" s="326"/>
      <c r="O651" s="326"/>
      <c r="P651" s="326"/>
      <c r="Q651" s="326"/>
      <c r="R651" s="326"/>
      <c r="S651" s="326"/>
      <c r="T651" s="326"/>
      <c r="U651" s="326"/>
      <c r="V651" s="326"/>
      <c r="W651" s="326"/>
      <c r="X651" s="326"/>
      <c r="Y651" s="326"/>
      <c r="Z651" s="326"/>
      <c r="AA651" s="326"/>
      <c r="AB651" s="326"/>
      <c r="AC651" s="326"/>
      <c r="AD651" s="326"/>
    </row>
    <row r="652">
      <c r="A652" s="326"/>
      <c r="B652" s="326"/>
      <c r="C652" s="326"/>
      <c r="D652" s="326"/>
      <c r="E652" s="326"/>
      <c r="F652" s="326"/>
      <c r="G652" s="326"/>
      <c r="H652" s="326"/>
      <c r="I652" s="326"/>
      <c r="J652" s="326"/>
      <c r="K652" s="326"/>
      <c r="L652" s="326"/>
      <c r="M652" s="326"/>
      <c r="N652" s="326"/>
      <c r="O652" s="326"/>
      <c r="P652" s="326"/>
      <c r="Q652" s="326"/>
      <c r="R652" s="326"/>
      <c r="S652" s="326"/>
      <c r="T652" s="326"/>
      <c r="U652" s="326"/>
      <c r="V652" s="326"/>
      <c r="W652" s="326"/>
      <c r="X652" s="326"/>
      <c r="Y652" s="326"/>
      <c r="Z652" s="326"/>
      <c r="AA652" s="326"/>
      <c r="AB652" s="326"/>
      <c r="AC652" s="326"/>
      <c r="AD652" s="326"/>
    </row>
    <row r="653">
      <c r="A653" s="326"/>
      <c r="B653" s="326"/>
      <c r="C653" s="326"/>
      <c r="D653" s="326"/>
      <c r="E653" s="326"/>
      <c r="F653" s="326"/>
      <c r="G653" s="326"/>
      <c r="H653" s="326"/>
      <c r="I653" s="326"/>
      <c r="J653" s="326"/>
      <c r="K653" s="326"/>
      <c r="L653" s="326"/>
      <c r="M653" s="326"/>
      <c r="N653" s="326"/>
      <c r="O653" s="326"/>
      <c r="P653" s="326"/>
      <c r="Q653" s="326"/>
      <c r="R653" s="326"/>
      <c r="S653" s="326"/>
      <c r="T653" s="326"/>
      <c r="U653" s="326"/>
      <c r="V653" s="326"/>
      <c r="W653" s="326"/>
      <c r="X653" s="326"/>
      <c r="Y653" s="326"/>
      <c r="Z653" s="326"/>
      <c r="AA653" s="326"/>
      <c r="AB653" s="326"/>
      <c r="AC653" s="326"/>
      <c r="AD653" s="326"/>
    </row>
    <row r="654">
      <c r="A654" s="326"/>
      <c r="B654" s="326"/>
      <c r="C654" s="326"/>
      <c r="D654" s="326"/>
      <c r="E654" s="326"/>
      <c r="F654" s="326"/>
      <c r="G654" s="326"/>
      <c r="H654" s="326"/>
      <c r="I654" s="326"/>
      <c r="J654" s="326"/>
      <c r="K654" s="326"/>
      <c r="L654" s="326"/>
      <c r="M654" s="326"/>
      <c r="N654" s="326"/>
      <c r="O654" s="326"/>
      <c r="P654" s="326"/>
      <c r="Q654" s="326"/>
      <c r="R654" s="326"/>
      <c r="S654" s="326"/>
      <c r="T654" s="326"/>
      <c r="U654" s="326"/>
      <c r="V654" s="326"/>
      <c r="W654" s="326"/>
      <c r="X654" s="326"/>
      <c r="Y654" s="326"/>
      <c r="Z654" s="326"/>
      <c r="AA654" s="326"/>
      <c r="AB654" s="326"/>
      <c r="AC654" s="326"/>
      <c r="AD654" s="326"/>
    </row>
    <row r="655">
      <c r="A655" s="326"/>
      <c r="B655" s="326"/>
      <c r="C655" s="326"/>
      <c r="D655" s="326"/>
      <c r="E655" s="326"/>
      <c r="F655" s="326"/>
      <c r="G655" s="326"/>
      <c r="H655" s="326"/>
      <c r="I655" s="326"/>
      <c r="J655" s="326"/>
      <c r="K655" s="326"/>
      <c r="L655" s="326"/>
      <c r="M655" s="326"/>
      <c r="N655" s="326"/>
      <c r="O655" s="326"/>
      <c r="P655" s="326"/>
      <c r="Q655" s="326"/>
      <c r="R655" s="326"/>
      <c r="S655" s="326"/>
      <c r="T655" s="326"/>
      <c r="U655" s="326"/>
      <c r="V655" s="326"/>
      <c r="W655" s="326"/>
      <c r="X655" s="326"/>
      <c r="Y655" s="326"/>
      <c r="Z655" s="326"/>
      <c r="AA655" s="326"/>
      <c r="AB655" s="326"/>
      <c r="AC655" s="326"/>
      <c r="AD655" s="326"/>
    </row>
    <row r="656">
      <c r="A656" s="326"/>
      <c r="B656" s="326"/>
      <c r="C656" s="326"/>
      <c r="D656" s="326"/>
      <c r="E656" s="326"/>
      <c r="F656" s="326"/>
      <c r="G656" s="326"/>
      <c r="H656" s="326"/>
      <c r="I656" s="326"/>
      <c r="J656" s="326"/>
      <c r="K656" s="326"/>
      <c r="L656" s="326"/>
      <c r="M656" s="326"/>
      <c r="N656" s="326"/>
      <c r="O656" s="326"/>
      <c r="P656" s="326"/>
      <c r="Q656" s="326"/>
      <c r="R656" s="326"/>
      <c r="S656" s="326"/>
      <c r="T656" s="326"/>
      <c r="U656" s="326"/>
      <c r="V656" s="326"/>
      <c r="W656" s="326"/>
      <c r="X656" s="326"/>
      <c r="Y656" s="326"/>
      <c r="Z656" s="326"/>
      <c r="AA656" s="326"/>
      <c r="AB656" s="326"/>
      <c r="AC656" s="326"/>
      <c r="AD656" s="326"/>
    </row>
    <row r="657">
      <c r="A657" s="326"/>
      <c r="B657" s="326"/>
      <c r="C657" s="326"/>
      <c r="D657" s="326"/>
      <c r="E657" s="326"/>
      <c r="F657" s="326"/>
      <c r="G657" s="326"/>
      <c r="H657" s="326"/>
      <c r="I657" s="326"/>
      <c r="J657" s="326"/>
      <c r="K657" s="326"/>
      <c r="L657" s="326"/>
      <c r="M657" s="326"/>
      <c r="N657" s="326"/>
      <c r="O657" s="326"/>
      <c r="P657" s="326"/>
      <c r="Q657" s="326"/>
      <c r="R657" s="326"/>
      <c r="S657" s="326"/>
      <c r="T657" s="326"/>
      <c r="U657" s="326"/>
      <c r="V657" s="326"/>
      <c r="W657" s="326"/>
      <c r="X657" s="326"/>
      <c r="Y657" s="326"/>
      <c r="Z657" s="326"/>
      <c r="AA657" s="326"/>
      <c r="AB657" s="326"/>
      <c r="AC657" s="326"/>
      <c r="AD657" s="326"/>
    </row>
    <row r="658">
      <c r="A658" s="326"/>
      <c r="B658" s="326"/>
      <c r="C658" s="326"/>
      <c r="D658" s="326"/>
      <c r="E658" s="326"/>
      <c r="F658" s="326"/>
      <c r="G658" s="326"/>
      <c r="H658" s="326"/>
      <c r="I658" s="326"/>
      <c r="J658" s="326"/>
      <c r="K658" s="326"/>
      <c r="L658" s="326"/>
      <c r="M658" s="326"/>
      <c r="N658" s="326"/>
      <c r="O658" s="326"/>
      <c r="P658" s="326"/>
      <c r="Q658" s="326"/>
      <c r="R658" s="326"/>
      <c r="S658" s="326"/>
      <c r="T658" s="326"/>
      <c r="U658" s="326"/>
      <c r="V658" s="326"/>
      <c r="W658" s="326"/>
      <c r="X658" s="326"/>
      <c r="Y658" s="326"/>
      <c r="Z658" s="326"/>
      <c r="AA658" s="326"/>
      <c r="AB658" s="326"/>
      <c r="AC658" s="326"/>
      <c r="AD658" s="326"/>
    </row>
    <row r="659">
      <c r="A659" s="326"/>
      <c r="B659" s="326"/>
      <c r="C659" s="326"/>
      <c r="D659" s="326"/>
      <c r="E659" s="326"/>
      <c r="F659" s="326"/>
      <c r="G659" s="326"/>
      <c r="H659" s="326"/>
      <c r="I659" s="326"/>
      <c r="J659" s="326"/>
      <c r="K659" s="326"/>
      <c r="L659" s="326"/>
      <c r="M659" s="326"/>
      <c r="N659" s="326"/>
      <c r="O659" s="326"/>
      <c r="P659" s="326"/>
      <c r="Q659" s="326"/>
      <c r="R659" s="326"/>
      <c r="S659" s="326"/>
      <c r="T659" s="326"/>
      <c r="U659" s="326"/>
      <c r="V659" s="326"/>
      <c r="W659" s="326"/>
      <c r="X659" s="326"/>
      <c r="Y659" s="326"/>
      <c r="Z659" s="326"/>
      <c r="AA659" s="326"/>
      <c r="AB659" s="326"/>
      <c r="AC659" s="326"/>
      <c r="AD659" s="326"/>
    </row>
    <row r="660">
      <c r="A660" s="326"/>
      <c r="B660" s="326"/>
      <c r="C660" s="326"/>
      <c r="D660" s="326"/>
      <c r="E660" s="326"/>
      <c r="F660" s="326"/>
      <c r="G660" s="326"/>
      <c r="H660" s="326"/>
      <c r="I660" s="326"/>
      <c r="J660" s="326"/>
      <c r="K660" s="326"/>
      <c r="L660" s="326"/>
      <c r="M660" s="326"/>
      <c r="N660" s="326"/>
      <c r="O660" s="326"/>
      <c r="P660" s="326"/>
      <c r="Q660" s="326"/>
      <c r="R660" s="326"/>
      <c r="S660" s="326"/>
      <c r="T660" s="326"/>
      <c r="U660" s="326"/>
      <c r="V660" s="326"/>
      <c r="W660" s="326"/>
      <c r="X660" s="326"/>
      <c r="Y660" s="326"/>
      <c r="Z660" s="326"/>
      <c r="AA660" s="326"/>
      <c r="AB660" s="326"/>
      <c r="AC660" s="326"/>
      <c r="AD660" s="326"/>
    </row>
    <row r="661">
      <c r="A661" s="326"/>
      <c r="B661" s="326"/>
      <c r="C661" s="326"/>
      <c r="D661" s="326"/>
      <c r="E661" s="326"/>
      <c r="F661" s="326"/>
      <c r="G661" s="326"/>
      <c r="H661" s="326"/>
      <c r="I661" s="326"/>
      <c r="J661" s="326"/>
      <c r="K661" s="326"/>
      <c r="L661" s="326"/>
      <c r="M661" s="326"/>
      <c r="N661" s="326"/>
      <c r="O661" s="326"/>
      <c r="P661" s="326"/>
      <c r="Q661" s="326"/>
      <c r="R661" s="326"/>
      <c r="S661" s="326"/>
      <c r="T661" s="326"/>
      <c r="U661" s="326"/>
      <c r="V661" s="326"/>
      <c r="W661" s="326"/>
      <c r="X661" s="326"/>
      <c r="Y661" s="326"/>
      <c r="Z661" s="326"/>
      <c r="AA661" s="326"/>
      <c r="AB661" s="326"/>
      <c r="AC661" s="326"/>
      <c r="AD661" s="326"/>
    </row>
    <row r="662">
      <c r="A662" s="326"/>
      <c r="B662" s="326"/>
      <c r="C662" s="326"/>
      <c r="D662" s="326"/>
      <c r="E662" s="326"/>
      <c r="F662" s="326"/>
      <c r="G662" s="326"/>
      <c r="H662" s="326"/>
      <c r="I662" s="326"/>
      <c r="J662" s="326"/>
      <c r="K662" s="326"/>
      <c r="L662" s="326"/>
      <c r="M662" s="326"/>
      <c r="N662" s="326"/>
      <c r="O662" s="326"/>
      <c r="P662" s="326"/>
      <c r="Q662" s="326"/>
      <c r="R662" s="326"/>
      <c r="S662" s="326"/>
      <c r="T662" s="326"/>
      <c r="U662" s="326"/>
      <c r="V662" s="326"/>
      <c r="W662" s="326"/>
      <c r="X662" s="326"/>
      <c r="Y662" s="326"/>
      <c r="Z662" s="326"/>
      <c r="AA662" s="326"/>
      <c r="AB662" s="326"/>
      <c r="AC662" s="326"/>
      <c r="AD662" s="326"/>
    </row>
    <row r="663">
      <c r="A663" s="326"/>
      <c r="B663" s="326"/>
      <c r="C663" s="326"/>
      <c r="D663" s="326"/>
      <c r="E663" s="326"/>
      <c r="F663" s="326"/>
      <c r="G663" s="326"/>
      <c r="H663" s="326"/>
      <c r="I663" s="326"/>
      <c r="J663" s="326"/>
      <c r="K663" s="326"/>
      <c r="L663" s="326"/>
      <c r="M663" s="326"/>
      <c r="N663" s="326"/>
      <c r="O663" s="326"/>
      <c r="P663" s="326"/>
      <c r="Q663" s="326"/>
      <c r="R663" s="326"/>
      <c r="S663" s="326"/>
      <c r="T663" s="326"/>
      <c r="U663" s="326"/>
      <c r="V663" s="326"/>
      <c r="W663" s="326"/>
      <c r="X663" s="326"/>
      <c r="Y663" s="326"/>
      <c r="Z663" s="326"/>
      <c r="AA663" s="326"/>
      <c r="AB663" s="326"/>
      <c r="AC663" s="326"/>
      <c r="AD663" s="326"/>
    </row>
    <row r="664">
      <c r="A664" s="326"/>
      <c r="B664" s="326"/>
      <c r="C664" s="326"/>
      <c r="D664" s="326"/>
      <c r="E664" s="326"/>
      <c r="F664" s="326"/>
      <c r="G664" s="326"/>
      <c r="H664" s="326"/>
      <c r="I664" s="326"/>
      <c r="J664" s="326"/>
      <c r="K664" s="326"/>
      <c r="L664" s="326"/>
      <c r="M664" s="326"/>
      <c r="N664" s="326"/>
      <c r="O664" s="326"/>
      <c r="P664" s="326"/>
      <c r="Q664" s="326"/>
      <c r="R664" s="326"/>
      <c r="S664" s="326"/>
      <c r="T664" s="326"/>
      <c r="U664" s="326"/>
      <c r="V664" s="326"/>
      <c r="W664" s="326"/>
      <c r="X664" s="326"/>
      <c r="Y664" s="326"/>
      <c r="Z664" s="326"/>
      <c r="AA664" s="326"/>
      <c r="AB664" s="326"/>
      <c r="AC664" s="326"/>
      <c r="AD664" s="326"/>
    </row>
    <row r="665">
      <c r="A665" s="326"/>
      <c r="B665" s="326"/>
      <c r="C665" s="326"/>
      <c r="D665" s="326"/>
      <c r="E665" s="326"/>
      <c r="F665" s="326"/>
      <c r="G665" s="326"/>
      <c r="H665" s="326"/>
      <c r="I665" s="326"/>
      <c r="J665" s="326"/>
      <c r="K665" s="326"/>
      <c r="L665" s="326"/>
      <c r="M665" s="326"/>
      <c r="N665" s="326"/>
      <c r="O665" s="326"/>
      <c r="P665" s="326"/>
      <c r="Q665" s="326"/>
      <c r="R665" s="326"/>
      <c r="S665" s="326"/>
      <c r="T665" s="326"/>
      <c r="U665" s="326"/>
      <c r="V665" s="326"/>
      <c r="W665" s="326"/>
      <c r="X665" s="326"/>
      <c r="Y665" s="326"/>
      <c r="Z665" s="326"/>
      <c r="AA665" s="326"/>
      <c r="AB665" s="326"/>
      <c r="AC665" s="326"/>
      <c r="AD665" s="326"/>
    </row>
    <row r="666">
      <c r="A666" s="326"/>
      <c r="B666" s="326"/>
      <c r="C666" s="326"/>
      <c r="D666" s="326"/>
      <c r="E666" s="326"/>
      <c r="F666" s="326"/>
      <c r="G666" s="326"/>
      <c r="H666" s="326"/>
      <c r="I666" s="326"/>
      <c r="J666" s="326"/>
      <c r="K666" s="326"/>
      <c r="L666" s="326"/>
      <c r="M666" s="326"/>
      <c r="N666" s="326"/>
      <c r="O666" s="326"/>
      <c r="P666" s="326"/>
      <c r="Q666" s="326"/>
      <c r="R666" s="326"/>
      <c r="S666" s="326"/>
      <c r="T666" s="326"/>
      <c r="U666" s="326"/>
      <c r="V666" s="326"/>
      <c r="W666" s="326"/>
      <c r="X666" s="326"/>
      <c r="Y666" s="326"/>
      <c r="Z666" s="326"/>
      <c r="AA666" s="326"/>
      <c r="AB666" s="326"/>
      <c r="AC666" s="326"/>
      <c r="AD666" s="326"/>
    </row>
    <row r="667">
      <c r="A667" s="326"/>
      <c r="B667" s="326"/>
      <c r="C667" s="326"/>
      <c r="D667" s="326"/>
      <c r="E667" s="326"/>
      <c r="F667" s="326"/>
      <c r="G667" s="326"/>
      <c r="H667" s="326"/>
      <c r="I667" s="326"/>
      <c r="J667" s="326"/>
      <c r="K667" s="326"/>
      <c r="L667" s="326"/>
      <c r="M667" s="326"/>
      <c r="N667" s="326"/>
      <c r="O667" s="326"/>
      <c r="P667" s="326"/>
      <c r="Q667" s="326"/>
      <c r="R667" s="326"/>
      <c r="S667" s="326"/>
      <c r="T667" s="326"/>
      <c r="U667" s="326"/>
      <c r="V667" s="326"/>
      <c r="W667" s="326"/>
      <c r="X667" s="326"/>
      <c r="Y667" s="326"/>
      <c r="Z667" s="326"/>
      <c r="AA667" s="326"/>
      <c r="AB667" s="326"/>
      <c r="AC667" s="326"/>
      <c r="AD667" s="326"/>
    </row>
    <row r="668">
      <c r="A668" s="326"/>
      <c r="B668" s="326"/>
      <c r="C668" s="326"/>
      <c r="D668" s="326"/>
      <c r="E668" s="326"/>
      <c r="F668" s="326"/>
      <c r="G668" s="326"/>
      <c r="H668" s="326"/>
      <c r="I668" s="326"/>
      <c r="J668" s="326"/>
      <c r="K668" s="326"/>
      <c r="L668" s="326"/>
      <c r="M668" s="326"/>
      <c r="N668" s="326"/>
      <c r="O668" s="326"/>
      <c r="P668" s="326"/>
      <c r="Q668" s="326"/>
      <c r="R668" s="326"/>
      <c r="S668" s="326"/>
      <c r="T668" s="326"/>
      <c r="U668" s="326"/>
      <c r="V668" s="326"/>
      <c r="W668" s="326"/>
      <c r="X668" s="326"/>
      <c r="Y668" s="326"/>
      <c r="Z668" s="326"/>
      <c r="AA668" s="326"/>
      <c r="AB668" s="326"/>
      <c r="AC668" s="326"/>
      <c r="AD668" s="326"/>
    </row>
    <row r="669">
      <c r="A669" s="326"/>
      <c r="B669" s="326"/>
      <c r="C669" s="326"/>
      <c r="D669" s="326"/>
      <c r="E669" s="326"/>
      <c r="F669" s="326"/>
      <c r="G669" s="326"/>
      <c r="H669" s="326"/>
      <c r="I669" s="326"/>
      <c r="J669" s="326"/>
      <c r="K669" s="326"/>
      <c r="L669" s="326"/>
      <c r="M669" s="326"/>
      <c r="N669" s="326"/>
      <c r="O669" s="326"/>
      <c r="P669" s="326"/>
      <c r="Q669" s="326"/>
      <c r="R669" s="326"/>
      <c r="S669" s="326"/>
      <c r="T669" s="326"/>
      <c r="U669" s="326"/>
      <c r="V669" s="326"/>
      <c r="W669" s="326"/>
      <c r="X669" s="326"/>
      <c r="Y669" s="326"/>
      <c r="Z669" s="326"/>
      <c r="AA669" s="326"/>
      <c r="AB669" s="326"/>
      <c r="AC669" s="326"/>
      <c r="AD669" s="326"/>
    </row>
    <row r="670">
      <c r="A670" s="326"/>
      <c r="B670" s="326"/>
      <c r="C670" s="326"/>
      <c r="D670" s="326"/>
      <c r="E670" s="326"/>
      <c r="F670" s="326"/>
      <c r="G670" s="326"/>
      <c r="H670" s="326"/>
      <c r="I670" s="326"/>
      <c r="J670" s="326"/>
      <c r="K670" s="326"/>
      <c r="L670" s="326"/>
      <c r="M670" s="326"/>
      <c r="N670" s="326"/>
      <c r="O670" s="326"/>
      <c r="P670" s="326"/>
      <c r="Q670" s="326"/>
      <c r="R670" s="326"/>
      <c r="S670" s="326"/>
      <c r="T670" s="326"/>
      <c r="U670" s="326"/>
      <c r="V670" s="326"/>
      <c r="W670" s="326"/>
      <c r="X670" s="326"/>
      <c r="Y670" s="326"/>
      <c r="Z670" s="326"/>
      <c r="AA670" s="326"/>
      <c r="AB670" s="326"/>
      <c r="AC670" s="326"/>
      <c r="AD670" s="326"/>
    </row>
    <row r="671">
      <c r="A671" s="326"/>
      <c r="B671" s="326"/>
      <c r="C671" s="326"/>
      <c r="D671" s="326"/>
      <c r="E671" s="326"/>
      <c r="F671" s="326"/>
      <c r="G671" s="326"/>
      <c r="H671" s="326"/>
      <c r="I671" s="326"/>
      <c r="J671" s="326"/>
      <c r="K671" s="326"/>
      <c r="L671" s="326"/>
      <c r="M671" s="326"/>
      <c r="N671" s="326"/>
      <c r="O671" s="326"/>
      <c r="P671" s="326"/>
      <c r="Q671" s="326"/>
      <c r="R671" s="326"/>
      <c r="S671" s="326"/>
      <c r="T671" s="326"/>
      <c r="U671" s="326"/>
      <c r="V671" s="326"/>
      <c r="W671" s="326"/>
      <c r="X671" s="326"/>
      <c r="Y671" s="326"/>
      <c r="Z671" s="326"/>
      <c r="AA671" s="326"/>
      <c r="AB671" s="326"/>
      <c r="AC671" s="326"/>
      <c r="AD671" s="326"/>
    </row>
    <row r="672">
      <c r="A672" s="326"/>
      <c r="B672" s="326"/>
      <c r="C672" s="326"/>
      <c r="D672" s="326"/>
      <c r="E672" s="326"/>
      <c r="F672" s="326"/>
      <c r="G672" s="326"/>
      <c r="H672" s="326"/>
      <c r="I672" s="326"/>
      <c r="J672" s="326"/>
      <c r="K672" s="326"/>
      <c r="L672" s="326"/>
      <c r="M672" s="326"/>
      <c r="N672" s="326"/>
      <c r="O672" s="326"/>
      <c r="P672" s="326"/>
      <c r="Q672" s="326"/>
      <c r="R672" s="326"/>
      <c r="S672" s="326"/>
      <c r="T672" s="326"/>
      <c r="U672" s="326"/>
      <c r="V672" s="326"/>
      <c r="W672" s="326"/>
      <c r="X672" s="326"/>
      <c r="Y672" s="326"/>
      <c r="Z672" s="326"/>
      <c r="AA672" s="326"/>
      <c r="AB672" s="326"/>
      <c r="AC672" s="326"/>
      <c r="AD672" s="326"/>
    </row>
    <row r="673">
      <c r="A673" s="326"/>
      <c r="B673" s="326"/>
      <c r="C673" s="326"/>
      <c r="D673" s="326"/>
      <c r="E673" s="326"/>
      <c r="F673" s="326"/>
      <c r="G673" s="326"/>
      <c r="H673" s="326"/>
      <c r="I673" s="326"/>
      <c r="J673" s="326"/>
      <c r="K673" s="326"/>
      <c r="L673" s="326"/>
      <c r="M673" s="326"/>
      <c r="N673" s="326"/>
      <c r="O673" s="326"/>
      <c r="P673" s="326"/>
      <c r="Q673" s="326"/>
      <c r="R673" s="326"/>
      <c r="S673" s="326"/>
      <c r="T673" s="326"/>
      <c r="U673" s="326"/>
      <c r="V673" s="326"/>
      <c r="W673" s="326"/>
      <c r="X673" s="326"/>
      <c r="Y673" s="326"/>
      <c r="Z673" s="326"/>
      <c r="AA673" s="326"/>
      <c r="AB673" s="326"/>
      <c r="AC673" s="326"/>
      <c r="AD673" s="326"/>
    </row>
    <row r="674">
      <c r="A674" s="326"/>
      <c r="B674" s="326"/>
      <c r="C674" s="326"/>
      <c r="D674" s="326"/>
      <c r="E674" s="326"/>
      <c r="F674" s="326"/>
      <c r="G674" s="326"/>
      <c r="H674" s="326"/>
      <c r="I674" s="326"/>
      <c r="J674" s="326"/>
      <c r="K674" s="326"/>
      <c r="L674" s="326"/>
      <c r="M674" s="326"/>
      <c r="N674" s="326"/>
      <c r="O674" s="326"/>
      <c r="P674" s="326"/>
      <c r="Q674" s="326"/>
      <c r="R674" s="326"/>
      <c r="S674" s="326"/>
      <c r="T674" s="326"/>
      <c r="U674" s="326"/>
      <c r="V674" s="326"/>
      <c r="W674" s="326"/>
      <c r="X674" s="326"/>
      <c r="Y674" s="326"/>
      <c r="Z674" s="326"/>
      <c r="AA674" s="326"/>
      <c r="AB674" s="326"/>
      <c r="AC674" s="326"/>
      <c r="AD674" s="326"/>
    </row>
    <row r="675">
      <c r="A675" s="326"/>
      <c r="B675" s="326"/>
      <c r="C675" s="326"/>
      <c r="D675" s="326"/>
      <c r="E675" s="326"/>
      <c r="F675" s="326"/>
      <c r="G675" s="326"/>
      <c r="H675" s="326"/>
      <c r="I675" s="326"/>
      <c r="J675" s="326"/>
      <c r="K675" s="326"/>
      <c r="L675" s="326"/>
      <c r="M675" s="326"/>
      <c r="N675" s="326"/>
      <c r="O675" s="326"/>
      <c r="P675" s="326"/>
      <c r="Q675" s="326"/>
      <c r="R675" s="326"/>
      <c r="S675" s="326"/>
      <c r="T675" s="326"/>
      <c r="U675" s="326"/>
      <c r="V675" s="326"/>
      <c r="W675" s="326"/>
      <c r="X675" s="326"/>
      <c r="Y675" s="326"/>
      <c r="Z675" s="326"/>
      <c r="AA675" s="326"/>
      <c r="AB675" s="326"/>
      <c r="AC675" s="326"/>
      <c r="AD675" s="326"/>
    </row>
    <row r="676">
      <c r="A676" s="326"/>
      <c r="B676" s="326"/>
      <c r="C676" s="326"/>
      <c r="D676" s="326"/>
      <c r="E676" s="326"/>
      <c r="F676" s="326"/>
      <c r="G676" s="326"/>
      <c r="H676" s="326"/>
      <c r="I676" s="326"/>
      <c r="J676" s="326"/>
      <c r="K676" s="326"/>
      <c r="L676" s="326"/>
      <c r="M676" s="326"/>
      <c r="N676" s="326"/>
      <c r="O676" s="326"/>
      <c r="P676" s="326"/>
      <c r="Q676" s="326"/>
      <c r="R676" s="326"/>
      <c r="S676" s="326"/>
      <c r="T676" s="326"/>
      <c r="U676" s="326"/>
      <c r="V676" s="326"/>
      <c r="W676" s="326"/>
      <c r="X676" s="326"/>
      <c r="Y676" s="326"/>
      <c r="Z676" s="326"/>
      <c r="AA676" s="326"/>
      <c r="AB676" s="326"/>
      <c r="AC676" s="326"/>
      <c r="AD676" s="326"/>
    </row>
    <row r="677">
      <c r="A677" s="326"/>
      <c r="B677" s="326"/>
      <c r="C677" s="326"/>
      <c r="D677" s="326"/>
      <c r="E677" s="326"/>
      <c r="F677" s="326"/>
      <c r="G677" s="326"/>
      <c r="H677" s="326"/>
      <c r="I677" s="326"/>
      <c r="J677" s="326"/>
      <c r="K677" s="326"/>
      <c r="L677" s="326"/>
      <c r="M677" s="326"/>
      <c r="N677" s="326"/>
      <c r="O677" s="326"/>
      <c r="P677" s="326"/>
      <c r="Q677" s="326"/>
      <c r="R677" s="326"/>
      <c r="S677" s="326"/>
      <c r="T677" s="326"/>
      <c r="U677" s="326"/>
      <c r="V677" s="326"/>
      <c r="W677" s="326"/>
      <c r="X677" s="326"/>
      <c r="Y677" s="326"/>
      <c r="Z677" s="326"/>
      <c r="AA677" s="326"/>
      <c r="AB677" s="326"/>
      <c r="AC677" s="326"/>
      <c r="AD677" s="326"/>
    </row>
    <row r="678">
      <c r="A678" s="326"/>
      <c r="B678" s="326"/>
      <c r="C678" s="326"/>
      <c r="D678" s="326"/>
      <c r="E678" s="326"/>
      <c r="F678" s="326"/>
      <c r="G678" s="326"/>
      <c r="H678" s="326"/>
      <c r="I678" s="326"/>
      <c r="J678" s="326"/>
      <c r="K678" s="326"/>
      <c r="L678" s="326"/>
      <c r="M678" s="326"/>
      <c r="N678" s="326"/>
      <c r="O678" s="326"/>
      <c r="P678" s="326"/>
      <c r="Q678" s="326"/>
      <c r="R678" s="326"/>
      <c r="S678" s="326"/>
      <c r="T678" s="326"/>
      <c r="U678" s="326"/>
      <c r="V678" s="326"/>
      <c r="W678" s="326"/>
      <c r="X678" s="326"/>
      <c r="Y678" s="326"/>
      <c r="Z678" s="326"/>
      <c r="AA678" s="326"/>
      <c r="AB678" s="326"/>
      <c r="AC678" s="326"/>
      <c r="AD678" s="326"/>
    </row>
    <row r="679">
      <c r="A679" s="326"/>
      <c r="B679" s="326"/>
      <c r="C679" s="326"/>
      <c r="D679" s="326"/>
      <c r="E679" s="326"/>
      <c r="F679" s="326"/>
      <c r="G679" s="326"/>
      <c r="H679" s="326"/>
      <c r="I679" s="326"/>
      <c r="J679" s="326"/>
      <c r="K679" s="326"/>
      <c r="L679" s="326"/>
      <c r="M679" s="326"/>
      <c r="N679" s="326"/>
      <c r="O679" s="326"/>
      <c r="P679" s="326"/>
      <c r="Q679" s="326"/>
      <c r="R679" s="326"/>
      <c r="S679" s="326"/>
      <c r="T679" s="326"/>
      <c r="U679" s="326"/>
      <c r="V679" s="326"/>
      <c r="W679" s="326"/>
      <c r="X679" s="326"/>
      <c r="Y679" s="326"/>
      <c r="Z679" s="326"/>
      <c r="AA679" s="326"/>
      <c r="AB679" s="326"/>
      <c r="AC679" s="326"/>
      <c r="AD679" s="326"/>
    </row>
    <row r="680">
      <c r="A680" s="326"/>
      <c r="B680" s="326"/>
      <c r="C680" s="326"/>
      <c r="D680" s="326"/>
      <c r="E680" s="326"/>
      <c r="F680" s="326"/>
      <c r="G680" s="326"/>
      <c r="H680" s="326"/>
      <c r="I680" s="326"/>
      <c r="J680" s="326"/>
      <c r="K680" s="326"/>
      <c r="L680" s="326"/>
      <c r="M680" s="326"/>
      <c r="N680" s="326"/>
      <c r="O680" s="326"/>
      <c r="P680" s="326"/>
      <c r="Q680" s="326"/>
      <c r="R680" s="326"/>
      <c r="S680" s="326"/>
      <c r="T680" s="326"/>
      <c r="U680" s="326"/>
      <c r="V680" s="326"/>
      <c r="W680" s="326"/>
      <c r="X680" s="326"/>
      <c r="Y680" s="326"/>
      <c r="Z680" s="326"/>
      <c r="AA680" s="326"/>
      <c r="AB680" s="326"/>
      <c r="AC680" s="326"/>
      <c r="AD680" s="326"/>
    </row>
    <row r="681">
      <c r="A681" s="326"/>
      <c r="B681" s="326"/>
      <c r="C681" s="326"/>
      <c r="D681" s="326"/>
      <c r="E681" s="326"/>
      <c r="F681" s="326"/>
      <c r="G681" s="326"/>
      <c r="H681" s="326"/>
      <c r="I681" s="326"/>
      <c r="J681" s="326"/>
      <c r="K681" s="326"/>
      <c r="L681" s="326"/>
      <c r="M681" s="326"/>
      <c r="N681" s="326"/>
      <c r="O681" s="326"/>
      <c r="P681" s="326"/>
      <c r="Q681" s="326"/>
      <c r="R681" s="326"/>
      <c r="S681" s="326"/>
      <c r="T681" s="326"/>
      <c r="U681" s="326"/>
      <c r="V681" s="326"/>
      <c r="W681" s="326"/>
      <c r="X681" s="326"/>
      <c r="Y681" s="326"/>
      <c r="Z681" s="326"/>
      <c r="AA681" s="326"/>
      <c r="AB681" s="326"/>
      <c r="AC681" s="326"/>
      <c r="AD681" s="326"/>
    </row>
    <row r="682">
      <c r="A682" s="326"/>
      <c r="B682" s="326"/>
      <c r="C682" s="326"/>
      <c r="D682" s="326"/>
      <c r="E682" s="326"/>
      <c r="F682" s="326"/>
      <c r="G682" s="326"/>
      <c r="H682" s="326"/>
      <c r="I682" s="326"/>
      <c r="J682" s="326"/>
      <c r="K682" s="326"/>
      <c r="L682" s="326"/>
      <c r="M682" s="326"/>
      <c r="N682" s="326"/>
      <c r="O682" s="326"/>
      <c r="P682" s="326"/>
      <c r="Q682" s="326"/>
      <c r="R682" s="326"/>
      <c r="S682" s="326"/>
      <c r="T682" s="326"/>
      <c r="U682" s="326"/>
      <c r="V682" s="326"/>
      <c r="W682" s="326"/>
      <c r="X682" s="326"/>
      <c r="Y682" s="326"/>
      <c r="Z682" s="326"/>
      <c r="AA682" s="326"/>
      <c r="AB682" s="326"/>
      <c r="AC682" s="326"/>
      <c r="AD682" s="326"/>
    </row>
    <row r="683">
      <c r="A683" s="326"/>
      <c r="B683" s="326"/>
      <c r="C683" s="326"/>
      <c r="D683" s="326"/>
      <c r="E683" s="326"/>
      <c r="F683" s="326"/>
      <c r="G683" s="326"/>
      <c r="H683" s="326"/>
      <c r="I683" s="326"/>
      <c r="J683" s="326"/>
      <c r="K683" s="326"/>
      <c r="L683" s="326"/>
      <c r="M683" s="326"/>
      <c r="N683" s="326"/>
      <c r="O683" s="326"/>
      <c r="P683" s="326"/>
      <c r="Q683" s="326"/>
      <c r="R683" s="326"/>
      <c r="S683" s="326"/>
      <c r="T683" s="326"/>
      <c r="U683" s="326"/>
      <c r="V683" s="326"/>
      <c r="W683" s="326"/>
      <c r="X683" s="326"/>
      <c r="Y683" s="326"/>
      <c r="Z683" s="326"/>
      <c r="AA683" s="326"/>
      <c r="AB683" s="326"/>
      <c r="AC683" s="326"/>
      <c r="AD683" s="326"/>
    </row>
    <row r="684">
      <c r="A684" s="326"/>
      <c r="B684" s="326"/>
      <c r="C684" s="326"/>
      <c r="D684" s="326"/>
      <c r="E684" s="326"/>
      <c r="F684" s="326"/>
      <c r="G684" s="326"/>
      <c r="H684" s="326"/>
      <c r="I684" s="326"/>
      <c r="J684" s="326"/>
      <c r="K684" s="326"/>
      <c r="L684" s="326"/>
      <c r="M684" s="326"/>
      <c r="N684" s="326"/>
      <c r="O684" s="326"/>
      <c r="P684" s="326"/>
      <c r="Q684" s="326"/>
      <c r="R684" s="326"/>
      <c r="S684" s="326"/>
      <c r="T684" s="326"/>
      <c r="U684" s="326"/>
      <c r="V684" s="326"/>
      <c r="W684" s="326"/>
      <c r="X684" s="326"/>
      <c r="Y684" s="326"/>
      <c r="Z684" s="326"/>
      <c r="AA684" s="326"/>
      <c r="AB684" s="326"/>
      <c r="AC684" s="326"/>
      <c r="AD684" s="326"/>
    </row>
    <row r="685">
      <c r="A685" s="326"/>
      <c r="B685" s="326"/>
      <c r="C685" s="326"/>
      <c r="D685" s="326"/>
      <c r="E685" s="326"/>
      <c r="F685" s="326"/>
      <c r="G685" s="326"/>
      <c r="H685" s="326"/>
      <c r="I685" s="326"/>
      <c r="J685" s="326"/>
      <c r="K685" s="326"/>
      <c r="L685" s="326"/>
      <c r="M685" s="326"/>
      <c r="N685" s="326"/>
      <c r="O685" s="326"/>
      <c r="P685" s="326"/>
      <c r="Q685" s="326"/>
      <c r="R685" s="326"/>
      <c r="S685" s="326"/>
      <c r="T685" s="326"/>
      <c r="U685" s="326"/>
      <c r="V685" s="326"/>
      <c r="W685" s="326"/>
      <c r="X685" s="326"/>
      <c r="Y685" s="326"/>
      <c r="Z685" s="326"/>
      <c r="AA685" s="326"/>
      <c r="AB685" s="326"/>
      <c r="AC685" s="326"/>
      <c r="AD685" s="326"/>
    </row>
    <row r="686">
      <c r="A686" s="326"/>
      <c r="B686" s="326"/>
      <c r="C686" s="326"/>
      <c r="D686" s="326"/>
      <c r="E686" s="326"/>
      <c r="F686" s="326"/>
      <c r="G686" s="326"/>
      <c r="H686" s="326"/>
      <c r="I686" s="326"/>
      <c r="J686" s="326"/>
      <c r="K686" s="326"/>
      <c r="L686" s="326"/>
      <c r="M686" s="326"/>
      <c r="N686" s="326"/>
      <c r="O686" s="326"/>
      <c r="P686" s="326"/>
      <c r="Q686" s="326"/>
      <c r="R686" s="326"/>
      <c r="S686" s="326"/>
      <c r="T686" s="326"/>
      <c r="U686" s="326"/>
      <c r="V686" s="326"/>
      <c r="W686" s="326"/>
      <c r="X686" s="326"/>
      <c r="Y686" s="326"/>
      <c r="Z686" s="326"/>
      <c r="AA686" s="326"/>
      <c r="AB686" s="326"/>
      <c r="AC686" s="326"/>
      <c r="AD686" s="326"/>
    </row>
    <row r="687">
      <c r="A687" s="326"/>
      <c r="B687" s="326"/>
      <c r="C687" s="326"/>
      <c r="D687" s="326"/>
      <c r="E687" s="326"/>
      <c r="F687" s="326"/>
      <c r="G687" s="326"/>
      <c r="H687" s="326"/>
      <c r="I687" s="326"/>
      <c r="J687" s="326"/>
      <c r="K687" s="326"/>
      <c r="L687" s="326"/>
      <c r="M687" s="326"/>
      <c r="N687" s="326"/>
      <c r="O687" s="326"/>
      <c r="P687" s="326"/>
      <c r="Q687" s="326"/>
      <c r="R687" s="326"/>
      <c r="S687" s="326"/>
      <c r="T687" s="326"/>
      <c r="U687" s="326"/>
      <c r="V687" s="326"/>
      <c r="W687" s="326"/>
      <c r="X687" s="326"/>
      <c r="Y687" s="326"/>
      <c r="Z687" s="326"/>
      <c r="AA687" s="326"/>
      <c r="AB687" s="326"/>
      <c r="AC687" s="326"/>
      <c r="AD687" s="326"/>
    </row>
    <row r="688">
      <c r="A688" s="326"/>
      <c r="B688" s="326"/>
      <c r="C688" s="326"/>
      <c r="D688" s="326"/>
      <c r="E688" s="326"/>
      <c r="F688" s="326"/>
      <c r="G688" s="326"/>
      <c r="H688" s="326"/>
      <c r="I688" s="326"/>
      <c r="J688" s="326"/>
      <c r="K688" s="326"/>
      <c r="L688" s="326"/>
      <c r="M688" s="326"/>
      <c r="N688" s="326"/>
      <c r="O688" s="326"/>
      <c r="P688" s="326"/>
      <c r="Q688" s="326"/>
      <c r="R688" s="326"/>
      <c r="S688" s="326"/>
      <c r="T688" s="326"/>
      <c r="U688" s="326"/>
      <c r="V688" s="326"/>
      <c r="W688" s="326"/>
      <c r="X688" s="326"/>
      <c r="Y688" s="326"/>
      <c r="Z688" s="326"/>
      <c r="AA688" s="326"/>
      <c r="AB688" s="326"/>
      <c r="AC688" s="326"/>
      <c r="AD688" s="326"/>
    </row>
    <row r="689">
      <c r="A689" s="326"/>
      <c r="B689" s="326"/>
      <c r="C689" s="326"/>
      <c r="D689" s="326"/>
      <c r="E689" s="326"/>
      <c r="F689" s="326"/>
      <c r="G689" s="326"/>
      <c r="H689" s="326"/>
      <c r="I689" s="326"/>
      <c r="J689" s="326"/>
      <c r="K689" s="326"/>
      <c r="L689" s="326"/>
      <c r="M689" s="326"/>
      <c r="N689" s="326"/>
      <c r="O689" s="326"/>
      <c r="P689" s="326"/>
      <c r="Q689" s="326"/>
      <c r="R689" s="326"/>
      <c r="S689" s="326"/>
      <c r="T689" s="326"/>
      <c r="U689" s="326"/>
      <c r="V689" s="326"/>
      <c r="W689" s="326"/>
      <c r="X689" s="326"/>
      <c r="Y689" s="326"/>
      <c r="Z689" s="326"/>
      <c r="AA689" s="326"/>
      <c r="AB689" s="326"/>
      <c r="AC689" s="326"/>
      <c r="AD689" s="326"/>
    </row>
    <row r="690">
      <c r="A690" s="326"/>
      <c r="B690" s="326"/>
      <c r="C690" s="326"/>
      <c r="D690" s="326"/>
      <c r="E690" s="326"/>
      <c r="F690" s="326"/>
      <c r="G690" s="326"/>
      <c r="H690" s="326"/>
      <c r="I690" s="326"/>
      <c r="J690" s="326"/>
      <c r="K690" s="326"/>
      <c r="L690" s="326"/>
      <c r="M690" s="326"/>
      <c r="N690" s="326"/>
      <c r="O690" s="326"/>
      <c r="P690" s="326"/>
      <c r="Q690" s="326"/>
      <c r="R690" s="326"/>
      <c r="S690" s="326"/>
      <c r="T690" s="326"/>
      <c r="U690" s="326"/>
      <c r="V690" s="326"/>
      <c r="W690" s="326"/>
      <c r="X690" s="326"/>
      <c r="Y690" s="326"/>
      <c r="Z690" s="326"/>
      <c r="AA690" s="326"/>
      <c r="AB690" s="326"/>
      <c r="AC690" s="326"/>
      <c r="AD690" s="326"/>
    </row>
    <row r="691">
      <c r="A691" s="326"/>
      <c r="B691" s="326"/>
      <c r="C691" s="326"/>
      <c r="D691" s="326"/>
      <c r="E691" s="326"/>
      <c r="F691" s="326"/>
      <c r="G691" s="326"/>
      <c r="H691" s="326"/>
      <c r="I691" s="326"/>
      <c r="J691" s="326"/>
      <c r="K691" s="326"/>
      <c r="L691" s="326"/>
      <c r="M691" s="326"/>
      <c r="N691" s="326"/>
      <c r="O691" s="326"/>
      <c r="P691" s="326"/>
      <c r="Q691" s="326"/>
      <c r="R691" s="326"/>
      <c r="S691" s="326"/>
      <c r="T691" s="326"/>
      <c r="U691" s="326"/>
      <c r="V691" s="326"/>
      <c r="W691" s="326"/>
      <c r="X691" s="326"/>
      <c r="Y691" s="326"/>
      <c r="Z691" s="326"/>
      <c r="AA691" s="326"/>
      <c r="AB691" s="326"/>
      <c r="AC691" s="326"/>
      <c r="AD691" s="326"/>
    </row>
    <row r="692">
      <c r="A692" s="326"/>
      <c r="B692" s="326"/>
      <c r="C692" s="326"/>
      <c r="D692" s="326"/>
      <c r="E692" s="326"/>
      <c r="F692" s="326"/>
      <c r="G692" s="326"/>
      <c r="H692" s="326"/>
      <c r="I692" s="326"/>
      <c r="J692" s="326"/>
      <c r="K692" s="326"/>
      <c r="L692" s="326"/>
      <c r="M692" s="326"/>
      <c r="N692" s="326"/>
      <c r="O692" s="326"/>
      <c r="P692" s="326"/>
      <c r="Q692" s="326"/>
      <c r="R692" s="326"/>
      <c r="S692" s="326"/>
      <c r="T692" s="326"/>
      <c r="U692" s="326"/>
      <c r="V692" s="326"/>
      <c r="W692" s="326"/>
      <c r="X692" s="326"/>
      <c r="Y692" s="326"/>
      <c r="Z692" s="326"/>
      <c r="AA692" s="326"/>
      <c r="AB692" s="326"/>
      <c r="AC692" s="326"/>
      <c r="AD692" s="326"/>
    </row>
    <row r="693">
      <c r="A693" s="326"/>
      <c r="B693" s="326"/>
      <c r="C693" s="326"/>
      <c r="D693" s="326"/>
      <c r="E693" s="326"/>
      <c r="F693" s="326"/>
      <c r="G693" s="326"/>
      <c r="H693" s="326"/>
      <c r="I693" s="326"/>
      <c r="J693" s="326"/>
      <c r="K693" s="326"/>
      <c r="L693" s="326"/>
      <c r="M693" s="326"/>
      <c r="N693" s="326"/>
      <c r="O693" s="326"/>
      <c r="P693" s="326"/>
      <c r="Q693" s="326"/>
      <c r="R693" s="326"/>
      <c r="S693" s="326"/>
      <c r="T693" s="326"/>
      <c r="U693" s="326"/>
      <c r="V693" s="326"/>
      <c r="W693" s="326"/>
      <c r="X693" s="326"/>
      <c r="Y693" s="326"/>
      <c r="Z693" s="326"/>
      <c r="AA693" s="326"/>
      <c r="AB693" s="326"/>
      <c r="AC693" s="326"/>
      <c r="AD693" s="326"/>
    </row>
    <row r="694">
      <c r="A694" s="326"/>
      <c r="B694" s="326"/>
      <c r="C694" s="326"/>
      <c r="D694" s="326"/>
      <c r="E694" s="326"/>
      <c r="F694" s="326"/>
      <c r="G694" s="326"/>
      <c r="H694" s="326"/>
      <c r="I694" s="326"/>
      <c r="J694" s="326"/>
      <c r="K694" s="326"/>
      <c r="L694" s="326"/>
      <c r="M694" s="326"/>
      <c r="N694" s="326"/>
      <c r="O694" s="326"/>
      <c r="P694" s="326"/>
      <c r="Q694" s="326"/>
      <c r="R694" s="326"/>
      <c r="S694" s="326"/>
      <c r="T694" s="326"/>
      <c r="U694" s="326"/>
      <c r="V694" s="326"/>
      <c r="W694" s="326"/>
      <c r="X694" s="326"/>
      <c r="Y694" s="326"/>
      <c r="Z694" s="326"/>
      <c r="AA694" s="326"/>
      <c r="AB694" s="326"/>
      <c r="AC694" s="326"/>
      <c r="AD694" s="326"/>
    </row>
    <row r="695">
      <c r="A695" s="326"/>
      <c r="B695" s="326"/>
      <c r="C695" s="326"/>
      <c r="D695" s="326"/>
      <c r="E695" s="326"/>
      <c r="F695" s="326"/>
      <c r="G695" s="326"/>
      <c r="H695" s="326"/>
      <c r="I695" s="326"/>
      <c r="J695" s="326"/>
      <c r="K695" s="326"/>
      <c r="L695" s="326"/>
      <c r="M695" s="326"/>
      <c r="N695" s="326"/>
      <c r="O695" s="326"/>
      <c r="P695" s="326"/>
      <c r="Q695" s="326"/>
      <c r="R695" s="326"/>
      <c r="S695" s="326"/>
      <c r="T695" s="326"/>
      <c r="U695" s="326"/>
      <c r="V695" s="326"/>
      <c r="W695" s="326"/>
      <c r="X695" s="326"/>
      <c r="Y695" s="326"/>
      <c r="Z695" s="326"/>
      <c r="AA695" s="326"/>
      <c r="AB695" s="326"/>
      <c r="AC695" s="326"/>
      <c r="AD695" s="326"/>
    </row>
    <row r="696">
      <c r="A696" s="326"/>
      <c r="B696" s="326"/>
      <c r="C696" s="326"/>
      <c r="D696" s="326"/>
      <c r="E696" s="326"/>
      <c r="F696" s="326"/>
      <c r="G696" s="326"/>
      <c r="H696" s="326"/>
      <c r="I696" s="326"/>
      <c r="J696" s="326"/>
      <c r="K696" s="326"/>
      <c r="L696" s="326"/>
      <c r="M696" s="326"/>
      <c r="N696" s="326"/>
      <c r="O696" s="326"/>
      <c r="P696" s="326"/>
      <c r="Q696" s="326"/>
      <c r="R696" s="326"/>
      <c r="S696" s="326"/>
      <c r="T696" s="326"/>
      <c r="U696" s="326"/>
      <c r="V696" s="326"/>
      <c r="W696" s="326"/>
      <c r="X696" s="326"/>
      <c r="Y696" s="326"/>
      <c r="Z696" s="326"/>
      <c r="AA696" s="326"/>
      <c r="AB696" s="326"/>
      <c r="AC696" s="326"/>
      <c r="AD696" s="326"/>
    </row>
    <row r="697">
      <c r="A697" s="326"/>
      <c r="B697" s="326"/>
      <c r="C697" s="326"/>
      <c r="D697" s="326"/>
      <c r="E697" s="326"/>
      <c r="F697" s="326"/>
      <c r="G697" s="326"/>
      <c r="H697" s="326"/>
      <c r="I697" s="326"/>
      <c r="J697" s="326"/>
      <c r="K697" s="326"/>
      <c r="L697" s="326"/>
      <c r="M697" s="326"/>
      <c r="N697" s="326"/>
      <c r="O697" s="326"/>
      <c r="P697" s="326"/>
      <c r="Q697" s="326"/>
      <c r="R697" s="326"/>
      <c r="S697" s="326"/>
      <c r="T697" s="326"/>
      <c r="U697" s="326"/>
      <c r="V697" s="326"/>
      <c r="W697" s="326"/>
      <c r="X697" s="326"/>
      <c r="Y697" s="326"/>
      <c r="Z697" s="326"/>
      <c r="AA697" s="326"/>
      <c r="AB697" s="326"/>
      <c r="AC697" s="326"/>
      <c r="AD697" s="326"/>
    </row>
    <row r="698">
      <c r="A698" s="326"/>
      <c r="B698" s="326"/>
      <c r="C698" s="326"/>
      <c r="D698" s="326"/>
      <c r="E698" s="326"/>
      <c r="F698" s="326"/>
      <c r="G698" s="326"/>
      <c r="H698" s="326"/>
      <c r="I698" s="326"/>
      <c r="J698" s="326"/>
      <c r="K698" s="326"/>
      <c r="L698" s="326"/>
      <c r="M698" s="326"/>
      <c r="N698" s="326"/>
      <c r="O698" s="326"/>
      <c r="P698" s="326"/>
      <c r="Q698" s="326"/>
      <c r="R698" s="326"/>
      <c r="S698" s="326"/>
      <c r="T698" s="326"/>
      <c r="U698" s="326"/>
      <c r="V698" s="326"/>
      <c r="W698" s="326"/>
      <c r="X698" s="326"/>
      <c r="Y698" s="326"/>
      <c r="Z698" s="326"/>
      <c r="AA698" s="326"/>
      <c r="AB698" s="326"/>
      <c r="AC698" s="326"/>
      <c r="AD698" s="326"/>
    </row>
    <row r="699">
      <c r="A699" s="326"/>
      <c r="B699" s="326"/>
      <c r="C699" s="326"/>
      <c r="D699" s="326"/>
      <c r="E699" s="326"/>
      <c r="F699" s="326"/>
      <c r="G699" s="326"/>
      <c r="H699" s="326"/>
      <c r="I699" s="326"/>
      <c r="J699" s="326"/>
      <c r="K699" s="326"/>
      <c r="L699" s="326"/>
      <c r="M699" s="326"/>
      <c r="N699" s="326"/>
      <c r="O699" s="326"/>
      <c r="P699" s="326"/>
      <c r="Q699" s="326"/>
      <c r="R699" s="326"/>
      <c r="S699" s="326"/>
      <c r="T699" s="326"/>
      <c r="U699" s="326"/>
      <c r="V699" s="326"/>
      <c r="W699" s="326"/>
      <c r="X699" s="326"/>
      <c r="Y699" s="326"/>
      <c r="Z699" s="326"/>
      <c r="AA699" s="326"/>
      <c r="AB699" s="326"/>
      <c r="AC699" s="326"/>
      <c r="AD699" s="326"/>
    </row>
    <row r="700">
      <c r="A700" s="326"/>
      <c r="B700" s="326"/>
      <c r="C700" s="326"/>
      <c r="D700" s="326"/>
      <c r="E700" s="326"/>
      <c r="F700" s="326"/>
      <c r="G700" s="326"/>
      <c r="H700" s="326"/>
      <c r="I700" s="326"/>
      <c r="J700" s="326"/>
      <c r="K700" s="326"/>
      <c r="L700" s="326"/>
      <c r="M700" s="326"/>
      <c r="N700" s="326"/>
      <c r="O700" s="326"/>
      <c r="P700" s="326"/>
      <c r="Q700" s="326"/>
      <c r="R700" s="326"/>
      <c r="S700" s="326"/>
      <c r="T700" s="326"/>
      <c r="U700" s="326"/>
      <c r="V700" s="326"/>
      <c r="W700" s="326"/>
      <c r="X700" s="326"/>
      <c r="Y700" s="326"/>
      <c r="Z700" s="326"/>
      <c r="AA700" s="326"/>
      <c r="AB700" s="326"/>
      <c r="AC700" s="326"/>
      <c r="AD700" s="326"/>
    </row>
    <row r="701">
      <c r="A701" s="326"/>
      <c r="B701" s="326"/>
      <c r="C701" s="326"/>
      <c r="D701" s="326"/>
      <c r="E701" s="326"/>
      <c r="F701" s="326"/>
      <c r="G701" s="326"/>
      <c r="H701" s="326"/>
      <c r="I701" s="326"/>
      <c r="J701" s="326"/>
      <c r="K701" s="326"/>
      <c r="L701" s="326"/>
      <c r="M701" s="326"/>
      <c r="N701" s="326"/>
      <c r="O701" s="326"/>
      <c r="P701" s="326"/>
      <c r="Q701" s="326"/>
      <c r="R701" s="326"/>
      <c r="S701" s="326"/>
      <c r="T701" s="326"/>
      <c r="U701" s="326"/>
      <c r="V701" s="326"/>
      <c r="W701" s="326"/>
      <c r="X701" s="326"/>
      <c r="Y701" s="326"/>
      <c r="Z701" s="326"/>
      <c r="AA701" s="326"/>
      <c r="AB701" s="326"/>
      <c r="AC701" s="326"/>
      <c r="AD701" s="326"/>
    </row>
    <row r="702">
      <c r="A702" s="326"/>
      <c r="B702" s="326"/>
      <c r="C702" s="326"/>
      <c r="D702" s="326"/>
      <c r="E702" s="326"/>
      <c r="F702" s="326"/>
      <c r="G702" s="326"/>
      <c r="H702" s="326"/>
      <c r="I702" s="326"/>
      <c r="J702" s="326"/>
      <c r="K702" s="326"/>
      <c r="L702" s="326"/>
      <c r="M702" s="326"/>
      <c r="N702" s="326"/>
      <c r="O702" s="326"/>
      <c r="P702" s="326"/>
      <c r="Q702" s="326"/>
      <c r="R702" s="326"/>
      <c r="S702" s="326"/>
      <c r="T702" s="326"/>
      <c r="U702" s="326"/>
      <c r="V702" s="326"/>
      <c r="W702" s="326"/>
      <c r="X702" s="326"/>
      <c r="Y702" s="326"/>
      <c r="Z702" s="326"/>
      <c r="AA702" s="326"/>
      <c r="AB702" s="326"/>
      <c r="AC702" s="326"/>
      <c r="AD702" s="326"/>
    </row>
    <row r="703">
      <c r="A703" s="326"/>
      <c r="B703" s="326"/>
      <c r="C703" s="326"/>
      <c r="D703" s="326"/>
      <c r="E703" s="326"/>
      <c r="F703" s="326"/>
      <c r="G703" s="326"/>
      <c r="H703" s="326"/>
      <c r="I703" s="326"/>
      <c r="J703" s="326"/>
      <c r="K703" s="326"/>
      <c r="L703" s="326"/>
      <c r="M703" s="326"/>
      <c r="N703" s="326"/>
      <c r="O703" s="326"/>
      <c r="P703" s="326"/>
      <c r="Q703" s="326"/>
      <c r="R703" s="326"/>
      <c r="S703" s="326"/>
      <c r="T703" s="326"/>
      <c r="U703" s="326"/>
      <c r="V703" s="326"/>
      <c r="W703" s="326"/>
      <c r="X703" s="326"/>
      <c r="Y703" s="326"/>
      <c r="Z703" s="326"/>
      <c r="AA703" s="326"/>
      <c r="AB703" s="326"/>
      <c r="AC703" s="326"/>
      <c r="AD703" s="326"/>
    </row>
    <row r="704">
      <c r="A704" s="326"/>
      <c r="B704" s="326"/>
      <c r="C704" s="326"/>
      <c r="D704" s="326"/>
      <c r="E704" s="326"/>
      <c r="F704" s="326"/>
      <c r="G704" s="326"/>
      <c r="H704" s="326"/>
      <c r="I704" s="326"/>
      <c r="J704" s="326"/>
      <c r="K704" s="326"/>
      <c r="L704" s="326"/>
      <c r="M704" s="326"/>
      <c r="N704" s="326"/>
      <c r="O704" s="326"/>
      <c r="P704" s="326"/>
      <c r="Q704" s="326"/>
      <c r="R704" s="326"/>
      <c r="S704" s="326"/>
      <c r="T704" s="326"/>
      <c r="U704" s="326"/>
      <c r="V704" s="326"/>
      <c r="W704" s="326"/>
      <c r="X704" s="326"/>
      <c r="Y704" s="326"/>
      <c r="Z704" s="326"/>
      <c r="AA704" s="326"/>
      <c r="AB704" s="326"/>
      <c r="AC704" s="326"/>
      <c r="AD704" s="326"/>
    </row>
    <row r="705">
      <c r="A705" s="326"/>
      <c r="B705" s="326"/>
      <c r="C705" s="326"/>
      <c r="D705" s="326"/>
      <c r="E705" s="326"/>
      <c r="F705" s="326"/>
      <c r="G705" s="326"/>
      <c r="H705" s="326"/>
      <c r="I705" s="326"/>
      <c r="J705" s="326"/>
      <c r="K705" s="326"/>
      <c r="L705" s="326"/>
      <c r="M705" s="326"/>
      <c r="N705" s="326"/>
      <c r="O705" s="326"/>
      <c r="P705" s="326"/>
      <c r="Q705" s="326"/>
      <c r="R705" s="326"/>
      <c r="S705" s="326"/>
      <c r="T705" s="326"/>
      <c r="U705" s="326"/>
      <c r="V705" s="326"/>
      <c r="W705" s="326"/>
      <c r="X705" s="326"/>
      <c r="Y705" s="326"/>
      <c r="Z705" s="326"/>
      <c r="AA705" s="326"/>
      <c r="AB705" s="326"/>
      <c r="AC705" s="326"/>
      <c r="AD705" s="326"/>
    </row>
    <row r="706">
      <c r="A706" s="326"/>
      <c r="B706" s="326"/>
      <c r="C706" s="326"/>
      <c r="D706" s="326"/>
      <c r="E706" s="326"/>
      <c r="F706" s="326"/>
      <c r="G706" s="326"/>
      <c r="H706" s="326"/>
      <c r="I706" s="326"/>
      <c r="J706" s="326"/>
      <c r="K706" s="326"/>
      <c r="L706" s="326"/>
      <c r="M706" s="326"/>
      <c r="N706" s="326"/>
      <c r="O706" s="326"/>
      <c r="P706" s="326"/>
      <c r="Q706" s="326"/>
      <c r="R706" s="326"/>
      <c r="S706" s="326"/>
      <c r="T706" s="326"/>
      <c r="U706" s="326"/>
      <c r="V706" s="326"/>
      <c r="W706" s="326"/>
      <c r="X706" s="326"/>
      <c r="Y706" s="326"/>
      <c r="Z706" s="326"/>
      <c r="AA706" s="326"/>
      <c r="AB706" s="326"/>
      <c r="AC706" s="326"/>
      <c r="AD706" s="326"/>
    </row>
    <row r="707">
      <c r="A707" s="326"/>
      <c r="B707" s="326"/>
      <c r="C707" s="326"/>
      <c r="D707" s="326"/>
      <c r="E707" s="326"/>
      <c r="F707" s="326"/>
      <c r="G707" s="326"/>
      <c r="H707" s="326"/>
      <c r="I707" s="326"/>
      <c r="J707" s="326"/>
      <c r="K707" s="326"/>
      <c r="L707" s="326"/>
      <c r="M707" s="326"/>
      <c r="N707" s="326"/>
      <c r="O707" s="326"/>
      <c r="P707" s="326"/>
      <c r="Q707" s="326"/>
      <c r="R707" s="326"/>
      <c r="S707" s="326"/>
      <c r="T707" s="326"/>
      <c r="U707" s="326"/>
      <c r="V707" s="326"/>
      <c r="W707" s="326"/>
      <c r="X707" s="326"/>
      <c r="Y707" s="326"/>
      <c r="Z707" s="326"/>
      <c r="AA707" s="326"/>
      <c r="AB707" s="326"/>
      <c r="AC707" s="326"/>
      <c r="AD707" s="326"/>
    </row>
    <row r="708">
      <c r="A708" s="326"/>
      <c r="B708" s="326"/>
      <c r="C708" s="326"/>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326"/>
    </row>
    <row r="709">
      <c r="A709" s="326"/>
      <c r="B709" s="326"/>
      <c r="C709" s="326"/>
      <c r="D709" s="326"/>
      <c r="E709" s="326"/>
      <c r="F709" s="326"/>
      <c r="G709" s="326"/>
      <c r="H709" s="326"/>
      <c r="I709" s="326"/>
      <c r="J709" s="326"/>
      <c r="K709" s="326"/>
      <c r="L709" s="326"/>
      <c r="M709" s="326"/>
      <c r="N709" s="326"/>
      <c r="O709" s="326"/>
      <c r="P709" s="326"/>
      <c r="Q709" s="326"/>
      <c r="R709" s="326"/>
      <c r="S709" s="326"/>
      <c r="T709" s="326"/>
      <c r="U709" s="326"/>
      <c r="V709" s="326"/>
      <c r="W709" s="326"/>
      <c r="X709" s="326"/>
      <c r="Y709" s="326"/>
      <c r="Z709" s="326"/>
      <c r="AA709" s="326"/>
      <c r="AB709" s="326"/>
      <c r="AC709" s="326"/>
      <c r="AD709" s="326"/>
    </row>
    <row r="710">
      <c r="A710" s="326"/>
      <c r="B710" s="326"/>
      <c r="C710" s="326"/>
      <c r="D710" s="326"/>
      <c r="E710" s="326"/>
      <c r="F710" s="326"/>
      <c r="G710" s="326"/>
      <c r="H710" s="326"/>
      <c r="I710" s="326"/>
      <c r="J710" s="326"/>
      <c r="K710" s="326"/>
      <c r="L710" s="326"/>
      <c r="M710" s="326"/>
      <c r="N710" s="326"/>
      <c r="O710" s="326"/>
      <c r="P710" s="326"/>
      <c r="Q710" s="326"/>
      <c r="R710" s="326"/>
      <c r="S710" s="326"/>
      <c r="T710" s="326"/>
      <c r="U710" s="326"/>
      <c r="V710" s="326"/>
      <c r="W710" s="326"/>
      <c r="X710" s="326"/>
      <c r="Y710" s="326"/>
      <c r="Z710" s="326"/>
      <c r="AA710" s="326"/>
      <c r="AB710" s="326"/>
      <c r="AC710" s="326"/>
      <c r="AD710" s="326"/>
    </row>
    <row r="711">
      <c r="A711" s="326"/>
      <c r="B711" s="326"/>
      <c r="C711" s="326"/>
      <c r="D711" s="326"/>
      <c r="E711" s="326"/>
      <c r="F711" s="326"/>
      <c r="G711" s="326"/>
      <c r="H711" s="326"/>
      <c r="I711" s="326"/>
      <c r="J711" s="326"/>
      <c r="K711" s="326"/>
      <c r="L711" s="326"/>
      <c r="M711" s="326"/>
      <c r="N711" s="326"/>
      <c r="O711" s="326"/>
      <c r="P711" s="326"/>
      <c r="Q711" s="326"/>
      <c r="R711" s="326"/>
      <c r="S711" s="326"/>
      <c r="T711" s="326"/>
      <c r="U711" s="326"/>
      <c r="V711" s="326"/>
      <c r="W711" s="326"/>
      <c r="X711" s="326"/>
      <c r="Y711" s="326"/>
      <c r="Z711" s="326"/>
      <c r="AA711" s="326"/>
      <c r="AB711" s="326"/>
      <c r="AC711" s="326"/>
      <c r="AD711" s="326"/>
    </row>
    <row r="712">
      <c r="A712" s="326"/>
      <c r="B712" s="326"/>
      <c r="C712" s="326"/>
      <c r="D712" s="326"/>
      <c r="E712" s="326"/>
      <c r="F712" s="326"/>
      <c r="G712" s="326"/>
      <c r="H712" s="326"/>
      <c r="I712" s="326"/>
      <c r="J712" s="326"/>
      <c r="K712" s="326"/>
      <c r="L712" s="326"/>
      <c r="M712" s="326"/>
      <c r="N712" s="326"/>
      <c r="O712" s="326"/>
      <c r="P712" s="326"/>
      <c r="Q712" s="326"/>
      <c r="R712" s="326"/>
      <c r="S712" s="326"/>
      <c r="T712" s="326"/>
      <c r="U712" s="326"/>
      <c r="V712" s="326"/>
      <c r="W712" s="326"/>
      <c r="X712" s="326"/>
      <c r="Y712" s="326"/>
      <c r="Z712" s="326"/>
      <c r="AA712" s="326"/>
      <c r="AB712" s="326"/>
      <c r="AC712" s="326"/>
      <c r="AD712" s="326"/>
    </row>
    <row r="713">
      <c r="A713" s="326"/>
      <c r="B713" s="326"/>
      <c r="C713" s="326"/>
      <c r="D713" s="326"/>
      <c r="E713" s="326"/>
      <c r="F713" s="326"/>
      <c r="G713" s="326"/>
      <c r="H713" s="326"/>
      <c r="I713" s="326"/>
      <c r="J713" s="326"/>
      <c r="K713" s="326"/>
      <c r="L713" s="326"/>
      <c r="M713" s="326"/>
      <c r="N713" s="326"/>
      <c r="O713" s="326"/>
      <c r="P713" s="326"/>
      <c r="Q713" s="326"/>
      <c r="R713" s="326"/>
      <c r="S713" s="326"/>
      <c r="T713" s="326"/>
      <c r="U713" s="326"/>
      <c r="V713" s="326"/>
      <c r="W713" s="326"/>
      <c r="X713" s="326"/>
      <c r="Y713" s="326"/>
      <c r="Z713" s="326"/>
      <c r="AA713" s="326"/>
      <c r="AB713" s="326"/>
      <c r="AC713" s="326"/>
      <c r="AD713" s="326"/>
    </row>
    <row r="714">
      <c r="A714" s="326"/>
      <c r="B714" s="326"/>
      <c r="C714" s="326"/>
      <c r="D714" s="326"/>
      <c r="E714" s="326"/>
      <c r="F714" s="326"/>
      <c r="G714" s="326"/>
      <c r="H714" s="326"/>
      <c r="I714" s="326"/>
      <c r="J714" s="326"/>
      <c r="K714" s="326"/>
      <c r="L714" s="326"/>
      <c r="M714" s="326"/>
      <c r="N714" s="326"/>
      <c r="O714" s="326"/>
      <c r="P714" s="326"/>
      <c r="Q714" s="326"/>
      <c r="R714" s="326"/>
      <c r="S714" s="326"/>
      <c r="T714" s="326"/>
      <c r="U714" s="326"/>
      <c r="V714" s="326"/>
      <c r="W714" s="326"/>
      <c r="X714" s="326"/>
      <c r="Y714" s="326"/>
      <c r="Z714" s="326"/>
      <c r="AA714" s="326"/>
      <c r="AB714" s="326"/>
      <c r="AC714" s="326"/>
      <c r="AD714" s="326"/>
    </row>
    <row r="715">
      <c r="A715" s="326"/>
      <c r="B715" s="326"/>
      <c r="C715" s="326"/>
      <c r="D715" s="326"/>
      <c r="E715" s="326"/>
      <c r="F715" s="326"/>
      <c r="G715" s="326"/>
      <c r="H715" s="326"/>
      <c r="I715" s="326"/>
      <c r="J715" s="326"/>
      <c r="K715" s="326"/>
      <c r="L715" s="326"/>
      <c r="M715" s="326"/>
      <c r="N715" s="326"/>
      <c r="O715" s="326"/>
      <c r="P715" s="326"/>
      <c r="Q715" s="326"/>
      <c r="R715" s="326"/>
      <c r="S715" s="326"/>
      <c r="T715" s="326"/>
      <c r="U715" s="326"/>
      <c r="V715" s="326"/>
      <c r="W715" s="326"/>
      <c r="X715" s="326"/>
      <c r="Y715" s="326"/>
      <c r="Z715" s="326"/>
      <c r="AA715" s="326"/>
      <c r="AB715" s="326"/>
      <c r="AC715" s="326"/>
      <c r="AD715" s="326"/>
    </row>
    <row r="716">
      <c r="A716" s="326"/>
      <c r="B716" s="326"/>
      <c r="C716" s="326"/>
      <c r="D716" s="326"/>
      <c r="E716" s="326"/>
      <c r="F716" s="326"/>
      <c r="G716" s="326"/>
      <c r="H716" s="326"/>
      <c r="I716" s="326"/>
      <c r="J716" s="326"/>
      <c r="K716" s="326"/>
      <c r="L716" s="326"/>
      <c r="M716" s="326"/>
      <c r="N716" s="326"/>
      <c r="O716" s="326"/>
      <c r="P716" s="326"/>
      <c r="Q716" s="326"/>
      <c r="R716" s="326"/>
      <c r="S716" s="326"/>
      <c r="T716" s="326"/>
      <c r="U716" s="326"/>
      <c r="V716" s="326"/>
      <c r="W716" s="326"/>
      <c r="X716" s="326"/>
      <c r="Y716" s="326"/>
      <c r="Z716" s="326"/>
      <c r="AA716" s="326"/>
      <c r="AB716" s="326"/>
      <c r="AC716" s="326"/>
      <c r="AD716" s="326"/>
    </row>
    <row r="717">
      <c r="A717" s="326"/>
      <c r="B717" s="326"/>
      <c r="C717" s="326"/>
      <c r="D717" s="326"/>
      <c r="E717" s="326"/>
      <c r="F717" s="326"/>
      <c r="G717" s="326"/>
      <c r="H717" s="326"/>
      <c r="I717" s="326"/>
      <c r="J717" s="326"/>
      <c r="K717" s="326"/>
      <c r="L717" s="326"/>
      <c r="M717" s="326"/>
      <c r="N717" s="326"/>
      <c r="O717" s="326"/>
      <c r="P717" s="326"/>
      <c r="Q717" s="326"/>
      <c r="R717" s="326"/>
      <c r="S717" s="326"/>
      <c r="T717" s="326"/>
      <c r="U717" s="326"/>
      <c r="V717" s="326"/>
      <c r="W717" s="326"/>
      <c r="X717" s="326"/>
      <c r="Y717" s="326"/>
      <c r="Z717" s="326"/>
      <c r="AA717" s="326"/>
      <c r="AB717" s="326"/>
      <c r="AC717" s="326"/>
      <c r="AD717" s="326"/>
    </row>
    <row r="718">
      <c r="A718" s="326"/>
      <c r="B718" s="326"/>
      <c r="C718" s="326"/>
      <c r="D718" s="326"/>
      <c r="E718" s="326"/>
      <c r="F718" s="326"/>
      <c r="G718" s="326"/>
      <c r="H718" s="326"/>
      <c r="I718" s="326"/>
      <c r="J718" s="326"/>
      <c r="K718" s="326"/>
      <c r="L718" s="326"/>
      <c r="M718" s="326"/>
      <c r="N718" s="326"/>
      <c r="O718" s="326"/>
      <c r="P718" s="326"/>
      <c r="Q718" s="326"/>
      <c r="R718" s="326"/>
      <c r="S718" s="326"/>
      <c r="T718" s="326"/>
      <c r="U718" s="326"/>
      <c r="V718" s="326"/>
      <c r="W718" s="326"/>
      <c r="X718" s="326"/>
      <c r="Y718" s="326"/>
      <c r="Z718" s="326"/>
      <c r="AA718" s="326"/>
      <c r="AB718" s="326"/>
      <c r="AC718" s="326"/>
      <c r="AD718" s="326"/>
    </row>
    <row r="719">
      <c r="A719" s="326"/>
      <c r="B719" s="326"/>
      <c r="C719" s="326"/>
      <c r="D719" s="326"/>
      <c r="E719" s="326"/>
      <c r="F719" s="326"/>
      <c r="G719" s="326"/>
      <c r="H719" s="326"/>
      <c r="I719" s="326"/>
      <c r="J719" s="326"/>
      <c r="K719" s="326"/>
      <c r="L719" s="326"/>
      <c r="M719" s="326"/>
      <c r="N719" s="326"/>
      <c r="O719" s="326"/>
      <c r="P719" s="326"/>
      <c r="Q719" s="326"/>
      <c r="R719" s="326"/>
      <c r="S719" s="326"/>
      <c r="T719" s="326"/>
      <c r="U719" s="326"/>
      <c r="V719" s="326"/>
      <c r="W719" s="326"/>
      <c r="X719" s="326"/>
      <c r="Y719" s="326"/>
      <c r="Z719" s="326"/>
      <c r="AA719" s="326"/>
      <c r="AB719" s="326"/>
      <c r="AC719" s="326"/>
      <c r="AD719" s="326"/>
    </row>
    <row r="720">
      <c r="A720" s="326"/>
      <c r="B720" s="326"/>
      <c r="C720" s="326"/>
      <c r="D720" s="326"/>
      <c r="E720" s="326"/>
      <c r="F720" s="326"/>
      <c r="G720" s="326"/>
      <c r="H720" s="326"/>
      <c r="I720" s="326"/>
      <c r="J720" s="326"/>
      <c r="K720" s="326"/>
      <c r="L720" s="326"/>
      <c r="M720" s="326"/>
      <c r="N720" s="326"/>
      <c r="O720" s="326"/>
      <c r="P720" s="326"/>
      <c r="Q720" s="326"/>
      <c r="R720" s="326"/>
      <c r="S720" s="326"/>
      <c r="T720" s="326"/>
      <c r="U720" s="326"/>
      <c r="V720" s="326"/>
      <c r="W720" s="326"/>
      <c r="X720" s="326"/>
      <c r="Y720" s="326"/>
      <c r="Z720" s="326"/>
      <c r="AA720" s="326"/>
      <c r="AB720" s="326"/>
      <c r="AC720" s="326"/>
      <c r="AD720" s="326"/>
    </row>
    <row r="721">
      <c r="A721" s="326"/>
      <c r="B721" s="326"/>
      <c r="C721" s="326"/>
      <c r="D721" s="326"/>
      <c r="E721" s="326"/>
      <c r="F721" s="326"/>
      <c r="G721" s="326"/>
      <c r="H721" s="326"/>
      <c r="I721" s="326"/>
      <c r="J721" s="326"/>
      <c r="K721" s="326"/>
      <c r="L721" s="326"/>
      <c r="M721" s="326"/>
      <c r="N721" s="326"/>
      <c r="O721" s="326"/>
      <c r="P721" s="326"/>
      <c r="Q721" s="326"/>
      <c r="R721" s="326"/>
      <c r="S721" s="326"/>
      <c r="T721" s="326"/>
      <c r="U721" s="326"/>
      <c r="V721" s="326"/>
      <c r="W721" s="326"/>
      <c r="X721" s="326"/>
      <c r="Y721" s="326"/>
      <c r="Z721" s="326"/>
      <c r="AA721" s="326"/>
      <c r="AB721" s="326"/>
      <c r="AC721" s="326"/>
      <c r="AD721" s="326"/>
    </row>
    <row r="722">
      <c r="A722" s="326"/>
      <c r="B722" s="326"/>
      <c r="C722" s="326"/>
      <c r="D722" s="326"/>
      <c r="E722" s="326"/>
      <c r="F722" s="326"/>
      <c r="G722" s="326"/>
      <c r="H722" s="326"/>
      <c r="I722" s="326"/>
      <c r="J722" s="326"/>
      <c r="K722" s="326"/>
      <c r="L722" s="326"/>
      <c r="M722" s="326"/>
      <c r="N722" s="326"/>
      <c r="O722" s="326"/>
      <c r="P722" s="326"/>
      <c r="Q722" s="326"/>
      <c r="R722" s="326"/>
      <c r="S722" s="326"/>
      <c r="T722" s="326"/>
      <c r="U722" s="326"/>
      <c r="V722" s="326"/>
      <c r="W722" s="326"/>
      <c r="X722" s="326"/>
      <c r="Y722" s="326"/>
      <c r="Z722" s="326"/>
      <c r="AA722" s="326"/>
      <c r="AB722" s="326"/>
      <c r="AC722" s="326"/>
      <c r="AD722" s="326"/>
    </row>
    <row r="723">
      <c r="A723" s="326"/>
      <c r="B723" s="326"/>
      <c r="C723" s="326"/>
      <c r="D723" s="326"/>
      <c r="E723" s="326"/>
      <c r="F723" s="326"/>
      <c r="G723" s="326"/>
      <c r="H723" s="326"/>
      <c r="I723" s="326"/>
      <c r="J723" s="326"/>
      <c r="K723" s="326"/>
      <c r="L723" s="326"/>
      <c r="M723" s="326"/>
      <c r="N723" s="326"/>
      <c r="O723" s="326"/>
      <c r="P723" s="326"/>
      <c r="Q723" s="326"/>
      <c r="R723" s="326"/>
      <c r="S723" s="326"/>
      <c r="T723" s="326"/>
      <c r="U723" s="326"/>
      <c r="V723" s="326"/>
      <c r="W723" s="326"/>
      <c r="X723" s="326"/>
      <c r="Y723" s="326"/>
      <c r="Z723" s="326"/>
      <c r="AA723" s="326"/>
      <c r="AB723" s="326"/>
      <c r="AC723" s="326"/>
      <c r="AD723" s="326"/>
    </row>
    <row r="724">
      <c r="A724" s="326"/>
      <c r="B724" s="326"/>
      <c r="C724" s="326"/>
      <c r="D724" s="326"/>
      <c r="E724" s="326"/>
      <c r="F724" s="326"/>
      <c r="G724" s="326"/>
      <c r="H724" s="326"/>
      <c r="I724" s="326"/>
      <c r="J724" s="326"/>
      <c r="K724" s="326"/>
      <c r="L724" s="326"/>
      <c r="M724" s="326"/>
      <c r="N724" s="326"/>
      <c r="O724" s="326"/>
      <c r="P724" s="326"/>
      <c r="Q724" s="326"/>
      <c r="R724" s="326"/>
      <c r="S724" s="326"/>
      <c r="T724" s="326"/>
      <c r="U724" s="326"/>
      <c r="V724" s="326"/>
      <c r="W724" s="326"/>
      <c r="X724" s="326"/>
      <c r="Y724" s="326"/>
      <c r="Z724" s="326"/>
      <c r="AA724" s="326"/>
      <c r="AB724" s="326"/>
      <c r="AC724" s="326"/>
      <c r="AD724" s="326"/>
    </row>
    <row r="725">
      <c r="A725" s="326"/>
      <c r="B725" s="326"/>
      <c r="C725" s="326"/>
      <c r="D725" s="326"/>
      <c r="E725" s="326"/>
      <c r="F725" s="326"/>
      <c r="G725" s="326"/>
      <c r="H725" s="326"/>
      <c r="I725" s="326"/>
      <c r="J725" s="326"/>
      <c r="K725" s="326"/>
      <c r="L725" s="326"/>
      <c r="M725" s="326"/>
      <c r="N725" s="326"/>
      <c r="O725" s="326"/>
      <c r="P725" s="326"/>
      <c r="Q725" s="326"/>
      <c r="R725" s="326"/>
      <c r="S725" s="326"/>
      <c r="T725" s="326"/>
      <c r="U725" s="326"/>
      <c r="V725" s="326"/>
      <c r="W725" s="326"/>
      <c r="X725" s="326"/>
      <c r="Y725" s="326"/>
      <c r="Z725" s="326"/>
      <c r="AA725" s="326"/>
      <c r="AB725" s="326"/>
      <c r="AC725" s="326"/>
      <c r="AD725" s="326"/>
    </row>
    <row r="726">
      <c r="A726" s="326"/>
      <c r="B726" s="326"/>
      <c r="C726" s="326"/>
      <c r="D726" s="326"/>
      <c r="E726" s="326"/>
      <c r="F726" s="326"/>
      <c r="G726" s="326"/>
      <c r="H726" s="326"/>
      <c r="I726" s="326"/>
      <c r="J726" s="326"/>
      <c r="K726" s="326"/>
      <c r="L726" s="326"/>
      <c r="M726" s="326"/>
      <c r="N726" s="326"/>
      <c r="O726" s="326"/>
      <c r="P726" s="326"/>
      <c r="Q726" s="326"/>
      <c r="R726" s="326"/>
      <c r="S726" s="326"/>
      <c r="T726" s="326"/>
      <c r="U726" s="326"/>
      <c r="V726" s="326"/>
      <c r="W726" s="326"/>
      <c r="X726" s="326"/>
      <c r="Y726" s="326"/>
      <c r="Z726" s="326"/>
      <c r="AA726" s="326"/>
      <c r="AB726" s="326"/>
      <c r="AC726" s="326"/>
      <c r="AD726" s="326"/>
    </row>
    <row r="727">
      <c r="A727" s="326"/>
      <c r="B727" s="326"/>
      <c r="C727" s="326"/>
      <c r="D727" s="326"/>
      <c r="E727" s="326"/>
      <c r="F727" s="326"/>
      <c r="G727" s="326"/>
      <c r="H727" s="326"/>
      <c r="I727" s="326"/>
      <c r="J727" s="326"/>
      <c r="K727" s="326"/>
      <c r="L727" s="326"/>
      <c r="M727" s="326"/>
      <c r="N727" s="326"/>
      <c r="O727" s="326"/>
      <c r="P727" s="326"/>
      <c r="Q727" s="326"/>
      <c r="R727" s="326"/>
      <c r="S727" s="326"/>
      <c r="T727" s="326"/>
      <c r="U727" s="326"/>
      <c r="V727" s="326"/>
      <c r="W727" s="326"/>
      <c r="X727" s="326"/>
      <c r="Y727" s="326"/>
      <c r="Z727" s="326"/>
      <c r="AA727" s="326"/>
      <c r="AB727" s="326"/>
      <c r="AC727" s="326"/>
      <c r="AD727" s="326"/>
    </row>
    <row r="728">
      <c r="A728" s="326"/>
      <c r="B728" s="326"/>
      <c r="C728" s="326"/>
      <c r="D728" s="326"/>
      <c r="E728" s="326"/>
      <c r="F728" s="326"/>
      <c r="G728" s="326"/>
      <c r="H728" s="326"/>
      <c r="I728" s="326"/>
      <c r="J728" s="326"/>
      <c r="K728" s="326"/>
      <c r="L728" s="326"/>
      <c r="M728" s="326"/>
      <c r="N728" s="326"/>
      <c r="O728" s="326"/>
      <c r="P728" s="326"/>
      <c r="Q728" s="326"/>
      <c r="R728" s="326"/>
      <c r="S728" s="326"/>
      <c r="T728" s="326"/>
      <c r="U728" s="326"/>
      <c r="V728" s="326"/>
      <c r="W728" s="326"/>
      <c r="X728" s="326"/>
      <c r="Y728" s="326"/>
      <c r="Z728" s="326"/>
      <c r="AA728" s="326"/>
      <c r="AB728" s="326"/>
      <c r="AC728" s="326"/>
      <c r="AD728" s="326"/>
    </row>
    <row r="729">
      <c r="A729" s="326"/>
      <c r="B729" s="326"/>
      <c r="C729" s="326"/>
      <c r="D729" s="326"/>
      <c r="E729" s="326"/>
      <c r="F729" s="326"/>
      <c r="G729" s="326"/>
      <c r="H729" s="326"/>
      <c r="I729" s="326"/>
      <c r="J729" s="326"/>
      <c r="K729" s="326"/>
      <c r="L729" s="326"/>
      <c r="M729" s="326"/>
      <c r="N729" s="326"/>
      <c r="O729" s="326"/>
      <c r="P729" s="326"/>
      <c r="Q729" s="326"/>
      <c r="R729" s="326"/>
      <c r="S729" s="326"/>
      <c r="T729" s="326"/>
      <c r="U729" s="326"/>
      <c r="V729" s="326"/>
      <c r="W729" s="326"/>
      <c r="X729" s="326"/>
      <c r="Y729" s="326"/>
      <c r="Z729" s="326"/>
      <c r="AA729" s="326"/>
      <c r="AB729" s="326"/>
      <c r="AC729" s="326"/>
      <c r="AD729" s="326"/>
    </row>
    <row r="730">
      <c r="A730" s="326"/>
      <c r="B730" s="326"/>
      <c r="C730" s="326"/>
      <c r="D730" s="326"/>
      <c r="E730" s="326"/>
      <c r="F730" s="326"/>
      <c r="G730" s="326"/>
      <c r="H730" s="326"/>
      <c r="I730" s="326"/>
      <c r="J730" s="326"/>
      <c r="K730" s="326"/>
      <c r="L730" s="326"/>
      <c r="M730" s="326"/>
      <c r="N730" s="326"/>
      <c r="O730" s="326"/>
      <c r="P730" s="326"/>
      <c r="Q730" s="326"/>
      <c r="R730" s="326"/>
      <c r="S730" s="326"/>
      <c r="T730" s="326"/>
      <c r="U730" s="326"/>
      <c r="V730" s="326"/>
      <c r="W730" s="326"/>
      <c r="X730" s="326"/>
      <c r="Y730" s="326"/>
      <c r="Z730" s="326"/>
      <c r="AA730" s="326"/>
      <c r="AB730" s="326"/>
      <c r="AC730" s="326"/>
      <c r="AD730" s="326"/>
    </row>
    <row r="731">
      <c r="A731" s="326"/>
      <c r="B731" s="326"/>
      <c r="C731" s="326"/>
      <c r="D731" s="326"/>
      <c r="E731" s="326"/>
      <c r="F731" s="326"/>
      <c r="G731" s="326"/>
      <c r="H731" s="326"/>
      <c r="I731" s="326"/>
      <c r="J731" s="326"/>
      <c r="K731" s="326"/>
      <c r="L731" s="326"/>
      <c r="M731" s="326"/>
      <c r="N731" s="326"/>
      <c r="O731" s="326"/>
      <c r="P731" s="326"/>
      <c r="Q731" s="326"/>
      <c r="R731" s="326"/>
      <c r="S731" s="326"/>
      <c r="T731" s="326"/>
      <c r="U731" s="326"/>
      <c r="V731" s="326"/>
      <c r="W731" s="326"/>
      <c r="X731" s="326"/>
      <c r="Y731" s="326"/>
      <c r="Z731" s="326"/>
      <c r="AA731" s="326"/>
      <c r="AB731" s="326"/>
      <c r="AC731" s="326"/>
      <c r="AD731" s="326"/>
    </row>
    <row r="732">
      <c r="A732" s="326"/>
      <c r="B732" s="326"/>
      <c r="C732" s="326"/>
      <c r="D732" s="326"/>
      <c r="E732" s="326"/>
      <c r="F732" s="326"/>
      <c r="G732" s="326"/>
      <c r="H732" s="326"/>
      <c r="I732" s="326"/>
      <c r="J732" s="326"/>
      <c r="K732" s="326"/>
      <c r="L732" s="326"/>
      <c r="M732" s="326"/>
      <c r="N732" s="326"/>
      <c r="O732" s="326"/>
      <c r="P732" s="326"/>
      <c r="Q732" s="326"/>
      <c r="R732" s="326"/>
      <c r="S732" s="326"/>
      <c r="T732" s="326"/>
      <c r="U732" s="326"/>
      <c r="V732" s="326"/>
      <c r="W732" s="326"/>
      <c r="X732" s="326"/>
      <c r="Y732" s="326"/>
      <c r="Z732" s="326"/>
      <c r="AA732" s="326"/>
      <c r="AB732" s="326"/>
      <c r="AC732" s="326"/>
      <c r="AD732" s="326"/>
    </row>
    <row r="733">
      <c r="A733" s="326"/>
      <c r="B733" s="326"/>
      <c r="C733" s="326"/>
      <c r="D733" s="326"/>
      <c r="E733" s="326"/>
      <c r="F733" s="326"/>
      <c r="G733" s="326"/>
      <c r="H733" s="326"/>
      <c r="I733" s="326"/>
      <c r="J733" s="326"/>
      <c r="K733" s="326"/>
      <c r="L733" s="326"/>
      <c r="M733" s="326"/>
      <c r="N733" s="326"/>
      <c r="O733" s="326"/>
      <c r="P733" s="326"/>
      <c r="Q733" s="326"/>
      <c r="R733" s="326"/>
      <c r="S733" s="326"/>
      <c r="T733" s="326"/>
      <c r="U733" s="326"/>
      <c r="V733" s="326"/>
      <c r="W733" s="326"/>
      <c r="X733" s="326"/>
      <c r="Y733" s="326"/>
      <c r="Z733" s="326"/>
      <c r="AA733" s="326"/>
      <c r="AB733" s="326"/>
      <c r="AC733" s="326"/>
      <c r="AD733" s="326"/>
    </row>
    <row r="734">
      <c r="A734" s="326"/>
      <c r="B734" s="326"/>
      <c r="C734" s="326"/>
      <c r="D734" s="326"/>
      <c r="E734" s="326"/>
      <c r="F734" s="326"/>
      <c r="G734" s="326"/>
      <c r="H734" s="326"/>
      <c r="I734" s="326"/>
      <c r="J734" s="326"/>
      <c r="K734" s="326"/>
      <c r="L734" s="326"/>
      <c r="M734" s="326"/>
      <c r="N734" s="326"/>
      <c r="O734" s="326"/>
      <c r="P734" s="326"/>
      <c r="Q734" s="326"/>
      <c r="R734" s="326"/>
      <c r="S734" s="326"/>
      <c r="T734" s="326"/>
      <c r="U734" s="326"/>
      <c r="V734" s="326"/>
      <c r="W734" s="326"/>
      <c r="X734" s="326"/>
      <c r="Y734" s="326"/>
      <c r="Z734" s="326"/>
      <c r="AA734" s="326"/>
      <c r="AB734" s="326"/>
      <c r="AC734" s="326"/>
      <c r="AD734" s="326"/>
    </row>
    <row r="735">
      <c r="A735" s="326"/>
      <c r="B735" s="326"/>
      <c r="C735" s="326"/>
      <c r="D735" s="326"/>
      <c r="E735" s="326"/>
      <c r="F735" s="326"/>
      <c r="G735" s="326"/>
      <c r="H735" s="326"/>
      <c r="I735" s="326"/>
      <c r="J735" s="326"/>
      <c r="K735" s="326"/>
      <c r="L735" s="326"/>
      <c r="M735" s="326"/>
      <c r="N735" s="326"/>
      <c r="O735" s="326"/>
      <c r="P735" s="326"/>
      <c r="Q735" s="326"/>
      <c r="R735" s="326"/>
      <c r="S735" s="326"/>
      <c r="T735" s="326"/>
      <c r="U735" s="326"/>
      <c r="V735" s="326"/>
      <c r="W735" s="326"/>
      <c r="X735" s="326"/>
      <c r="Y735" s="326"/>
      <c r="Z735" s="326"/>
      <c r="AA735" s="326"/>
      <c r="AB735" s="326"/>
      <c r="AC735" s="326"/>
      <c r="AD735" s="326"/>
    </row>
    <row r="736">
      <c r="A736" s="326"/>
      <c r="B736" s="326"/>
      <c r="C736" s="326"/>
      <c r="D736" s="326"/>
      <c r="E736" s="326"/>
      <c r="F736" s="326"/>
      <c r="G736" s="326"/>
      <c r="H736" s="326"/>
      <c r="I736" s="326"/>
      <c r="J736" s="326"/>
      <c r="K736" s="326"/>
      <c r="L736" s="326"/>
      <c r="M736" s="326"/>
      <c r="N736" s="326"/>
      <c r="O736" s="326"/>
      <c r="P736" s="326"/>
      <c r="Q736" s="326"/>
      <c r="R736" s="326"/>
      <c r="S736" s="326"/>
      <c r="T736" s="326"/>
      <c r="U736" s="326"/>
      <c r="V736" s="326"/>
      <c r="W736" s="326"/>
      <c r="X736" s="326"/>
      <c r="Y736" s="326"/>
      <c r="Z736" s="326"/>
      <c r="AA736" s="326"/>
      <c r="AB736" s="326"/>
      <c r="AC736" s="326"/>
      <c r="AD736" s="326"/>
    </row>
    <row r="737">
      <c r="A737" s="326"/>
      <c r="B737" s="326"/>
      <c r="C737" s="326"/>
      <c r="D737" s="326"/>
      <c r="E737" s="326"/>
      <c r="F737" s="326"/>
      <c r="G737" s="326"/>
      <c r="H737" s="326"/>
      <c r="I737" s="326"/>
      <c r="J737" s="326"/>
      <c r="K737" s="326"/>
      <c r="L737" s="326"/>
      <c r="M737" s="326"/>
      <c r="N737" s="326"/>
      <c r="O737" s="326"/>
      <c r="P737" s="326"/>
      <c r="Q737" s="326"/>
      <c r="R737" s="326"/>
      <c r="S737" s="326"/>
      <c r="T737" s="326"/>
      <c r="U737" s="326"/>
      <c r="V737" s="326"/>
      <c r="W737" s="326"/>
      <c r="X737" s="326"/>
      <c r="Y737" s="326"/>
      <c r="Z737" s="326"/>
      <c r="AA737" s="326"/>
      <c r="AB737" s="326"/>
      <c r="AC737" s="326"/>
      <c r="AD737" s="326"/>
    </row>
    <row r="738">
      <c r="A738" s="326"/>
      <c r="B738" s="326"/>
      <c r="C738" s="326"/>
      <c r="D738" s="326"/>
      <c r="E738" s="326"/>
      <c r="F738" s="326"/>
      <c r="G738" s="326"/>
      <c r="H738" s="326"/>
      <c r="I738" s="326"/>
      <c r="J738" s="326"/>
      <c r="K738" s="326"/>
      <c r="L738" s="326"/>
      <c r="M738" s="326"/>
      <c r="N738" s="326"/>
      <c r="O738" s="326"/>
      <c r="P738" s="326"/>
      <c r="Q738" s="326"/>
      <c r="R738" s="326"/>
      <c r="S738" s="326"/>
      <c r="T738" s="326"/>
      <c r="U738" s="326"/>
      <c r="V738" s="326"/>
      <c r="W738" s="326"/>
      <c r="X738" s="326"/>
      <c r="Y738" s="326"/>
      <c r="Z738" s="326"/>
      <c r="AA738" s="326"/>
      <c r="AB738" s="326"/>
      <c r="AC738" s="326"/>
      <c r="AD738" s="326"/>
    </row>
    <row r="739">
      <c r="A739" s="326"/>
      <c r="B739" s="326"/>
      <c r="C739" s="326"/>
      <c r="D739" s="326"/>
      <c r="E739" s="326"/>
      <c r="F739" s="326"/>
      <c r="G739" s="326"/>
      <c r="H739" s="326"/>
      <c r="I739" s="326"/>
      <c r="J739" s="326"/>
      <c r="K739" s="326"/>
      <c r="L739" s="326"/>
      <c r="M739" s="326"/>
      <c r="N739" s="326"/>
      <c r="O739" s="326"/>
      <c r="P739" s="326"/>
      <c r="Q739" s="326"/>
      <c r="R739" s="326"/>
      <c r="S739" s="326"/>
      <c r="T739" s="326"/>
      <c r="U739" s="326"/>
      <c r="V739" s="326"/>
      <c r="W739" s="326"/>
      <c r="X739" s="326"/>
      <c r="Y739" s="326"/>
      <c r="Z739" s="326"/>
      <c r="AA739" s="326"/>
      <c r="AB739" s="326"/>
      <c r="AC739" s="326"/>
      <c r="AD739" s="326"/>
    </row>
    <row r="740">
      <c r="A740" s="326"/>
      <c r="B740" s="326"/>
      <c r="C740" s="326"/>
      <c r="D740" s="326"/>
      <c r="E740" s="326"/>
      <c r="F740" s="326"/>
      <c r="G740" s="326"/>
      <c r="H740" s="326"/>
      <c r="I740" s="326"/>
      <c r="J740" s="326"/>
      <c r="K740" s="326"/>
      <c r="L740" s="326"/>
      <c r="M740" s="326"/>
      <c r="N740" s="326"/>
      <c r="O740" s="326"/>
      <c r="P740" s="326"/>
      <c r="Q740" s="326"/>
      <c r="R740" s="326"/>
      <c r="S740" s="326"/>
      <c r="T740" s="326"/>
      <c r="U740" s="326"/>
      <c r="V740" s="326"/>
      <c r="W740" s="326"/>
      <c r="X740" s="326"/>
      <c r="Y740" s="326"/>
      <c r="Z740" s="326"/>
      <c r="AA740" s="326"/>
      <c r="AB740" s="326"/>
      <c r="AC740" s="326"/>
      <c r="AD740" s="326"/>
    </row>
    <row r="741">
      <c r="A741" s="326"/>
      <c r="B741" s="326"/>
      <c r="C741" s="326"/>
      <c r="D741" s="326"/>
      <c r="E741" s="326"/>
      <c r="F741" s="326"/>
      <c r="G741" s="326"/>
      <c r="H741" s="326"/>
      <c r="I741" s="326"/>
      <c r="J741" s="326"/>
      <c r="K741" s="326"/>
      <c r="L741" s="326"/>
      <c r="M741" s="326"/>
      <c r="N741" s="326"/>
      <c r="O741" s="326"/>
      <c r="P741" s="326"/>
      <c r="Q741" s="326"/>
      <c r="R741" s="326"/>
      <c r="S741" s="326"/>
      <c r="T741" s="326"/>
      <c r="U741" s="326"/>
      <c r="V741" s="326"/>
      <c r="W741" s="326"/>
      <c r="X741" s="326"/>
      <c r="Y741" s="326"/>
      <c r="Z741" s="326"/>
      <c r="AA741" s="326"/>
      <c r="AB741" s="326"/>
      <c r="AC741" s="326"/>
      <c r="AD741" s="326"/>
    </row>
    <row r="742">
      <c r="A742" s="326"/>
      <c r="B742" s="326"/>
      <c r="C742" s="326"/>
      <c r="D742" s="326"/>
      <c r="E742" s="326"/>
      <c r="F742" s="326"/>
      <c r="G742" s="326"/>
      <c r="H742" s="326"/>
      <c r="I742" s="326"/>
      <c r="J742" s="326"/>
      <c r="K742" s="326"/>
      <c r="L742" s="326"/>
      <c r="M742" s="326"/>
      <c r="N742" s="326"/>
      <c r="O742" s="326"/>
      <c r="P742" s="326"/>
      <c r="Q742" s="326"/>
      <c r="R742" s="326"/>
      <c r="S742" s="326"/>
      <c r="T742" s="326"/>
      <c r="U742" s="326"/>
      <c r="V742" s="326"/>
      <c r="W742" s="326"/>
      <c r="X742" s="326"/>
      <c r="Y742" s="326"/>
      <c r="Z742" s="326"/>
      <c r="AA742" s="326"/>
      <c r="AB742" s="326"/>
      <c r="AC742" s="326"/>
      <c r="AD742" s="326"/>
    </row>
    <row r="743">
      <c r="A743" s="326"/>
      <c r="B743" s="326"/>
      <c r="C743" s="326"/>
      <c r="D743" s="326"/>
      <c r="E743" s="326"/>
      <c r="F743" s="326"/>
      <c r="G743" s="326"/>
      <c r="H743" s="326"/>
      <c r="I743" s="326"/>
      <c r="J743" s="326"/>
      <c r="K743" s="326"/>
      <c r="L743" s="326"/>
      <c r="M743" s="326"/>
      <c r="N743" s="326"/>
      <c r="O743" s="326"/>
      <c r="P743" s="326"/>
      <c r="Q743" s="326"/>
      <c r="R743" s="326"/>
      <c r="S743" s="326"/>
      <c r="T743" s="326"/>
      <c r="U743" s="326"/>
      <c r="V743" s="326"/>
      <c r="W743" s="326"/>
      <c r="X743" s="326"/>
      <c r="Y743" s="326"/>
      <c r="Z743" s="326"/>
      <c r="AA743" s="326"/>
      <c r="AB743" s="326"/>
      <c r="AC743" s="326"/>
      <c r="AD743" s="326"/>
    </row>
    <row r="744">
      <c r="A744" s="326"/>
      <c r="B744" s="326"/>
      <c r="C744" s="326"/>
      <c r="D744" s="326"/>
      <c r="E744" s="326"/>
      <c r="F744" s="326"/>
      <c r="G744" s="326"/>
      <c r="H744" s="326"/>
      <c r="I744" s="326"/>
      <c r="J744" s="326"/>
      <c r="K744" s="326"/>
      <c r="L744" s="326"/>
      <c r="M744" s="326"/>
      <c r="N744" s="326"/>
      <c r="O744" s="326"/>
      <c r="P744" s="326"/>
      <c r="Q744" s="326"/>
      <c r="R744" s="326"/>
      <c r="S744" s="326"/>
      <c r="T744" s="326"/>
      <c r="U744" s="326"/>
      <c r="V744" s="326"/>
      <c r="W744" s="326"/>
      <c r="X744" s="326"/>
      <c r="Y744" s="326"/>
      <c r="Z744" s="326"/>
      <c r="AA744" s="326"/>
      <c r="AB744" s="326"/>
      <c r="AC744" s="326"/>
      <c r="AD744" s="326"/>
    </row>
    <row r="745">
      <c r="A745" s="326"/>
      <c r="B745" s="326"/>
      <c r="C745" s="326"/>
      <c r="D745" s="326"/>
      <c r="E745" s="326"/>
      <c r="F745" s="326"/>
      <c r="G745" s="326"/>
      <c r="H745" s="326"/>
      <c r="I745" s="326"/>
      <c r="J745" s="326"/>
      <c r="K745" s="326"/>
      <c r="L745" s="326"/>
      <c r="M745" s="326"/>
      <c r="N745" s="326"/>
      <c r="O745" s="326"/>
      <c r="P745" s="326"/>
      <c r="Q745" s="326"/>
      <c r="R745" s="326"/>
      <c r="S745" s="326"/>
      <c r="T745" s="326"/>
      <c r="U745" s="326"/>
      <c r="V745" s="326"/>
      <c r="W745" s="326"/>
      <c r="X745" s="326"/>
      <c r="Y745" s="326"/>
      <c r="Z745" s="326"/>
      <c r="AA745" s="326"/>
      <c r="AB745" s="326"/>
      <c r="AC745" s="326"/>
      <c r="AD745" s="326"/>
    </row>
    <row r="746">
      <c r="A746" s="326"/>
      <c r="B746" s="326"/>
      <c r="C746" s="326"/>
      <c r="D746" s="326"/>
      <c r="E746" s="326"/>
      <c r="F746" s="326"/>
      <c r="G746" s="326"/>
      <c r="H746" s="326"/>
      <c r="I746" s="326"/>
      <c r="J746" s="326"/>
      <c r="K746" s="326"/>
      <c r="L746" s="326"/>
      <c r="M746" s="326"/>
      <c r="N746" s="326"/>
      <c r="O746" s="326"/>
      <c r="P746" s="326"/>
      <c r="Q746" s="326"/>
      <c r="R746" s="326"/>
      <c r="S746" s="326"/>
      <c r="T746" s="326"/>
      <c r="U746" s="326"/>
      <c r="V746" s="326"/>
      <c r="W746" s="326"/>
      <c r="X746" s="326"/>
      <c r="Y746" s="326"/>
      <c r="Z746" s="326"/>
      <c r="AA746" s="326"/>
      <c r="AB746" s="326"/>
      <c r="AC746" s="326"/>
      <c r="AD746" s="326"/>
    </row>
    <row r="747">
      <c r="A747" s="326"/>
      <c r="B747" s="326"/>
      <c r="C747" s="326"/>
      <c r="D747" s="326"/>
      <c r="E747" s="326"/>
      <c r="F747" s="326"/>
      <c r="G747" s="326"/>
      <c r="H747" s="326"/>
      <c r="I747" s="326"/>
      <c r="J747" s="326"/>
      <c r="K747" s="326"/>
      <c r="L747" s="326"/>
      <c r="M747" s="326"/>
      <c r="N747" s="326"/>
      <c r="O747" s="326"/>
      <c r="P747" s="326"/>
      <c r="Q747" s="326"/>
      <c r="R747" s="326"/>
      <c r="S747" s="326"/>
      <c r="T747" s="326"/>
      <c r="U747" s="326"/>
      <c r="V747" s="326"/>
      <c r="W747" s="326"/>
      <c r="X747" s="326"/>
      <c r="Y747" s="326"/>
      <c r="Z747" s="326"/>
      <c r="AA747" s="326"/>
      <c r="AB747" s="326"/>
      <c r="AC747" s="326"/>
      <c r="AD747" s="326"/>
    </row>
    <row r="748">
      <c r="A748" s="326"/>
      <c r="B748" s="326"/>
      <c r="C748" s="326"/>
      <c r="D748" s="326"/>
      <c r="E748" s="326"/>
      <c r="F748" s="326"/>
      <c r="G748" s="326"/>
      <c r="H748" s="326"/>
      <c r="I748" s="326"/>
      <c r="J748" s="326"/>
      <c r="K748" s="326"/>
      <c r="L748" s="326"/>
      <c r="M748" s="326"/>
      <c r="N748" s="326"/>
      <c r="O748" s="326"/>
      <c r="P748" s="326"/>
      <c r="Q748" s="326"/>
      <c r="R748" s="326"/>
      <c r="S748" s="326"/>
      <c r="T748" s="326"/>
      <c r="U748" s="326"/>
      <c r="V748" s="326"/>
      <c r="W748" s="326"/>
      <c r="X748" s="326"/>
      <c r="Y748" s="326"/>
      <c r="Z748" s="326"/>
      <c r="AA748" s="326"/>
      <c r="AB748" s="326"/>
      <c r="AC748" s="326"/>
      <c r="AD748" s="326"/>
    </row>
    <row r="749">
      <c r="A749" s="326"/>
      <c r="B749" s="326"/>
      <c r="C749" s="326"/>
      <c r="D749" s="326"/>
      <c r="E749" s="326"/>
      <c r="F749" s="326"/>
      <c r="G749" s="326"/>
      <c r="H749" s="326"/>
      <c r="I749" s="326"/>
      <c r="J749" s="326"/>
      <c r="K749" s="326"/>
      <c r="L749" s="326"/>
      <c r="M749" s="326"/>
      <c r="N749" s="326"/>
      <c r="O749" s="326"/>
      <c r="P749" s="326"/>
      <c r="Q749" s="326"/>
      <c r="R749" s="326"/>
      <c r="S749" s="326"/>
      <c r="T749" s="326"/>
      <c r="U749" s="326"/>
      <c r="V749" s="326"/>
      <c r="W749" s="326"/>
      <c r="X749" s="326"/>
      <c r="Y749" s="326"/>
      <c r="Z749" s="326"/>
      <c r="AA749" s="326"/>
      <c r="AB749" s="326"/>
      <c r="AC749" s="326"/>
      <c r="AD749" s="326"/>
    </row>
    <row r="750">
      <c r="A750" s="326"/>
      <c r="B750" s="326"/>
      <c r="C750" s="326"/>
      <c r="D750" s="326"/>
      <c r="E750" s="326"/>
      <c r="F750" s="326"/>
      <c r="G750" s="326"/>
      <c r="H750" s="326"/>
      <c r="I750" s="326"/>
      <c r="J750" s="326"/>
      <c r="K750" s="326"/>
      <c r="L750" s="326"/>
      <c r="M750" s="326"/>
      <c r="N750" s="326"/>
      <c r="O750" s="326"/>
      <c r="P750" s="326"/>
      <c r="Q750" s="326"/>
      <c r="R750" s="326"/>
      <c r="S750" s="326"/>
      <c r="T750" s="326"/>
      <c r="U750" s="326"/>
      <c r="V750" s="326"/>
      <c r="W750" s="326"/>
      <c r="X750" s="326"/>
      <c r="Y750" s="326"/>
      <c r="Z750" s="326"/>
      <c r="AA750" s="326"/>
      <c r="AB750" s="326"/>
      <c r="AC750" s="326"/>
      <c r="AD750" s="326"/>
    </row>
    <row r="751">
      <c r="A751" s="326"/>
      <c r="B751" s="326"/>
      <c r="C751" s="326"/>
      <c r="D751" s="326"/>
      <c r="E751" s="326"/>
      <c r="F751" s="326"/>
      <c r="G751" s="326"/>
      <c r="H751" s="326"/>
      <c r="I751" s="326"/>
      <c r="J751" s="326"/>
      <c r="K751" s="326"/>
      <c r="L751" s="326"/>
      <c r="M751" s="326"/>
      <c r="N751" s="326"/>
      <c r="O751" s="326"/>
      <c r="P751" s="326"/>
      <c r="Q751" s="326"/>
      <c r="R751" s="326"/>
      <c r="S751" s="326"/>
      <c r="T751" s="326"/>
      <c r="U751" s="326"/>
      <c r="V751" s="326"/>
      <c r="W751" s="326"/>
      <c r="X751" s="326"/>
      <c r="Y751" s="326"/>
      <c r="Z751" s="326"/>
      <c r="AA751" s="326"/>
      <c r="AB751" s="326"/>
      <c r="AC751" s="326"/>
      <c r="AD751" s="326"/>
    </row>
    <row r="752">
      <c r="A752" s="326"/>
      <c r="B752" s="326"/>
      <c r="C752" s="326"/>
      <c r="D752" s="326"/>
      <c r="E752" s="326"/>
      <c r="F752" s="326"/>
      <c r="G752" s="326"/>
      <c r="H752" s="326"/>
      <c r="I752" s="326"/>
      <c r="J752" s="326"/>
      <c r="K752" s="326"/>
      <c r="L752" s="326"/>
      <c r="M752" s="326"/>
      <c r="N752" s="326"/>
      <c r="O752" s="326"/>
      <c r="P752" s="326"/>
      <c r="Q752" s="326"/>
      <c r="R752" s="326"/>
      <c r="S752" s="326"/>
      <c r="T752" s="326"/>
      <c r="U752" s="326"/>
      <c r="V752" s="326"/>
      <c r="W752" s="326"/>
      <c r="X752" s="326"/>
      <c r="Y752" s="326"/>
      <c r="Z752" s="326"/>
      <c r="AA752" s="326"/>
      <c r="AB752" s="326"/>
      <c r="AC752" s="326"/>
      <c r="AD752" s="326"/>
    </row>
    <row r="753">
      <c r="A753" s="326"/>
      <c r="B753" s="326"/>
      <c r="C753" s="326"/>
      <c r="D753" s="326"/>
      <c r="E753" s="326"/>
      <c r="F753" s="326"/>
      <c r="G753" s="326"/>
      <c r="H753" s="326"/>
      <c r="I753" s="326"/>
      <c r="J753" s="326"/>
      <c r="K753" s="326"/>
      <c r="L753" s="326"/>
      <c r="M753" s="326"/>
      <c r="N753" s="326"/>
      <c r="O753" s="326"/>
      <c r="P753" s="326"/>
      <c r="Q753" s="326"/>
      <c r="R753" s="326"/>
      <c r="S753" s="326"/>
      <c r="T753" s="326"/>
      <c r="U753" s="326"/>
      <c r="V753" s="326"/>
      <c r="W753" s="326"/>
      <c r="X753" s="326"/>
      <c r="Y753" s="326"/>
      <c r="Z753" s="326"/>
      <c r="AA753" s="326"/>
      <c r="AB753" s="326"/>
      <c r="AC753" s="326"/>
      <c r="AD753" s="326"/>
    </row>
    <row r="754">
      <c r="A754" s="326"/>
      <c r="B754" s="326"/>
      <c r="C754" s="326"/>
      <c r="D754" s="326"/>
      <c r="E754" s="326"/>
      <c r="F754" s="326"/>
      <c r="G754" s="326"/>
      <c r="H754" s="326"/>
      <c r="I754" s="326"/>
      <c r="J754" s="326"/>
      <c r="K754" s="326"/>
      <c r="L754" s="326"/>
      <c r="M754" s="326"/>
      <c r="N754" s="326"/>
      <c r="O754" s="326"/>
      <c r="P754" s="326"/>
      <c r="Q754" s="326"/>
      <c r="R754" s="326"/>
      <c r="S754" s="326"/>
      <c r="T754" s="326"/>
      <c r="U754" s="326"/>
      <c r="V754" s="326"/>
      <c r="W754" s="326"/>
      <c r="X754" s="326"/>
      <c r="Y754" s="326"/>
      <c r="Z754" s="326"/>
      <c r="AA754" s="326"/>
      <c r="AB754" s="326"/>
      <c r="AC754" s="326"/>
      <c r="AD754" s="326"/>
    </row>
    <row r="755">
      <c r="A755" s="326"/>
      <c r="B755" s="326"/>
      <c r="C755" s="326"/>
      <c r="D755" s="326"/>
      <c r="E755" s="326"/>
      <c r="F755" s="326"/>
      <c r="G755" s="326"/>
      <c r="H755" s="326"/>
      <c r="I755" s="326"/>
      <c r="J755" s="326"/>
      <c r="K755" s="326"/>
      <c r="L755" s="326"/>
      <c r="M755" s="326"/>
      <c r="N755" s="326"/>
      <c r="O755" s="326"/>
      <c r="P755" s="326"/>
      <c r="Q755" s="326"/>
      <c r="R755" s="326"/>
      <c r="S755" s="326"/>
      <c r="T755" s="326"/>
      <c r="U755" s="326"/>
      <c r="V755" s="326"/>
      <c r="W755" s="326"/>
      <c r="X755" s="326"/>
      <c r="Y755" s="326"/>
      <c r="Z755" s="326"/>
      <c r="AA755" s="326"/>
      <c r="AB755" s="326"/>
      <c r="AC755" s="326"/>
      <c r="AD755" s="326"/>
    </row>
    <row r="756">
      <c r="A756" s="326"/>
      <c r="B756" s="326"/>
      <c r="C756" s="326"/>
      <c r="D756" s="326"/>
      <c r="E756" s="326"/>
      <c r="F756" s="326"/>
      <c r="G756" s="326"/>
      <c r="H756" s="326"/>
      <c r="I756" s="326"/>
      <c r="J756" s="326"/>
      <c r="K756" s="326"/>
      <c r="L756" s="326"/>
      <c r="M756" s="326"/>
      <c r="N756" s="326"/>
      <c r="O756" s="326"/>
      <c r="P756" s="326"/>
      <c r="Q756" s="326"/>
      <c r="R756" s="326"/>
      <c r="S756" s="326"/>
      <c r="T756" s="326"/>
      <c r="U756" s="326"/>
      <c r="V756" s="326"/>
      <c r="W756" s="326"/>
      <c r="X756" s="326"/>
      <c r="Y756" s="326"/>
      <c r="Z756" s="326"/>
      <c r="AA756" s="326"/>
      <c r="AB756" s="326"/>
      <c r="AC756" s="326"/>
      <c r="AD756" s="326"/>
    </row>
    <row r="757">
      <c r="A757" s="326"/>
      <c r="B757" s="326"/>
      <c r="C757" s="326"/>
      <c r="D757" s="326"/>
      <c r="E757" s="326"/>
      <c r="F757" s="326"/>
      <c r="G757" s="326"/>
      <c r="H757" s="326"/>
      <c r="I757" s="326"/>
      <c r="J757" s="326"/>
      <c r="K757" s="326"/>
      <c r="L757" s="326"/>
      <c r="M757" s="326"/>
      <c r="N757" s="326"/>
      <c r="O757" s="326"/>
      <c r="P757" s="326"/>
      <c r="Q757" s="326"/>
      <c r="R757" s="326"/>
      <c r="S757" s="326"/>
      <c r="T757" s="326"/>
      <c r="U757" s="326"/>
      <c r="V757" s="326"/>
      <c r="W757" s="326"/>
      <c r="X757" s="326"/>
      <c r="Y757" s="326"/>
      <c r="Z757" s="326"/>
      <c r="AA757" s="326"/>
      <c r="AB757" s="326"/>
      <c r="AC757" s="326"/>
      <c r="AD757" s="326"/>
    </row>
    <row r="758">
      <c r="A758" s="326"/>
      <c r="B758" s="326"/>
      <c r="C758" s="326"/>
      <c r="D758" s="326"/>
      <c r="E758" s="326"/>
      <c r="F758" s="326"/>
      <c r="G758" s="326"/>
      <c r="H758" s="326"/>
      <c r="I758" s="326"/>
      <c r="J758" s="326"/>
      <c r="K758" s="326"/>
      <c r="L758" s="326"/>
      <c r="M758" s="326"/>
      <c r="N758" s="326"/>
      <c r="O758" s="326"/>
      <c r="P758" s="326"/>
      <c r="Q758" s="326"/>
      <c r="R758" s="326"/>
      <c r="S758" s="326"/>
      <c r="T758" s="326"/>
      <c r="U758" s="326"/>
      <c r="V758" s="326"/>
      <c r="W758" s="326"/>
      <c r="X758" s="326"/>
      <c r="Y758" s="326"/>
      <c r="Z758" s="326"/>
      <c r="AA758" s="326"/>
      <c r="AB758" s="326"/>
      <c r="AC758" s="326"/>
      <c r="AD758" s="326"/>
    </row>
    <row r="759">
      <c r="A759" s="326"/>
      <c r="B759" s="326"/>
      <c r="C759" s="326"/>
      <c r="D759" s="326"/>
      <c r="E759" s="326"/>
      <c r="F759" s="326"/>
      <c r="G759" s="326"/>
      <c r="H759" s="326"/>
      <c r="I759" s="326"/>
      <c r="J759" s="326"/>
      <c r="K759" s="326"/>
      <c r="L759" s="326"/>
      <c r="M759" s="326"/>
      <c r="N759" s="326"/>
      <c r="O759" s="326"/>
      <c r="P759" s="326"/>
      <c r="Q759" s="326"/>
      <c r="R759" s="326"/>
      <c r="S759" s="326"/>
      <c r="T759" s="326"/>
      <c r="U759" s="326"/>
      <c r="V759" s="326"/>
      <c r="W759" s="326"/>
      <c r="X759" s="326"/>
      <c r="Y759" s="326"/>
      <c r="Z759" s="326"/>
      <c r="AA759" s="326"/>
      <c r="AB759" s="326"/>
      <c r="AC759" s="326"/>
      <c r="AD759" s="326"/>
    </row>
    <row r="760">
      <c r="A760" s="326"/>
      <c r="B760" s="326"/>
      <c r="C760" s="326"/>
      <c r="D760" s="326"/>
      <c r="E760" s="326"/>
      <c r="F760" s="326"/>
      <c r="G760" s="326"/>
      <c r="H760" s="326"/>
      <c r="I760" s="326"/>
      <c r="J760" s="326"/>
      <c r="K760" s="326"/>
      <c r="L760" s="326"/>
      <c r="M760" s="326"/>
      <c r="N760" s="326"/>
      <c r="O760" s="326"/>
      <c r="P760" s="326"/>
      <c r="Q760" s="326"/>
      <c r="R760" s="326"/>
      <c r="S760" s="326"/>
      <c r="T760" s="326"/>
      <c r="U760" s="326"/>
      <c r="V760" s="326"/>
      <c r="W760" s="326"/>
      <c r="X760" s="326"/>
      <c r="Y760" s="326"/>
      <c r="Z760" s="326"/>
      <c r="AA760" s="326"/>
      <c r="AB760" s="326"/>
      <c r="AC760" s="326"/>
      <c r="AD760" s="326"/>
    </row>
    <row r="761">
      <c r="A761" s="326"/>
      <c r="B761" s="326"/>
      <c r="C761" s="326"/>
      <c r="D761" s="326"/>
      <c r="E761" s="326"/>
      <c r="F761" s="326"/>
      <c r="G761" s="326"/>
      <c r="H761" s="326"/>
      <c r="I761" s="326"/>
      <c r="J761" s="326"/>
      <c r="K761" s="326"/>
      <c r="L761" s="326"/>
      <c r="M761" s="326"/>
      <c r="N761" s="326"/>
      <c r="O761" s="326"/>
      <c r="P761" s="326"/>
      <c r="Q761" s="326"/>
      <c r="R761" s="326"/>
      <c r="S761" s="326"/>
      <c r="T761" s="326"/>
      <c r="U761" s="326"/>
      <c r="V761" s="326"/>
      <c r="W761" s="326"/>
      <c r="X761" s="326"/>
      <c r="Y761" s="326"/>
      <c r="Z761" s="326"/>
      <c r="AA761" s="326"/>
      <c r="AB761" s="326"/>
      <c r="AC761" s="326"/>
      <c r="AD761" s="326"/>
    </row>
    <row r="762">
      <c r="A762" s="326"/>
      <c r="B762" s="326"/>
      <c r="C762" s="326"/>
      <c r="D762" s="326"/>
      <c r="E762" s="326"/>
      <c r="F762" s="326"/>
      <c r="G762" s="326"/>
      <c r="H762" s="326"/>
      <c r="I762" s="326"/>
      <c r="J762" s="326"/>
      <c r="K762" s="326"/>
      <c r="L762" s="326"/>
      <c r="M762" s="326"/>
      <c r="N762" s="326"/>
      <c r="O762" s="326"/>
      <c r="P762" s="326"/>
      <c r="Q762" s="326"/>
      <c r="R762" s="326"/>
      <c r="S762" s="326"/>
      <c r="T762" s="326"/>
      <c r="U762" s="326"/>
      <c r="V762" s="326"/>
      <c r="W762" s="326"/>
      <c r="X762" s="326"/>
      <c r="Y762" s="326"/>
      <c r="Z762" s="326"/>
      <c r="AA762" s="326"/>
      <c r="AB762" s="326"/>
      <c r="AC762" s="326"/>
      <c r="AD762" s="326"/>
    </row>
    <row r="763">
      <c r="A763" s="326"/>
      <c r="B763" s="326"/>
      <c r="C763" s="326"/>
      <c r="D763" s="326"/>
      <c r="E763" s="326"/>
      <c r="F763" s="326"/>
      <c r="G763" s="326"/>
      <c r="H763" s="326"/>
      <c r="I763" s="326"/>
      <c r="J763" s="326"/>
      <c r="K763" s="326"/>
      <c r="L763" s="326"/>
      <c r="M763" s="326"/>
      <c r="N763" s="326"/>
      <c r="O763" s="326"/>
      <c r="P763" s="326"/>
      <c r="Q763" s="326"/>
      <c r="R763" s="326"/>
      <c r="S763" s="326"/>
      <c r="T763" s="326"/>
      <c r="U763" s="326"/>
      <c r="V763" s="326"/>
      <c r="W763" s="326"/>
      <c r="X763" s="326"/>
      <c r="Y763" s="326"/>
      <c r="Z763" s="326"/>
      <c r="AA763" s="326"/>
      <c r="AB763" s="326"/>
      <c r="AC763" s="326"/>
      <c r="AD763" s="326"/>
    </row>
    <row r="764">
      <c r="A764" s="326"/>
      <c r="B764" s="326"/>
      <c r="C764" s="326"/>
      <c r="D764" s="326"/>
      <c r="E764" s="326"/>
      <c r="F764" s="326"/>
      <c r="G764" s="326"/>
      <c r="H764" s="326"/>
      <c r="I764" s="326"/>
      <c r="J764" s="326"/>
      <c r="K764" s="326"/>
      <c r="L764" s="326"/>
      <c r="M764" s="326"/>
      <c r="N764" s="326"/>
      <c r="O764" s="326"/>
      <c r="P764" s="326"/>
      <c r="Q764" s="326"/>
      <c r="R764" s="326"/>
      <c r="S764" s="326"/>
      <c r="T764" s="326"/>
      <c r="U764" s="326"/>
      <c r="V764" s="326"/>
      <c r="W764" s="326"/>
      <c r="X764" s="326"/>
      <c r="Y764" s="326"/>
      <c r="Z764" s="326"/>
      <c r="AA764" s="326"/>
      <c r="AB764" s="326"/>
      <c r="AC764" s="326"/>
      <c r="AD764" s="326"/>
    </row>
    <row r="765">
      <c r="A765" s="326"/>
      <c r="B765" s="326"/>
      <c r="C765" s="326"/>
      <c r="D765" s="326"/>
      <c r="E765" s="326"/>
      <c r="F765" s="326"/>
      <c r="G765" s="326"/>
      <c r="H765" s="326"/>
      <c r="I765" s="326"/>
      <c r="J765" s="326"/>
      <c r="K765" s="326"/>
      <c r="L765" s="326"/>
      <c r="M765" s="326"/>
      <c r="N765" s="326"/>
      <c r="O765" s="326"/>
      <c r="P765" s="326"/>
      <c r="Q765" s="326"/>
      <c r="R765" s="326"/>
      <c r="S765" s="326"/>
      <c r="T765" s="326"/>
      <c r="U765" s="326"/>
      <c r="V765" s="326"/>
      <c r="W765" s="326"/>
      <c r="X765" s="326"/>
      <c r="Y765" s="326"/>
      <c r="Z765" s="326"/>
      <c r="AA765" s="326"/>
      <c r="AB765" s="326"/>
      <c r="AC765" s="326"/>
      <c r="AD765" s="326"/>
    </row>
    <row r="766">
      <c r="A766" s="326"/>
      <c r="B766" s="326"/>
      <c r="C766" s="326"/>
      <c r="D766" s="326"/>
      <c r="E766" s="326"/>
      <c r="F766" s="326"/>
      <c r="G766" s="326"/>
      <c r="H766" s="326"/>
      <c r="I766" s="326"/>
      <c r="J766" s="326"/>
      <c r="K766" s="326"/>
      <c r="L766" s="326"/>
      <c r="M766" s="326"/>
      <c r="N766" s="326"/>
      <c r="O766" s="326"/>
      <c r="P766" s="326"/>
      <c r="Q766" s="326"/>
      <c r="R766" s="326"/>
      <c r="S766" s="326"/>
      <c r="T766" s="326"/>
      <c r="U766" s="326"/>
      <c r="V766" s="326"/>
      <c r="W766" s="326"/>
      <c r="X766" s="326"/>
      <c r="Y766" s="326"/>
      <c r="Z766" s="326"/>
      <c r="AA766" s="326"/>
      <c r="AB766" s="326"/>
      <c r="AC766" s="326"/>
      <c r="AD766" s="326"/>
    </row>
    <row r="767">
      <c r="A767" s="326"/>
      <c r="B767" s="326"/>
      <c r="C767" s="326"/>
      <c r="D767" s="326"/>
      <c r="E767" s="326"/>
      <c r="F767" s="326"/>
      <c r="G767" s="326"/>
      <c r="H767" s="326"/>
      <c r="I767" s="326"/>
      <c r="J767" s="326"/>
      <c r="K767" s="326"/>
      <c r="L767" s="326"/>
      <c r="M767" s="326"/>
      <c r="N767" s="326"/>
      <c r="O767" s="326"/>
      <c r="P767" s="326"/>
      <c r="Q767" s="326"/>
      <c r="R767" s="326"/>
      <c r="S767" s="326"/>
      <c r="T767" s="326"/>
      <c r="U767" s="326"/>
      <c r="V767" s="326"/>
      <c r="W767" s="326"/>
      <c r="X767" s="326"/>
      <c r="Y767" s="326"/>
      <c r="Z767" s="326"/>
      <c r="AA767" s="326"/>
      <c r="AB767" s="326"/>
      <c r="AC767" s="326"/>
      <c r="AD767" s="326"/>
    </row>
    <row r="768">
      <c r="A768" s="326"/>
      <c r="B768" s="326"/>
      <c r="C768" s="326"/>
      <c r="D768" s="326"/>
      <c r="E768" s="326"/>
      <c r="F768" s="326"/>
      <c r="G768" s="326"/>
      <c r="H768" s="326"/>
      <c r="I768" s="326"/>
      <c r="J768" s="326"/>
      <c r="K768" s="326"/>
      <c r="L768" s="326"/>
      <c r="M768" s="326"/>
      <c r="N768" s="326"/>
      <c r="O768" s="326"/>
      <c r="P768" s="326"/>
      <c r="Q768" s="326"/>
      <c r="R768" s="326"/>
      <c r="S768" s="326"/>
      <c r="T768" s="326"/>
      <c r="U768" s="326"/>
      <c r="V768" s="326"/>
      <c r="W768" s="326"/>
      <c r="X768" s="326"/>
      <c r="Y768" s="326"/>
      <c r="Z768" s="326"/>
      <c r="AA768" s="326"/>
      <c r="AB768" s="326"/>
      <c r="AC768" s="326"/>
      <c r="AD768" s="326"/>
    </row>
    <row r="769">
      <c r="A769" s="326"/>
      <c r="B769" s="326"/>
      <c r="C769" s="326"/>
      <c r="D769" s="326"/>
      <c r="E769" s="326"/>
      <c r="F769" s="326"/>
      <c r="G769" s="326"/>
      <c r="H769" s="326"/>
      <c r="I769" s="326"/>
      <c r="J769" s="326"/>
      <c r="K769" s="326"/>
      <c r="L769" s="326"/>
      <c r="M769" s="326"/>
      <c r="N769" s="326"/>
      <c r="O769" s="326"/>
      <c r="P769" s="326"/>
      <c r="Q769" s="326"/>
      <c r="R769" s="326"/>
      <c r="S769" s="326"/>
      <c r="T769" s="326"/>
      <c r="U769" s="326"/>
      <c r="V769" s="326"/>
      <c r="W769" s="326"/>
      <c r="X769" s="326"/>
      <c r="Y769" s="326"/>
      <c r="Z769" s="326"/>
      <c r="AA769" s="326"/>
      <c r="AB769" s="326"/>
      <c r="AC769" s="326"/>
      <c r="AD769" s="326"/>
    </row>
    <row r="770">
      <c r="A770" s="326"/>
      <c r="B770" s="326"/>
      <c r="C770" s="326"/>
      <c r="D770" s="326"/>
      <c r="E770" s="326"/>
      <c r="F770" s="326"/>
      <c r="G770" s="326"/>
      <c r="H770" s="326"/>
      <c r="I770" s="326"/>
      <c r="J770" s="326"/>
      <c r="K770" s="326"/>
      <c r="L770" s="326"/>
      <c r="M770" s="326"/>
      <c r="N770" s="326"/>
      <c r="O770" s="326"/>
      <c r="P770" s="326"/>
      <c r="Q770" s="326"/>
      <c r="R770" s="326"/>
      <c r="S770" s="326"/>
      <c r="T770" s="326"/>
      <c r="U770" s="326"/>
      <c r="V770" s="326"/>
      <c r="W770" s="326"/>
      <c r="X770" s="326"/>
      <c r="Y770" s="326"/>
      <c r="Z770" s="326"/>
      <c r="AA770" s="326"/>
      <c r="AB770" s="326"/>
      <c r="AC770" s="326"/>
      <c r="AD770" s="326"/>
    </row>
    <row r="771">
      <c r="A771" s="326"/>
      <c r="B771" s="326"/>
      <c r="C771" s="326"/>
      <c r="D771" s="326"/>
      <c r="E771" s="326"/>
      <c r="F771" s="326"/>
      <c r="G771" s="326"/>
      <c r="H771" s="326"/>
      <c r="I771" s="326"/>
      <c r="J771" s="326"/>
      <c r="K771" s="326"/>
      <c r="L771" s="326"/>
      <c r="M771" s="326"/>
      <c r="N771" s="326"/>
      <c r="O771" s="326"/>
      <c r="P771" s="326"/>
      <c r="Q771" s="326"/>
      <c r="R771" s="326"/>
      <c r="S771" s="326"/>
      <c r="T771" s="326"/>
      <c r="U771" s="326"/>
      <c r="V771" s="326"/>
      <c r="W771" s="326"/>
      <c r="X771" s="326"/>
      <c r="Y771" s="326"/>
      <c r="Z771" s="326"/>
      <c r="AA771" s="326"/>
      <c r="AB771" s="326"/>
      <c r="AC771" s="326"/>
      <c r="AD771" s="326"/>
    </row>
    <row r="772">
      <c r="A772" s="326"/>
      <c r="B772" s="326"/>
      <c r="C772" s="326"/>
      <c r="D772" s="326"/>
      <c r="E772" s="326"/>
      <c r="F772" s="326"/>
      <c r="G772" s="326"/>
      <c r="H772" s="326"/>
      <c r="I772" s="326"/>
      <c r="J772" s="326"/>
      <c r="K772" s="326"/>
      <c r="L772" s="326"/>
      <c r="M772" s="326"/>
      <c r="N772" s="326"/>
      <c r="O772" s="326"/>
      <c r="P772" s="326"/>
      <c r="Q772" s="326"/>
      <c r="R772" s="326"/>
      <c r="S772" s="326"/>
      <c r="T772" s="326"/>
      <c r="U772" s="326"/>
      <c r="V772" s="326"/>
      <c r="W772" s="326"/>
      <c r="X772" s="326"/>
      <c r="Y772" s="326"/>
      <c r="Z772" s="326"/>
      <c r="AA772" s="326"/>
      <c r="AB772" s="326"/>
      <c r="AC772" s="326"/>
      <c r="AD772" s="326"/>
    </row>
    <row r="773">
      <c r="A773" s="326"/>
      <c r="B773" s="326"/>
      <c r="C773" s="326"/>
      <c r="D773" s="326"/>
      <c r="E773" s="326"/>
      <c r="F773" s="326"/>
      <c r="G773" s="326"/>
      <c r="H773" s="326"/>
      <c r="I773" s="326"/>
      <c r="J773" s="326"/>
      <c r="K773" s="326"/>
      <c r="L773" s="326"/>
      <c r="M773" s="326"/>
      <c r="N773" s="326"/>
      <c r="O773" s="326"/>
      <c r="P773" s="326"/>
      <c r="Q773" s="326"/>
      <c r="R773" s="326"/>
      <c r="S773" s="326"/>
      <c r="T773" s="326"/>
      <c r="U773" s="326"/>
      <c r="V773" s="326"/>
      <c r="W773" s="326"/>
      <c r="X773" s="326"/>
      <c r="Y773" s="326"/>
      <c r="Z773" s="326"/>
      <c r="AA773" s="326"/>
      <c r="AB773" s="326"/>
      <c r="AC773" s="326"/>
      <c r="AD773" s="326"/>
    </row>
    <row r="774">
      <c r="A774" s="326"/>
      <c r="B774" s="326"/>
      <c r="C774" s="326"/>
      <c r="D774" s="326"/>
      <c r="E774" s="326"/>
      <c r="F774" s="326"/>
      <c r="G774" s="326"/>
      <c r="H774" s="326"/>
      <c r="I774" s="326"/>
      <c r="J774" s="326"/>
      <c r="K774" s="326"/>
      <c r="L774" s="326"/>
      <c r="M774" s="326"/>
      <c r="N774" s="326"/>
      <c r="O774" s="326"/>
      <c r="P774" s="326"/>
      <c r="Q774" s="326"/>
      <c r="R774" s="326"/>
      <c r="S774" s="326"/>
      <c r="T774" s="326"/>
      <c r="U774" s="326"/>
      <c r="V774" s="326"/>
      <c r="W774" s="326"/>
      <c r="X774" s="326"/>
      <c r="Y774" s="326"/>
      <c r="Z774" s="326"/>
      <c r="AA774" s="326"/>
      <c r="AB774" s="326"/>
      <c r="AC774" s="326"/>
      <c r="AD774" s="326"/>
    </row>
    <row r="775">
      <c r="A775" s="326"/>
      <c r="B775" s="326"/>
      <c r="C775" s="326"/>
      <c r="D775" s="326"/>
      <c r="E775" s="326"/>
      <c r="F775" s="326"/>
      <c r="G775" s="326"/>
      <c r="H775" s="326"/>
      <c r="I775" s="326"/>
      <c r="J775" s="326"/>
      <c r="K775" s="326"/>
      <c r="L775" s="326"/>
      <c r="M775" s="326"/>
      <c r="N775" s="326"/>
      <c r="O775" s="326"/>
      <c r="P775" s="326"/>
      <c r="Q775" s="326"/>
      <c r="R775" s="326"/>
      <c r="S775" s="326"/>
      <c r="T775" s="326"/>
      <c r="U775" s="326"/>
      <c r="V775" s="326"/>
      <c r="W775" s="326"/>
      <c r="X775" s="326"/>
      <c r="Y775" s="326"/>
      <c r="Z775" s="326"/>
      <c r="AA775" s="326"/>
      <c r="AB775" s="326"/>
      <c r="AC775" s="326"/>
      <c r="AD775" s="326"/>
    </row>
    <row r="776">
      <c r="A776" s="326"/>
      <c r="B776" s="326"/>
      <c r="C776" s="326"/>
      <c r="D776" s="326"/>
      <c r="E776" s="326"/>
      <c r="F776" s="326"/>
      <c r="G776" s="326"/>
      <c r="H776" s="326"/>
      <c r="I776" s="326"/>
      <c r="J776" s="326"/>
      <c r="K776" s="326"/>
      <c r="L776" s="326"/>
      <c r="M776" s="326"/>
      <c r="N776" s="326"/>
      <c r="O776" s="326"/>
      <c r="P776" s="326"/>
      <c r="Q776" s="326"/>
      <c r="R776" s="326"/>
      <c r="S776" s="326"/>
      <c r="T776" s="326"/>
      <c r="U776" s="326"/>
      <c r="V776" s="326"/>
      <c r="W776" s="326"/>
      <c r="X776" s="326"/>
      <c r="Y776" s="326"/>
      <c r="Z776" s="326"/>
      <c r="AA776" s="326"/>
      <c r="AB776" s="326"/>
      <c r="AC776" s="326"/>
      <c r="AD776" s="326"/>
    </row>
    <row r="777">
      <c r="A777" s="326"/>
      <c r="B777" s="326"/>
      <c r="C777" s="326"/>
      <c r="D777" s="326"/>
      <c r="E777" s="326"/>
      <c r="F777" s="326"/>
      <c r="G777" s="326"/>
      <c r="H777" s="326"/>
      <c r="I777" s="326"/>
      <c r="J777" s="326"/>
      <c r="K777" s="326"/>
      <c r="L777" s="326"/>
      <c r="M777" s="326"/>
      <c r="N777" s="326"/>
      <c r="O777" s="326"/>
      <c r="P777" s="326"/>
      <c r="Q777" s="326"/>
      <c r="R777" s="326"/>
      <c r="S777" s="326"/>
      <c r="T777" s="326"/>
      <c r="U777" s="326"/>
      <c r="V777" s="326"/>
      <c r="W777" s="326"/>
      <c r="X777" s="326"/>
      <c r="Y777" s="326"/>
      <c r="Z777" s="326"/>
      <c r="AA777" s="326"/>
      <c r="AB777" s="326"/>
      <c r="AC777" s="326"/>
      <c r="AD777" s="326"/>
    </row>
    <row r="778">
      <c r="A778" s="326"/>
      <c r="B778" s="326"/>
      <c r="C778" s="326"/>
      <c r="D778" s="326"/>
      <c r="E778" s="326"/>
      <c r="F778" s="326"/>
      <c r="G778" s="326"/>
      <c r="H778" s="326"/>
      <c r="I778" s="326"/>
      <c r="J778" s="326"/>
      <c r="K778" s="326"/>
      <c r="L778" s="326"/>
      <c r="M778" s="326"/>
      <c r="N778" s="326"/>
      <c r="O778" s="326"/>
      <c r="P778" s="326"/>
      <c r="Q778" s="326"/>
      <c r="R778" s="326"/>
      <c r="S778" s="326"/>
      <c r="T778" s="326"/>
      <c r="U778" s="326"/>
      <c r="V778" s="326"/>
      <c r="W778" s="326"/>
      <c r="X778" s="326"/>
      <c r="Y778" s="326"/>
      <c r="Z778" s="326"/>
      <c r="AA778" s="326"/>
      <c r="AB778" s="326"/>
      <c r="AC778" s="326"/>
      <c r="AD778" s="326"/>
    </row>
    <row r="779">
      <c r="A779" s="326"/>
      <c r="B779" s="326"/>
      <c r="C779" s="326"/>
      <c r="D779" s="326"/>
      <c r="E779" s="326"/>
      <c r="F779" s="326"/>
      <c r="G779" s="326"/>
      <c r="H779" s="326"/>
      <c r="I779" s="326"/>
      <c r="J779" s="326"/>
      <c r="K779" s="326"/>
      <c r="L779" s="326"/>
      <c r="M779" s="326"/>
      <c r="N779" s="326"/>
      <c r="O779" s="326"/>
      <c r="P779" s="326"/>
      <c r="Q779" s="326"/>
      <c r="R779" s="326"/>
      <c r="S779" s="326"/>
      <c r="T779" s="326"/>
      <c r="U779" s="326"/>
      <c r="V779" s="326"/>
      <c r="W779" s="326"/>
      <c r="X779" s="326"/>
      <c r="Y779" s="326"/>
      <c r="Z779" s="326"/>
      <c r="AA779" s="326"/>
      <c r="AB779" s="326"/>
      <c r="AC779" s="326"/>
      <c r="AD779" s="326"/>
    </row>
    <row r="780">
      <c r="A780" s="326"/>
      <c r="B780" s="326"/>
      <c r="C780" s="326"/>
      <c r="D780" s="326"/>
      <c r="E780" s="326"/>
      <c r="F780" s="326"/>
      <c r="G780" s="326"/>
      <c r="H780" s="326"/>
      <c r="I780" s="326"/>
      <c r="J780" s="326"/>
      <c r="K780" s="326"/>
      <c r="L780" s="326"/>
      <c r="M780" s="326"/>
      <c r="N780" s="326"/>
      <c r="O780" s="326"/>
      <c r="P780" s="326"/>
      <c r="Q780" s="326"/>
      <c r="R780" s="326"/>
      <c r="S780" s="326"/>
      <c r="T780" s="326"/>
      <c r="U780" s="326"/>
      <c r="V780" s="326"/>
      <c r="W780" s="326"/>
      <c r="X780" s="326"/>
      <c r="Y780" s="326"/>
      <c r="Z780" s="326"/>
      <c r="AA780" s="326"/>
      <c r="AB780" s="326"/>
      <c r="AC780" s="326"/>
      <c r="AD780" s="326"/>
    </row>
    <row r="781">
      <c r="A781" s="326"/>
      <c r="B781" s="326"/>
      <c r="C781" s="326"/>
      <c r="D781" s="326"/>
      <c r="E781" s="326"/>
      <c r="F781" s="326"/>
      <c r="G781" s="326"/>
      <c r="H781" s="326"/>
      <c r="I781" s="326"/>
      <c r="J781" s="326"/>
      <c r="K781" s="326"/>
      <c r="L781" s="326"/>
      <c r="M781" s="326"/>
      <c r="N781" s="326"/>
      <c r="O781" s="326"/>
      <c r="P781" s="326"/>
      <c r="Q781" s="326"/>
      <c r="R781" s="326"/>
      <c r="S781" s="326"/>
      <c r="T781" s="326"/>
      <c r="U781" s="326"/>
      <c r="V781" s="326"/>
      <c r="W781" s="326"/>
      <c r="X781" s="326"/>
      <c r="Y781" s="326"/>
      <c r="Z781" s="326"/>
      <c r="AA781" s="326"/>
      <c r="AB781" s="326"/>
      <c r="AC781" s="326"/>
      <c r="AD781" s="326"/>
    </row>
    <row r="782">
      <c r="A782" s="326"/>
      <c r="B782" s="326"/>
      <c r="C782" s="326"/>
      <c r="D782" s="326"/>
      <c r="E782" s="326"/>
      <c r="F782" s="326"/>
      <c r="G782" s="326"/>
      <c r="H782" s="326"/>
      <c r="I782" s="326"/>
      <c r="J782" s="326"/>
      <c r="K782" s="326"/>
      <c r="L782" s="326"/>
      <c r="M782" s="326"/>
      <c r="N782" s="326"/>
      <c r="O782" s="326"/>
      <c r="P782" s="326"/>
      <c r="Q782" s="326"/>
      <c r="R782" s="326"/>
      <c r="S782" s="326"/>
      <c r="T782" s="326"/>
      <c r="U782" s="326"/>
      <c r="V782" s="326"/>
      <c r="W782" s="326"/>
      <c r="X782" s="326"/>
      <c r="Y782" s="326"/>
      <c r="Z782" s="326"/>
      <c r="AA782" s="326"/>
      <c r="AB782" s="326"/>
      <c r="AC782" s="326"/>
      <c r="AD782" s="326"/>
    </row>
    <row r="783">
      <c r="A783" s="326"/>
      <c r="B783" s="326"/>
      <c r="C783" s="326"/>
      <c r="D783" s="326"/>
      <c r="E783" s="326"/>
      <c r="F783" s="326"/>
      <c r="G783" s="326"/>
      <c r="H783" s="326"/>
      <c r="I783" s="326"/>
      <c r="J783" s="326"/>
      <c r="K783" s="326"/>
      <c r="L783" s="326"/>
      <c r="M783" s="326"/>
      <c r="N783" s="326"/>
      <c r="O783" s="326"/>
      <c r="P783" s="326"/>
      <c r="Q783" s="326"/>
      <c r="R783" s="326"/>
      <c r="S783" s="326"/>
      <c r="T783" s="326"/>
      <c r="U783" s="326"/>
      <c r="V783" s="326"/>
      <c r="W783" s="326"/>
      <c r="X783" s="326"/>
      <c r="Y783" s="326"/>
      <c r="Z783" s="326"/>
      <c r="AA783" s="326"/>
      <c r="AB783" s="326"/>
      <c r="AC783" s="326"/>
      <c r="AD783" s="326"/>
    </row>
    <row r="784">
      <c r="A784" s="326"/>
      <c r="B784" s="326"/>
      <c r="C784" s="326"/>
      <c r="D784" s="326"/>
      <c r="E784" s="326"/>
      <c r="F784" s="326"/>
      <c r="G784" s="326"/>
      <c r="H784" s="326"/>
      <c r="I784" s="326"/>
      <c r="J784" s="326"/>
      <c r="K784" s="326"/>
      <c r="L784" s="326"/>
      <c r="M784" s="326"/>
      <c r="N784" s="326"/>
      <c r="O784" s="326"/>
      <c r="P784" s="326"/>
      <c r="Q784" s="326"/>
      <c r="R784" s="326"/>
      <c r="S784" s="326"/>
      <c r="T784" s="326"/>
      <c r="U784" s="326"/>
      <c r="V784" s="326"/>
      <c r="W784" s="326"/>
      <c r="X784" s="326"/>
      <c r="Y784" s="326"/>
      <c r="Z784" s="326"/>
      <c r="AA784" s="326"/>
      <c r="AB784" s="326"/>
      <c r="AC784" s="326"/>
      <c r="AD784" s="326"/>
    </row>
    <row r="785">
      <c r="A785" s="326"/>
      <c r="B785" s="326"/>
      <c r="C785" s="326"/>
      <c r="D785" s="326"/>
      <c r="E785" s="326"/>
      <c r="F785" s="326"/>
      <c r="G785" s="326"/>
      <c r="H785" s="326"/>
      <c r="I785" s="326"/>
      <c r="J785" s="326"/>
      <c r="K785" s="326"/>
      <c r="L785" s="326"/>
      <c r="M785" s="326"/>
      <c r="N785" s="326"/>
      <c r="O785" s="326"/>
      <c r="P785" s="326"/>
      <c r="Q785" s="326"/>
      <c r="R785" s="326"/>
      <c r="S785" s="326"/>
      <c r="T785" s="326"/>
      <c r="U785" s="326"/>
      <c r="V785" s="326"/>
      <c r="W785" s="326"/>
      <c r="X785" s="326"/>
      <c r="Y785" s="326"/>
      <c r="Z785" s="326"/>
      <c r="AA785" s="326"/>
      <c r="AB785" s="326"/>
      <c r="AC785" s="326"/>
      <c r="AD785" s="326"/>
    </row>
    <row r="786">
      <c r="A786" s="326"/>
      <c r="B786" s="326"/>
      <c r="C786" s="326"/>
      <c r="D786" s="326"/>
      <c r="E786" s="326"/>
      <c r="F786" s="326"/>
      <c r="G786" s="326"/>
      <c r="H786" s="326"/>
      <c r="I786" s="326"/>
      <c r="J786" s="326"/>
      <c r="K786" s="326"/>
      <c r="L786" s="326"/>
      <c r="M786" s="326"/>
      <c r="N786" s="326"/>
      <c r="O786" s="326"/>
      <c r="P786" s="326"/>
      <c r="Q786" s="326"/>
      <c r="R786" s="326"/>
      <c r="S786" s="326"/>
      <c r="T786" s="326"/>
      <c r="U786" s="326"/>
      <c r="V786" s="326"/>
      <c r="W786" s="326"/>
      <c r="X786" s="326"/>
      <c r="Y786" s="326"/>
      <c r="Z786" s="326"/>
      <c r="AA786" s="326"/>
      <c r="AB786" s="326"/>
      <c r="AC786" s="326"/>
      <c r="AD786" s="326"/>
    </row>
    <row r="787">
      <c r="A787" s="326"/>
      <c r="B787" s="326"/>
      <c r="C787" s="326"/>
      <c r="D787" s="326"/>
      <c r="E787" s="326"/>
      <c r="F787" s="326"/>
      <c r="G787" s="326"/>
      <c r="H787" s="326"/>
      <c r="I787" s="326"/>
      <c r="J787" s="326"/>
      <c r="K787" s="326"/>
      <c r="L787" s="326"/>
      <c r="M787" s="326"/>
      <c r="N787" s="326"/>
      <c r="O787" s="326"/>
      <c r="P787" s="326"/>
      <c r="Q787" s="326"/>
      <c r="R787" s="326"/>
      <c r="S787" s="326"/>
      <c r="T787" s="326"/>
      <c r="U787" s="326"/>
      <c r="V787" s="326"/>
      <c r="W787" s="326"/>
      <c r="X787" s="326"/>
      <c r="Y787" s="326"/>
      <c r="Z787" s="326"/>
      <c r="AA787" s="326"/>
      <c r="AB787" s="326"/>
      <c r="AC787" s="326"/>
      <c r="AD787" s="326"/>
    </row>
    <row r="788">
      <c r="A788" s="326"/>
      <c r="B788" s="326"/>
      <c r="C788" s="326"/>
      <c r="D788" s="326"/>
      <c r="E788" s="326"/>
      <c r="F788" s="326"/>
      <c r="G788" s="326"/>
      <c r="H788" s="326"/>
      <c r="I788" s="326"/>
      <c r="J788" s="326"/>
      <c r="K788" s="326"/>
      <c r="L788" s="326"/>
      <c r="M788" s="326"/>
      <c r="N788" s="326"/>
      <c r="O788" s="326"/>
      <c r="P788" s="326"/>
      <c r="Q788" s="326"/>
      <c r="R788" s="326"/>
      <c r="S788" s="326"/>
      <c r="T788" s="326"/>
      <c r="U788" s="326"/>
      <c r="V788" s="326"/>
      <c r="W788" s="326"/>
      <c r="X788" s="326"/>
      <c r="Y788" s="326"/>
      <c r="Z788" s="326"/>
      <c r="AA788" s="326"/>
      <c r="AB788" s="326"/>
      <c r="AC788" s="326"/>
      <c r="AD788" s="326"/>
    </row>
    <row r="789">
      <c r="A789" s="326"/>
      <c r="B789" s="326"/>
      <c r="C789" s="326"/>
      <c r="D789" s="326"/>
      <c r="E789" s="326"/>
      <c r="F789" s="326"/>
      <c r="G789" s="326"/>
      <c r="H789" s="326"/>
      <c r="I789" s="326"/>
      <c r="J789" s="326"/>
      <c r="K789" s="326"/>
      <c r="L789" s="326"/>
      <c r="M789" s="326"/>
      <c r="N789" s="326"/>
      <c r="O789" s="326"/>
      <c r="P789" s="326"/>
      <c r="Q789" s="326"/>
      <c r="R789" s="326"/>
      <c r="S789" s="326"/>
      <c r="T789" s="326"/>
      <c r="U789" s="326"/>
      <c r="V789" s="326"/>
      <c r="W789" s="326"/>
      <c r="X789" s="326"/>
      <c r="Y789" s="326"/>
      <c r="Z789" s="326"/>
      <c r="AA789" s="326"/>
      <c r="AB789" s="326"/>
      <c r="AC789" s="326"/>
      <c r="AD789" s="326"/>
    </row>
    <row r="790">
      <c r="A790" s="326"/>
      <c r="B790" s="326"/>
      <c r="C790" s="326"/>
      <c r="D790" s="326"/>
      <c r="E790" s="326"/>
      <c r="F790" s="326"/>
      <c r="G790" s="326"/>
      <c r="H790" s="326"/>
      <c r="I790" s="326"/>
      <c r="J790" s="326"/>
      <c r="K790" s="326"/>
      <c r="L790" s="326"/>
      <c r="M790" s="326"/>
      <c r="N790" s="326"/>
      <c r="O790" s="326"/>
      <c r="P790" s="326"/>
      <c r="Q790" s="326"/>
      <c r="R790" s="326"/>
      <c r="S790" s="326"/>
      <c r="T790" s="326"/>
      <c r="U790" s="326"/>
      <c r="V790" s="326"/>
      <c r="W790" s="326"/>
      <c r="X790" s="326"/>
      <c r="Y790" s="326"/>
      <c r="Z790" s="326"/>
      <c r="AA790" s="326"/>
      <c r="AB790" s="326"/>
      <c r="AC790" s="326"/>
      <c r="AD790" s="326"/>
    </row>
    <row r="791">
      <c r="A791" s="326"/>
      <c r="B791" s="326"/>
      <c r="C791" s="326"/>
      <c r="D791" s="326"/>
      <c r="E791" s="326"/>
      <c r="F791" s="326"/>
      <c r="G791" s="326"/>
      <c r="H791" s="326"/>
      <c r="I791" s="326"/>
      <c r="J791" s="326"/>
      <c r="K791" s="326"/>
      <c r="L791" s="326"/>
      <c r="M791" s="326"/>
      <c r="N791" s="326"/>
      <c r="O791" s="326"/>
      <c r="P791" s="326"/>
      <c r="Q791" s="326"/>
      <c r="R791" s="326"/>
      <c r="S791" s="326"/>
      <c r="T791" s="326"/>
      <c r="U791" s="326"/>
      <c r="V791" s="326"/>
      <c r="W791" s="326"/>
      <c r="X791" s="326"/>
      <c r="Y791" s="326"/>
      <c r="Z791" s="326"/>
      <c r="AA791" s="326"/>
      <c r="AB791" s="326"/>
      <c r="AC791" s="326"/>
      <c r="AD791" s="326"/>
    </row>
    <row r="792">
      <c r="A792" s="326"/>
      <c r="B792" s="326"/>
      <c r="C792" s="326"/>
      <c r="D792" s="326"/>
      <c r="E792" s="326"/>
      <c r="F792" s="326"/>
      <c r="G792" s="326"/>
      <c r="H792" s="326"/>
      <c r="I792" s="326"/>
      <c r="J792" s="326"/>
      <c r="K792" s="326"/>
      <c r="L792" s="326"/>
      <c r="M792" s="326"/>
      <c r="N792" s="326"/>
      <c r="O792" s="326"/>
      <c r="P792" s="326"/>
      <c r="Q792" s="326"/>
      <c r="R792" s="326"/>
      <c r="S792" s="326"/>
      <c r="T792" s="326"/>
      <c r="U792" s="326"/>
      <c r="V792" s="326"/>
      <c r="W792" s="326"/>
      <c r="X792" s="326"/>
      <c r="Y792" s="326"/>
      <c r="Z792" s="326"/>
      <c r="AA792" s="326"/>
      <c r="AB792" s="326"/>
      <c r="AC792" s="326"/>
      <c r="AD792" s="326"/>
    </row>
    <row r="793">
      <c r="A793" s="326"/>
      <c r="B793" s="326"/>
      <c r="C793" s="326"/>
      <c r="D793" s="326"/>
      <c r="E793" s="326"/>
      <c r="F793" s="326"/>
      <c r="G793" s="326"/>
      <c r="H793" s="326"/>
      <c r="I793" s="326"/>
      <c r="J793" s="326"/>
      <c r="K793" s="326"/>
      <c r="L793" s="326"/>
      <c r="M793" s="326"/>
      <c r="N793" s="326"/>
      <c r="O793" s="326"/>
      <c r="P793" s="326"/>
      <c r="Q793" s="326"/>
      <c r="R793" s="326"/>
      <c r="S793" s="326"/>
      <c r="T793" s="326"/>
      <c r="U793" s="326"/>
      <c r="V793" s="326"/>
      <c r="W793" s="326"/>
      <c r="X793" s="326"/>
      <c r="Y793" s="326"/>
      <c r="Z793" s="326"/>
      <c r="AA793" s="326"/>
      <c r="AB793" s="326"/>
      <c r="AC793" s="326"/>
      <c r="AD793" s="326"/>
    </row>
    <row r="794">
      <c r="A794" s="326"/>
      <c r="B794" s="326"/>
      <c r="C794" s="326"/>
      <c r="D794" s="326"/>
      <c r="E794" s="326"/>
      <c r="F794" s="326"/>
      <c r="G794" s="326"/>
      <c r="H794" s="326"/>
      <c r="I794" s="326"/>
      <c r="J794" s="326"/>
      <c r="K794" s="326"/>
      <c r="L794" s="326"/>
      <c r="M794" s="326"/>
      <c r="N794" s="326"/>
      <c r="O794" s="326"/>
      <c r="P794" s="326"/>
      <c r="Q794" s="326"/>
      <c r="R794" s="326"/>
      <c r="S794" s="326"/>
      <c r="T794" s="326"/>
      <c r="U794" s="326"/>
      <c r="V794" s="326"/>
      <c r="W794" s="326"/>
      <c r="X794" s="326"/>
      <c r="Y794" s="326"/>
      <c r="Z794" s="326"/>
      <c r="AA794" s="326"/>
      <c r="AB794" s="326"/>
      <c r="AC794" s="326"/>
      <c r="AD794" s="326"/>
    </row>
    <row r="795">
      <c r="A795" s="326"/>
      <c r="B795" s="326"/>
      <c r="C795" s="326"/>
      <c r="D795" s="326"/>
      <c r="E795" s="326"/>
      <c r="F795" s="326"/>
      <c r="G795" s="326"/>
      <c r="H795" s="326"/>
      <c r="I795" s="326"/>
      <c r="J795" s="326"/>
      <c r="K795" s="326"/>
      <c r="L795" s="326"/>
      <c r="M795" s="326"/>
      <c r="N795" s="326"/>
      <c r="O795" s="326"/>
      <c r="P795" s="326"/>
      <c r="Q795" s="326"/>
      <c r="R795" s="326"/>
      <c r="S795" s="326"/>
      <c r="T795" s="326"/>
      <c r="U795" s="326"/>
      <c r="V795" s="326"/>
      <c r="W795" s="326"/>
      <c r="X795" s="326"/>
      <c r="Y795" s="326"/>
      <c r="Z795" s="326"/>
      <c r="AA795" s="326"/>
      <c r="AB795" s="326"/>
      <c r="AC795" s="326"/>
      <c r="AD795" s="326"/>
    </row>
    <row r="796">
      <c r="A796" s="326"/>
      <c r="B796" s="326"/>
      <c r="C796" s="326"/>
      <c r="D796" s="326"/>
      <c r="E796" s="326"/>
      <c r="F796" s="326"/>
      <c r="G796" s="326"/>
      <c r="H796" s="326"/>
      <c r="I796" s="326"/>
      <c r="J796" s="326"/>
      <c r="K796" s="326"/>
      <c r="L796" s="326"/>
      <c r="M796" s="326"/>
      <c r="N796" s="326"/>
      <c r="O796" s="326"/>
      <c r="P796" s="326"/>
      <c r="Q796" s="326"/>
      <c r="R796" s="326"/>
      <c r="S796" s="326"/>
      <c r="T796" s="326"/>
      <c r="U796" s="326"/>
      <c r="V796" s="326"/>
      <c r="W796" s="326"/>
      <c r="X796" s="326"/>
      <c r="Y796" s="326"/>
      <c r="Z796" s="326"/>
      <c r="AA796" s="326"/>
      <c r="AB796" s="326"/>
      <c r="AC796" s="326"/>
      <c r="AD796" s="326"/>
    </row>
    <row r="797">
      <c r="A797" s="326"/>
      <c r="B797" s="326"/>
      <c r="C797" s="326"/>
      <c r="D797" s="326"/>
      <c r="E797" s="326"/>
      <c r="F797" s="326"/>
      <c r="G797" s="326"/>
      <c r="H797" s="326"/>
      <c r="I797" s="326"/>
      <c r="J797" s="326"/>
      <c r="K797" s="326"/>
      <c r="L797" s="326"/>
      <c r="M797" s="326"/>
      <c r="N797" s="326"/>
      <c r="O797" s="326"/>
      <c r="P797" s="326"/>
      <c r="Q797" s="326"/>
      <c r="R797" s="326"/>
      <c r="S797" s="326"/>
      <c r="T797" s="326"/>
      <c r="U797" s="326"/>
      <c r="V797" s="326"/>
      <c r="W797" s="326"/>
      <c r="X797" s="326"/>
      <c r="Y797" s="326"/>
      <c r="Z797" s="326"/>
      <c r="AA797" s="326"/>
      <c r="AB797" s="326"/>
      <c r="AC797" s="326"/>
      <c r="AD797" s="326"/>
    </row>
    <row r="798">
      <c r="A798" s="326"/>
      <c r="B798" s="326"/>
      <c r="C798" s="326"/>
      <c r="D798" s="326"/>
      <c r="E798" s="326"/>
      <c r="F798" s="326"/>
      <c r="G798" s="326"/>
      <c r="H798" s="326"/>
      <c r="I798" s="326"/>
      <c r="J798" s="326"/>
      <c r="K798" s="326"/>
      <c r="L798" s="326"/>
      <c r="M798" s="326"/>
      <c r="N798" s="326"/>
      <c r="O798" s="326"/>
      <c r="P798" s="326"/>
      <c r="Q798" s="326"/>
      <c r="R798" s="326"/>
      <c r="S798" s="326"/>
      <c r="T798" s="326"/>
      <c r="U798" s="326"/>
      <c r="V798" s="326"/>
      <c r="W798" s="326"/>
      <c r="X798" s="326"/>
      <c r="Y798" s="326"/>
      <c r="Z798" s="326"/>
      <c r="AA798" s="326"/>
      <c r="AB798" s="326"/>
      <c r="AC798" s="326"/>
      <c r="AD798" s="326"/>
    </row>
    <row r="799">
      <c r="A799" s="326"/>
      <c r="B799" s="326"/>
      <c r="C799" s="326"/>
      <c r="D799" s="326"/>
      <c r="E799" s="326"/>
      <c r="F799" s="326"/>
      <c r="G799" s="326"/>
      <c r="H799" s="326"/>
      <c r="I799" s="326"/>
      <c r="J799" s="326"/>
      <c r="K799" s="326"/>
      <c r="L799" s="326"/>
      <c r="M799" s="326"/>
      <c r="N799" s="326"/>
      <c r="O799" s="326"/>
      <c r="P799" s="326"/>
      <c r="Q799" s="326"/>
      <c r="R799" s="326"/>
      <c r="S799" s="326"/>
      <c r="T799" s="326"/>
      <c r="U799" s="326"/>
      <c r="V799" s="326"/>
      <c r="W799" s="326"/>
      <c r="X799" s="326"/>
      <c r="Y799" s="326"/>
      <c r="Z799" s="326"/>
      <c r="AA799" s="326"/>
      <c r="AB799" s="326"/>
      <c r="AC799" s="326"/>
      <c r="AD799" s="326"/>
    </row>
    <row r="800">
      <c r="A800" s="326"/>
      <c r="B800" s="326"/>
      <c r="C800" s="326"/>
      <c r="D800" s="326"/>
      <c r="E800" s="326"/>
      <c r="F800" s="326"/>
      <c r="G800" s="326"/>
      <c r="H800" s="326"/>
      <c r="I800" s="326"/>
      <c r="J800" s="326"/>
      <c r="K800" s="326"/>
      <c r="L800" s="326"/>
      <c r="M800" s="326"/>
      <c r="N800" s="326"/>
      <c r="O800" s="326"/>
      <c r="P800" s="326"/>
      <c r="Q800" s="326"/>
      <c r="R800" s="326"/>
      <c r="S800" s="326"/>
      <c r="T800" s="326"/>
      <c r="U800" s="326"/>
      <c r="V800" s="326"/>
      <c r="W800" s="326"/>
      <c r="X800" s="326"/>
      <c r="Y800" s="326"/>
      <c r="Z800" s="326"/>
      <c r="AA800" s="326"/>
      <c r="AB800" s="326"/>
      <c r="AC800" s="326"/>
      <c r="AD800" s="326"/>
    </row>
    <row r="801">
      <c r="A801" s="326"/>
      <c r="B801" s="326"/>
      <c r="C801" s="326"/>
      <c r="D801" s="326"/>
      <c r="E801" s="326"/>
      <c r="F801" s="326"/>
      <c r="G801" s="326"/>
      <c r="H801" s="326"/>
      <c r="I801" s="326"/>
      <c r="J801" s="326"/>
      <c r="K801" s="326"/>
      <c r="L801" s="326"/>
      <c r="M801" s="326"/>
      <c r="N801" s="326"/>
      <c r="O801" s="326"/>
      <c r="P801" s="326"/>
      <c r="Q801" s="326"/>
      <c r="R801" s="326"/>
      <c r="S801" s="326"/>
      <c r="T801" s="326"/>
      <c r="U801" s="326"/>
      <c r="V801" s="326"/>
      <c r="W801" s="326"/>
      <c r="X801" s="326"/>
      <c r="Y801" s="326"/>
      <c r="Z801" s="326"/>
      <c r="AA801" s="326"/>
      <c r="AB801" s="326"/>
      <c r="AC801" s="326"/>
      <c r="AD801" s="326"/>
    </row>
    <row r="802">
      <c r="A802" s="326"/>
      <c r="B802" s="326"/>
      <c r="C802" s="326"/>
      <c r="D802" s="326"/>
      <c r="E802" s="326"/>
      <c r="F802" s="326"/>
      <c r="G802" s="326"/>
      <c r="H802" s="326"/>
      <c r="I802" s="326"/>
      <c r="J802" s="326"/>
      <c r="K802" s="326"/>
      <c r="L802" s="326"/>
      <c r="M802" s="326"/>
      <c r="N802" s="326"/>
      <c r="O802" s="326"/>
      <c r="P802" s="326"/>
      <c r="Q802" s="326"/>
      <c r="R802" s="326"/>
      <c r="S802" s="326"/>
      <c r="T802" s="326"/>
      <c r="U802" s="326"/>
      <c r="V802" s="326"/>
      <c r="W802" s="326"/>
      <c r="X802" s="326"/>
      <c r="Y802" s="326"/>
      <c r="Z802" s="326"/>
      <c r="AA802" s="326"/>
      <c r="AB802" s="326"/>
      <c r="AC802" s="326"/>
      <c r="AD802" s="326"/>
    </row>
    <row r="803">
      <c r="A803" s="326"/>
      <c r="B803" s="326"/>
      <c r="C803" s="326"/>
      <c r="D803" s="326"/>
      <c r="E803" s="326"/>
      <c r="F803" s="326"/>
      <c r="G803" s="326"/>
      <c r="H803" s="326"/>
      <c r="I803" s="326"/>
      <c r="J803" s="326"/>
      <c r="K803" s="326"/>
      <c r="L803" s="326"/>
      <c r="M803" s="326"/>
      <c r="N803" s="326"/>
      <c r="O803" s="326"/>
      <c r="P803" s="326"/>
      <c r="Q803" s="326"/>
      <c r="R803" s="326"/>
      <c r="S803" s="326"/>
      <c r="T803" s="326"/>
      <c r="U803" s="326"/>
      <c r="V803" s="326"/>
      <c r="W803" s="326"/>
      <c r="X803" s="326"/>
      <c r="Y803" s="326"/>
      <c r="Z803" s="326"/>
      <c r="AA803" s="326"/>
      <c r="AB803" s="326"/>
      <c r="AC803" s="326"/>
      <c r="AD803" s="326"/>
    </row>
    <row r="804">
      <c r="A804" s="326"/>
      <c r="B804" s="326"/>
      <c r="C804" s="326"/>
      <c r="D804" s="326"/>
      <c r="E804" s="326"/>
      <c r="F804" s="326"/>
      <c r="G804" s="326"/>
      <c r="H804" s="326"/>
      <c r="I804" s="326"/>
      <c r="J804" s="326"/>
      <c r="K804" s="326"/>
      <c r="L804" s="326"/>
      <c r="M804" s="326"/>
      <c r="N804" s="326"/>
      <c r="O804" s="326"/>
      <c r="P804" s="326"/>
      <c r="Q804" s="326"/>
      <c r="R804" s="326"/>
      <c r="S804" s="326"/>
      <c r="T804" s="326"/>
      <c r="U804" s="326"/>
      <c r="V804" s="326"/>
      <c r="W804" s="326"/>
      <c r="X804" s="326"/>
      <c r="Y804" s="326"/>
      <c r="Z804" s="326"/>
      <c r="AA804" s="326"/>
      <c r="AB804" s="326"/>
      <c r="AC804" s="326"/>
      <c r="AD804" s="326"/>
    </row>
    <row r="805">
      <c r="A805" s="326"/>
      <c r="B805" s="326"/>
      <c r="C805" s="326"/>
      <c r="D805" s="326"/>
      <c r="E805" s="326"/>
      <c r="F805" s="326"/>
      <c r="G805" s="326"/>
      <c r="H805" s="326"/>
      <c r="I805" s="326"/>
      <c r="J805" s="326"/>
      <c r="K805" s="326"/>
      <c r="L805" s="326"/>
      <c r="M805" s="326"/>
      <c r="N805" s="326"/>
      <c r="O805" s="326"/>
      <c r="P805" s="326"/>
      <c r="Q805" s="326"/>
      <c r="R805" s="326"/>
      <c r="S805" s="326"/>
      <c r="T805" s="326"/>
      <c r="U805" s="326"/>
      <c r="V805" s="326"/>
      <c r="W805" s="326"/>
      <c r="X805" s="326"/>
      <c r="Y805" s="326"/>
      <c r="Z805" s="326"/>
      <c r="AA805" s="326"/>
      <c r="AB805" s="326"/>
      <c r="AC805" s="326"/>
      <c r="AD805" s="326"/>
    </row>
    <row r="806">
      <c r="A806" s="326"/>
      <c r="B806" s="326"/>
      <c r="C806" s="326"/>
      <c r="D806" s="326"/>
      <c r="E806" s="326"/>
      <c r="F806" s="326"/>
      <c r="G806" s="326"/>
      <c r="H806" s="326"/>
      <c r="I806" s="326"/>
      <c r="J806" s="326"/>
      <c r="K806" s="326"/>
      <c r="L806" s="326"/>
      <c r="M806" s="326"/>
      <c r="N806" s="326"/>
      <c r="O806" s="326"/>
      <c r="P806" s="326"/>
      <c r="Q806" s="326"/>
      <c r="R806" s="326"/>
      <c r="S806" s="326"/>
      <c r="T806" s="326"/>
      <c r="U806" s="326"/>
      <c r="V806" s="326"/>
      <c r="W806" s="326"/>
      <c r="X806" s="326"/>
      <c r="Y806" s="326"/>
      <c r="Z806" s="326"/>
      <c r="AA806" s="326"/>
      <c r="AB806" s="326"/>
      <c r="AC806" s="326"/>
      <c r="AD806" s="326"/>
    </row>
    <row r="807">
      <c r="A807" s="326"/>
      <c r="B807" s="326"/>
      <c r="C807" s="326"/>
      <c r="D807" s="326"/>
      <c r="E807" s="326"/>
      <c r="F807" s="326"/>
      <c r="G807" s="326"/>
      <c r="H807" s="326"/>
      <c r="I807" s="326"/>
      <c r="J807" s="326"/>
      <c r="K807" s="326"/>
      <c r="L807" s="326"/>
      <c r="M807" s="326"/>
      <c r="N807" s="326"/>
      <c r="O807" s="326"/>
      <c r="P807" s="326"/>
      <c r="Q807" s="326"/>
      <c r="R807" s="326"/>
      <c r="S807" s="326"/>
      <c r="T807" s="326"/>
      <c r="U807" s="326"/>
      <c r="V807" s="326"/>
      <c r="W807" s="326"/>
      <c r="X807" s="326"/>
      <c r="Y807" s="326"/>
      <c r="Z807" s="326"/>
      <c r="AA807" s="326"/>
      <c r="AB807" s="326"/>
      <c r="AC807" s="326"/>
      <c r="AD807" s="326"/>
    </row>
    <row r="808">
      <c r="A808" s="326"/>
      <c r="B808" s="326"/>
      <c r="C808" s="326"/>
      <c r="D808" s="326"/>
      <c r="E808" s="326"/>
      <c r="F808" s="326"/>
      <c r="G808" s="326"/>
      <c r="H808" s="326"/>
      <c r="I808" s="326"/>
      <c r="J808" s="326"/>
      <c r="K808" s="326"/>
      <c r="L808" s="326"/>
      <c r="M808" s="326"/>
      <c r="N808" s="326"/>
      <c r="O808" s="326"/>
      <c r="P808" s="326"/>
      <c r="Q808" s="326"/>
      <c r="R808" s="326"/>
      <c r="S808" s="326"/>
      <c r="T808" s="326"/>
      <c r="U808" s="326"/>
      <c r="V808" s="326"/>
      <c r="W808" s="326"/>
      <c r="X808" s="326"/>
      <c r="Y808" s="326"/>
      <c r="Z808" s="326"/>
      <c r="AA808" s="326"/>
      <c r="AB808" s="326"/>
      <c r="AC808" s="326"/>
      <c r="AD808" s="326"/>
    </row>
    <row r="809">
      <c r="A809" s="326"/>
      <c r="B809" s="326"/>
      <c r="C809" s="326"/>
      <c r="D809" s="326"/>
      <c r="E809" s="326"/>
      <c r="F809" s="326"/>
      <c r="G809" s="326"/>
      <c r="H809" s="326"/>
      <c r="I809" s="326"/>
      <c r="J809" s="326"/>
      <c r="K809" s="326"/>
      <c r="L809" s="326"/>
      <c r="M809" s="326"/>
      <c r="N809" s="326"/>
      <c r="O809" s="326"/>
      <c r="P809" s="326"/>
      <c r="Q809" s="326"/>
      <c r="R809" s="326"/>
      <c r="S809" s="326"/>
      <c r="T809" s="326"/>
      <c r="U809" s="326"/>
      <c r="V809" s="326"/>
      <c r="W809" s="326"/>
      <c r="X809" s="326"/>
      <c r="Y809" s="326"/>
      <c r="Z809" s="326"/>
      <c r="AA809" s="326"/>
      <c r="AB809" s="326"/>
      <c r="AC809" s="326"/>
      <c r="AD809" s="326"/>
    </row>
    <row r="810">
      <c r="A810" s="326"/>
      <c r="B810" s="326"/>
      <c r="C810" s="326"/>
      <c r="D810" s="326"/>
      <c r="E810" s="326"/>
      <c r="F810" s="326"/>
      <c r="G810" s="326"/>
      <c r="H810" s="326"/>
      <c r="I810" s="326"/>
      <c r="J810" s="326"/>
      <c r="K810" s="326"/>
      <c r="L810" s="326"/>
      <c r="M810" s="326"/>
      <c r="N810" s="326"/>
      <c r="O810" s="326"/>
      <c r="P810" s="326"/>
      <c r="Q810" s="326"/>
      <c r="R810" s="326"/>
      <c r="S810" s="326"/>
      <c r="T810" s="326"/>
      <c r="U810" s="326"/>
      <c r="V810" s="326"/>
      <c r="W810" s="326"/>
      <c r="X810" s="326"/>
      <c r="Y810" s="326"/>
      <c r="Z810" s="326"/>
      <c r="AA810" s="326"/>
      <c r="AB810" s="326"/>
      <c r="AC810" s="326"/>
      <c r="AD810" s="326"/>
    </row>
    <row r="811">
      <c r="A811" s="326"/>
      <c r="B811" s="326"/>
      <c r="C811" s="326"/>
      <c r="D811" s="326"/>
      <c r="E811" s="326"/>
      <c r="F811" s="326"/>
      <c r="G811" s="326"/>
      <c r="H811" s="326"/>
      <c r="I811" s="326"/>
      <c r="J811" s="326"/>
      <c r="K811" s="326"/>
      <c r="L811" s="326"/>
      <c r="M811" s="326"/>
      <c r="N811" s="326"/>
      <c r="O811" s="326"/>
      <c r="P811" s="326"/>
      <c r="Q811" s="326"/>
      <c r="R811" s="326"/>
      <c r="S811" s="326"/>
      <c r="T811" s="326"/>
      <c r="U811" s="326"/>
      <c r="V811" s="326"/>
      <c r="W811" s="326"/>
      <c r="X811" s="326"/>
      <c r="Y811" s="326"/>
      <c r="Z811" s="326"/>
      <c r="AA811" s="326"/>
      <c r="AB811" s="326"/>
      <c r="AC811" s="326"/>
      <c r="AD811" s="326"/>
    </row>
    <row r="812">
      <c r="A812" s="326"/>
      <c r="B812" s="326"/>
      <c r="C812" s="326"/>
      <c r="D812" s="326"/>
      <c r="E812" s="326"/>
      <c r="F812" s="326"/>
      <c r="G812" s="326"/>
      <c r="H812" s="326"/>
      <c r="I812" s="326"/>
      <c r="J812" s="326"/>
      <c r="K812" s="326"/>
      <c r="L812" s="326"/>
      <c r="M812" s="326"/>
      <c r="N812" s="326"/>
      <c r="O812" s="326"/>
      <c r="P812" s="326"/>
      <c r="Q812" s="326"/>
      <c r="R812" s="326"/>
      <c r="S812" s="326"/>
      <c r="T812" s="326"/>
      <c r="U812" s="326"/>
      <c r="V812" s="326"/>
      <c r="W812" s="326"/>
      <c r="X812" s="326"/>
      <c r="Y812" s="326"/>
      <c r="Z812" s="326"/>
      <c r="AA812" s="326"/>
      <c r="AB812" s="326"/>
      <c r="AC812" s="326"/>
      <c r="AD812" s="326"/>
    </row>
    <row r="813">
      <c r="A813" s="326"/>
      <c r="B813" s="326"/>
      <c r="C813" s="326"/>
      <c r="D813" s="326"/>
      <c r="E813" s="326"/>
      <c r="F813" s="326"/>
      <c r="G813" s="326"/>
      <c r="H813" s="326"/>
      <c r="I813" s="326"/>
      <c r="J813" s="326"/>
      <c r="K813" s="326"/>
      <c r="L813" s="326"/>
      <c r="M813" s="326"/>
      <c r="N813" s="326"/>
      <c r="O813" s="326"/>
      <c r="P813" s="326"/>
      <c r="Q813" s="326"/>
      <c r="R813" s="326"/>
      <c r="S813" s="326"/>
      <c r="T813" s="326"/>
      <c r="U813" s="326"/>
      <c r="V813" s="326"/>
      <c r="W813" s="326"/>
      <c r="X813" s="326"/>
      <c r="Y813" s="326"/>
      <c r="Z813" s="326"/>
      <c r="AA813" s="326"/>
      <c r="AB813" s="326"/>
      <c r="AC813" s="326"/>
      <c r="AD813" s="326"/>
    </row>
    <row r="814">
      <c r="A814" s="326"/>
      <c r="B814" s="326"/>
      <c r="C814" s="326"/>
      <c r="D814" s="326"/>
      <c r="E814" s="326"/>
      <c r="F814" s="326"/>
      <c r="G814" s="326"/>
      <c r="H814" s="326"/>
      <c r="I814" s="326"/>
      <c r="J814" s="326"/>
      <c r="K814" s="326"/>
      <c r="L814" s="326"/>
      <c r="M814" s="326"/>
      <c r="N814" s="326"/>
      <c r="O814" s="326"/>
      <c r="P814" s="326"/>
      <c r="Q814" s="326"/>
      <c r="R814" s="326"/>
      <c r="S814" s="326"/>
      <c r="T814" s="326"/>
      <c r="U814" s="326"/>
      <c r="V814" s="326"/>
      <c r="W814" s="326"/>
      <c r="X814" s="326"/>
      <c r="Y814" s="326"/>
      <c r="Z814" s="326"/>
      <c r="AA814" s="326"/>
      <c r="AB814" s="326"/>
      <c r="AC814" s="326"/>
      <c r="AD814" s="326"/>
    </row>
    <row r="815">
      <c r="A815" s="326"/>
      <c r="B815" s="326"/>
      <c r="C815" s="326"/>
      <c r="D815" s="326"/>
      <c r="E815" s="326"/>
      <c r="F815" s="326"/>
      <c r="G815" s="326"/>
      <c r="H815" s="326"/>
      <c r="I815" s="326"/>
      <c r="J815" s="326"/>
      <c r="K815" s="326"/>
      <c r="L815" s="326"/>
      <c r="M815" s="326"/>
      <c r="N815" s="326"/>
      <c r="O815" s="326"/>
      <c r="P815" s="326"/>
      <c r="Q815" s="326"/>
      <c r="R815" s="326"/>
      <c r="S815" s="326"/>
      <c r="T815" s="326"/>
      <c r="U815" s="326"/>
      <c r="V815" s="326"/>
      <c r="W815" s="326"/>
      <c r="X815" s="326"/>
      <c r="Y815" s="326"/>
      <c r="Z815" s="326"/>
      <c r="AA815" s="326"/>
      <c r="AB815" s="326"/>
      <c r="AC815" s="326"/>
      <c r="AD815" s="326"/>
    </row>
    <row r="816">
      <c r="A816" s="326"/>
      <c r="B816" s="326"/>
      <c r="C816" s="326"/>
      <c r="D816" s="326"/>
      <c r="E816" s="326"/>
      <c r="F816" s="326"/>
      <c r="G816" s="326"/>
      <c r="H816" s="326"/>
      <c r="I816" s="326"/>
      <c r="J816" s="326"/>
      <c r="K816" s="326"/>
      <c r="L816" s="326"/>
      <c r="M816" s="326"/>
      <c r="N816" s="326"/>
      <c r="O816" s="326"/>
      <c r="P816" s="326"/>
      <c r="Q816" s="326"/>
      <c r="R816" s="326"/>
      <c r="S816" s="326"/>
      <c r="T816" s="326"/>
      <c r="U816" s="326"/>
      <c r="V816" s="326"/>
      <c r="W816" s="326"/>
      <c r="X816" s="326"/>
      <c r="Y816" s="326"/>
      <c r="Z816" s="326"/>
      <c r="AA816" s="326"/>
      <c r="AB816" s="326"/>
      <c r="AC816" s="326"/>
      <c r="AD816" s="326"/>
    </row>
    <row r="817">
      <c r="A817" s="326"/>
      <c r="B817" s="326"/>
      <c r="C817" s="326"/>
      <c r="D817" s="326"/>
      <c r="E817" s="326"/>
      <c r="F817" s="326"/>
      <c r="G817" s="326"/>
      <c r="H817" s="326"/>
      <c r="I817" s="326"/>
      <c r="J817" s="326"/>
      <c r="K817" s="326"/>
      <c r="L817" s="326"/>
      <c r="M817" s="326"/>
      <c r="N817" s="326"/>
      <c r="O817" s="326"/>
      <c r="P817" s="326"/>
      <c r="Q817" s="326"/>
      <c r="R817" s="326"/>
      <c r="S817" s="326"/>
      <c r="T817" s="326"/>
      <c r="U817" s="326"/>
      <c r="V817" s="326"/>
      <c r="W817" s="326"/>
      <c r="X817" s="326"/>
      <c r="Y817" s="326"/>
      <c r="Z817" s="326"/>
      <c r="AA817" s="326"/>
      <c r="AB817" s="326"/>
      <c r="AC817" s="326"/>
      <c r="AD817" s="326"/>
    </row>
    <row r="818">
      <c r="A818" s="326"/>
      <c r="B818" s="326"/>
      <c r="C818" s="326"/>
      <c r="D818" s="326"/>
      <c r="E818" s="326"/>
      <c r="F818" s="326"/>
      <c r="G818" s="326"/>
      <c r="H818" s="326"/>
      <c r="I818" s="326"/>
      <c r="J818" s="326"/>
      <c r="K818" s="326"/>
      <c r="L818" s="326"/>
      <c r="M818" s="326"/>
      <c r="N818" s="326"/>
      <c r="O818" s="326"/>
      <c r="P818" s="326"/>
      <c r="Q818" s="326"/>
      <c r="R818" s="326"/>
      <c r="S818" s="326"/>
      <c r="T818" s="326"/>
      <c r="U818" s="326"/>
      <c r="V818" s="326"/>
      <c r="W818" s="326"/>
      <c r="X818" s="326"/>
      <c r="Y818" s="326"/>
      <c r="Z818" s="326"/>
      <c r="AA818" s="326"/>
      <c r="AB818" s="326"/>
      <c r="AC818" s="326"/>
      <c r="AD818" s="326"/>
    </row>
    <row r="819">
      <c r="A819" s="326"/>
      <c r="B819" s="326"/>
      <c r="C819" s="326"/>
      <c r="D819" s="326"/>
      <c r="E819" s="326"/>
      <c r="F819" s="326"/>
      <c r="G819" s="326"/>
      <c r="H819" s="326"/>
      <c r="I819" s="326"/>
      <c r="J819" s="326"/>
      <c r="K819" s="326"/>
      <c r="L819" s="326"/>
      <c r="M819" s="326"/>
      <c r="N819" s="326"/>
      <c r="O819" s="326"/>
      <c r="P819" s="326"/>
      <c r="Q819" s="326"/>
      <c r="R819" s="326"/>
      <c r="S819" s="326"/>
      <c r="T819" s="326"/>
      <c r="U819" s="326"/>
      <c r="V819" s="326"/>
      <c r="W819" s="326"/>
      <c r="X819" s="326"/>
      <c r="Y819" s="326"/>
      <c r="Z819" s="326"/>
      <c r="AA819" s="326"/>
      <c r="AB819" s="326"/>
      <c r="AC819" s="326"/>
      <c r="AD819" s="326"/>
    </row>
    <row r="820">
      <c r="A820" s="326"/>
      <c r="B820" s="326"/>
      <c r="C820" s="326"/>
      <c r="D820" s="326"/>
      <c r="E820" s="326"/>
      <c r="F820" s="326"/>
      <c r="G820" s="326"/>
      <c r="H820" s="326"/>
      <c r="I820" s="326"/>
      <c r="J820" s="326"/>
      <c r="K820" s="326"/>
      <c r="L820" s="326"/>
      <c r="M820" s="326"/>
      <c r="N820" s="326"/>
      <c r="O820" s="326"/>
      <c r="P820" s="326"/>
      <c r="Q820" s="326"/>
      <c r="R820" s="326"/>
      <c r="S820" s="326"/>
      <c r="T820" s="326"/>
      <c r="U820" s="326"/>
      <c r="V820" s="326"/>
      <c r="W820" s="326"/>
      <c r="X820" s="326"/>
      <c r="Y820" s="326"/>
      <c r="Z820" s="326"/>
      <c r="AA820" s="326"/>
      <c r="AB820" s="326"/>
      <c r="AC820" s="326"/>
      <c r="AD820" s="326"/>
    </row>
    <row r="821">
      <c r="A821" s="326"/>
      <c r="B821" s="326"/>
      <c r="C821" s="326"/>
      <c r="D821" s="326"/>
      <c r="E821" s="326"/>
      <c r="F821" s="326"/>
      <c r="G821" s="326"/>
      <c r="H821" s="326"/>
      <c r="I821" s="326"/>
      <c r="J821" s="326"/>
      <c r="K821" s="326"/>
      <c r="L821" s="326"/>
      <c r="M821" s="326"/>
      <c r="N821" s="326"/>
      <c r="O821" s="326"/>
      <c r="P821" s="326"/>
      <c r="Q821" s="326"/>
      <c r="R821" s="326"/>
      <c r="S821" s="326"/>
      <c r="T821" s="326"/>
      <c r="U821" s="326"/>
      <c r="V821" s="326"/>
      <c r="W821" s="326"/>
      <c r="X821" s="326"/>
      <c r="Y821" s="326"/>
      <c r="Z821" s="326"/>
      <c r="AA821" s="326"/>
      <c r="AB821" s="326"/>
      <c r="AC821" s="326"/>
      <c r="AD821" s="326"/>
    </row>
    <row r="822">
      <c r="A822" s="326"/>
      <c r="B822" s="326"/>
      <c r="C822" s="326"/>
      <c r="D822" s="326"/>
      <c r="E822" s="326"/>
      <c r="F822" s="326"/>
      <c r="G822" s="326"/>
      <c r="H822" s="326"/>
      <c r="I822" s="326"/>
      <c r="J822" s="326"/>
      <c r="K822" s="326"/>
      <c r="L822" s="326"/>
      <c r="M822" s="326"/>
      <c r="N822" s="326"/>
      <c r="O822" s="326"/>
      <c r="P822" s="326"/>
      <c r="Q822" s="326"/>
      <c r="R822" s="326"/>
      <c r="S822" s="326"/>
      <c r="T822" s="326"/>
      <c r="U822" s="326"/>
      <c r="V822" s="326"/>
      <c r="W822" s="326"/>
      <c r="X822" s="326"/>
      <c r="Y822" s="326"/>
      <c r="Z822" s="326"/>
      <c r="AA822" s="326"/>
      <c r="AB822" s="326"/>
      <c r="AC822" s="326"/>
      <c r="AD822" s="326"/>
    </row>
    <row r="823">
      <c r="A823" s="326"/>
      <c r="B823" s="326"/>
      <c r="C823" s="326"/>
      <c r="D823" s="326"/>
      <c r="E823" s="326"/>
      <c r="F823" s="326"/>
      <c r="G823" s="326"/>
      <c r="H823" s="326"/>
      <c r="I823" s="326"/>
      <c r="J823" s="326"/>
      <c r="K823" s="326"/>
      <c r="L823" s="326"/>
      <c r="M823" s="326"/>
      <c r="N823" s="326"/>
      <c r="O823" s="326"/>
      <c r="P823" s="326"/>
      <c r="Q823" s="326"/>
      <c r="R823" s="326"/>
      <c r="S823" s="326"/>
      <c r="T823" s="326"/>
      <c r="U823" s="326"/>
      <c r="V823" s="326"/>
      <c r="W823" s="326"/>
      <c r="X823" s="326"/>
      <c r="Y823" s="326"/>
      <c r="Z823" s="326"/>
      <c r="AA823" s="326"/>
      <c r="AB823" s="326"/>
      <c r="AC823" s="326"/>
      <c r="AD823" s="326"/>
    </row>
    <row r="824">
      <c r="A824" s="326"/>
      <c r="B824" s="326"/>
      <c r="C824" s="326"/>
      <c r="D824" s="326"/>
      <c r="E824" s="326"/>
      <c r="F824" s="326"/>
      <c r="G824" s="326"/>
      <c r="H824" s="326"/>
      <c r="I824" s="326"/>
      <c r="J824" s="326"/>
      <c r="K824" s="326"/>
      <c r="L824" s="326"/>
      <c r="M824" s="326"/>
      <c r="N824" s="326"/>
      <c r="O824" s="326"/>
      <c r="P824" s="326"/>
      <c r="Q824" s="326"/>
      <c r="R824" s="326"/>
      <c r="S824" s="326"/>
      <c r="T824" s="326"/>
      <c r="U824" s="326"/>
      <c r="V824" s="326"/>
      <c r="W824" s="326"/>
      <c r="X824" s="326"/>
      <c r="Y824" s="326"/>
      <c r="Z824" s="326"/>
      <c r="AA824" s="326"/>
      <c r="AB824" s="326"/>
      <c r="AC824" s="326"/>
      <c r="AD824" s="326"/>
    </row>
    <row r="825">
      <c r="A825" s="326"/>
      <c r="B825" s="326"/>
      <c r="C825" s="326"/>
      <c r="D825" s="326"/>
      <c r="E825" s="326"/>
      <c r="F825" s="326"/>
      <c r="G825" s="326"/>
      <c r="H825" s="326"/>
      <c r="I825" s="326"/>
      <c r="J825" s="326"/>
      <c r="K825" s="326"/>
      <c r="L825" s="326"/>
      <c r="M825" s="326"/>
      <c r="N825" s="326"/>
      <c r="O825" s="326"/>
      <c r="P825" s="326"/>
      <c r="Q825" s="326"/>
      <c r="R825" s="326"/>
      <c r="S825" s="326"/>
      <c r="T825" s="326"/>
      <c r="U825" s="326"/>
      <c r="V825" s="326"/>
      <c r="W825" s="326"/>
      <c r="X825" s="326"/>
      <c r="Y825" s="326"/>
      <c r="Z825" s="326"/>
      <c r="AA825" s="326"/>
      <c r="AB825" s="326"/>
      <c r="AC825" s="326"/>
      <c r="AD825" s="326"/>
    </row>
    <row r="826">
      <c r="A826" s="326"/>
      <c r="B826" s="326"/>
      <c r="C826" s="326"/>
      <c r="D826" s="326"/>
      <c r="E826" s="326"/>
      <c r="F826" s="326"/>
      <c r="G826" s="326"/>
      <c r="H826" s="326"/>
      <c r="I826" s="326"/>
      <c r="J826" s="326"/>
      <c r="K826" s="326"/>
      <c r="L826" s="326"/>
      <c r="M826" s="326"/>
      <c r="N826" s="326"/>
      <c r="O826" s="326"/>
      <c r="P826" s="326"/>
      <c r="Q826" s="326"/>
      <c r="R826" s="326"/>
      <c r="S826" s="326"/>
      <c r="T826" s="326"/>
      <c r="U826" s="326"/>
      <c r="V826" s="326"/>
      <c r="W826" s="326"/>
      <c r="X826" s="326"/>
      <c r="Y826" s="326"/>
      <c r="Z826" s="326"/>
      <c r="AA826" s="326"/>
      <c r="AB826" s="326"/>
      <c r="AC826" s="326"/>
      <c r="AD826" s="326"/>
    </row>
    <row r="827">
      <c r="A827" s="326"/>
      <c r="B827" s="326"/>
      <c r="C827" s="326"/>
      <c r="D827" s="326"/>
      <c r="E827" s="326"/>
      <c r="F827" s="326"/>
      <c r="G827" s="326"/>
      <c r="H827" s="326"/>
      <c r="I827" s="326"/>
      <c r="J827" s="326"/>
      <c r="K827" s="326"/>
      <c r="L827" s="326"/>
      <c r="M827" s="326"/>
      <c r="N827" s="326"/>
      <c r="O827" s="326"/>
      <c r="P827" s="326"/>
      <c r="Q827" s="326"/>
      <c r="R827" s="326"/>
      <c r="S827" s="326"/>
      <c r="T827" s="326"/>
      <c r="U827" s="326"/>
      <c r="V827" s="326"/>
      <c r="W827" s="326"/>
      <c r="X827" s="326"/>
      <c r="Y827" s="326"/>
      <c r="Z827" s="326"/>
      <c r="AA827" s="326"/>
      <c r="AB827" s="326"/>
      <c r="AC827" s="326"/>
      <c r="AD827" s="326"/>
    </row>
    <row r="828">
      <c r="A828" s="326"/>
      <c r="B828" s="326"/>
      <c r="C828" s="326"/>
      <c r="D828" s="326"/>
      <c r="E828" s="326"/>
      <c r="F828" s="326"/>
      <c r="G828" s="326"/>
      <c r="H828" s="326"/>
      <c r="I828" s="326"/>
      <c r="J828" s="326"/>
      <c r="K828" s="326"/>
      <c r="L828" s="326"/>
      <c r="M828" s="326"/>
      <c r="N828" s="326"/>
      <c r="O828" s="326"/>
      <c r="P828" s="326"/>
      <c r="Q828" s="326"/>
      <c r="R828" s="326"/>
      <c r="S828" s="326"/>
      <c r="T828" s="326"/>
      <c r="U828" s="326"/>
      <c r="V828" s="326"/>
      <c r="W828" s="326"/>
      <c r="X828" s="326"/>
      <c r="Y828" s="326"/>
      <c r="Z828" s="326"/>
      <c r="AA828" s="326"/>
      <c r="AB828" s="326"/>
      <c r="AC828" s="326"/>
      <c r="AD828" s="326"/>
    </row>
    <row r="829">
      <c r="A829" s="326"/>
      <c r="B829" s="326"/>
      <c r="C829" s="326"/>
      <c r="D829" s="326"/>
      <c r="E829" s="326"/>
      <c r="F829" s="326"/>
      <c r="G829" s="326"/>
      <c r="H829" s="326"/>
      <c r="I829" s="326"/>
      <c r="J829" s="326"/>
      <c r="K829" s="326"/>
      <c r="L829" s="326"/>
      <c r="M829" s="326"/>
      <c r="N829" s="326"/>
      <c r="O829" s="326"/>
      <c r="P829" s="326"/>
      <c r="Q829" s="326"/>
      <c r="R829" s="326"/>
      <c r="S829" s="326"/>
      <c r="T829" s="326"/>
      <c r="U829" s="326"/>
      <c r="V829" s="326"/>
      <c r="W829" s="326"/>
      <c r="X829" s="326"/>
      <c r="Y829" s="326"/>
      <c r="Z829" s="326"/>
      <c r="AA829" s="326"/>
      <c r="AB829" s="326"/>
      <c r="AC829" s="326"/>
      <c r="AD829" s="326"/>
    </row>
    <row r="830">
      <c r="A830" s="326"/>
      <c r="B830" s="326"/>
      <c r="C830" s="326"/>
      <c r="D830" s="326"/>
      <c r="E830" s="326"/>
      <c r="F830" s="326"/>
      <c r="G830" s="326"/>
      <c r="H830" s="326"/>
      <c r="I830" s="326"/>
      <c r="J830" s="326"/>
      <c r="K830" s="326"/>
      <c r="L830" s="326"/>
      <c r="M830" s="326"/>
      <c r="N830" s="326"/>
      <c r="O830" s="326"/>
      <c r="P830" s="326"/>
      <c r="Q830" s="326"/>
      <c r="R830" s="326"/>
      <c r="S830" s="326"/>
      <c r="T830" s="326"/>
      <c r="U830" s="326"/>
      <c r="V830" s="326"/>
      <c r="W830" s="326"/>
      <c r="X830" s="326"/>
      <c r="Y830" s="326"/>
      <c r="Z830" s="326"/>
      <c r="AA830" s="326"/>
      <c r="AB830" s="326"/>
      <c r="AC830" s="326"/>
      <c r="AD830" s="326"/>
    </row>
    <row r="831">
      <c r="A831" s="326"/>
      <c r="B831" s="326"/>
      <c r="C831" s="326"/>
      <c r="D831" s="326"/>
      <c r="E831" s="326"/>
      <c r="F831" s="326"/>
      <c r="G831" s="326"/>
      <c r="H831" s="326"/>
      <c r="I831" s="326"/>
      <c r="J831" s="326"/>
      <c r="K831" s="326"/>
      <c r="L831" s="326"/>
      <c r="M831" s="326"/>
      <c r="N831" s="326"/>
      <c r="O831" s="326"/>
      <c r="P831" s="326"/>
      <c r="Q831" s="326"/>
      <c r="R831" s="326"/>
      <c r="S831" s="326"/>
      <c r="T831" s="326"/>
      <c r="U831" s="326"/>
      <c r="V831" s="326"/>
      <c r="W831" s="326"/>
      <c r="X831" s="326"/>
      <c r="Y831" s="326"/>
      <c r="Z831" s="326"/>
      <c r="AA831" s="326"/>
      <c r="AB831" s="326"/>
      <c r="AC831" s="326"/>
      <c r="AD831" s="326"/>
    </row>
    <row r="832">
      <c r="A832" s="326"/>
      <c r="B832" s="326"/>
      <c r="C832" s="326"/>
      <c r="D832" s="326"/>
      <c r="E832" s="326"/>
      <c r="F832" s="326"/>
      <c r="G832" s="326"/>
      <c r="H832" s="326"/>
      <c r="I832" s="326"/>
      <c r="J832" s="326"/>
      <c r="K832" s="326"/>
      <c r="L832" s="326"/>
      <c r="M832" s="326"/>
      <c r="N832" s="326"/>
      <c r="O832" s="326"/>
      <c r="P832" s="326"/>
      <c r="Q832" s="326"/>
      <c r="R832" s="326"/>
      <c r="S832" s="326"/>
      <c r="T832" s="326"/>
      <c r="U832" s="326"/>
      <c r="V832" s="326"/>
      <c r="W832" s="326"/>
      <c r="X832" s="326"/>
      <c r="Y832" s="326"/>
      <c r="Z832" s="326"/>
      <c r="AA832" s="326"/>
      <c r="AB832" s="326"/>
      <c r="AC832" s="326"/>
      <c r="AD832" s="326"/>
    </row>
    <row r="833">
      <c r="A833" s="326"/>
      <c r="B833" s="326"/>
      <c r="C833" s="326"/>
      <c r="D833" s="326"/>
      <c r="E833" s="326"/>
      <c r="F833" s="326"/>
      <c r="G833" s="326"/>
      <c r="H833" s="326"/>
      <c r="I833" s="326"/>
      <c r="J833" s="326"/>
      <c r="K833" s="326"/>
      <c r="L833" s="326"/>
      <c r="M833" s="326"/>
      <c r="N833" s="326"/>
      <c r="O833" s="326"/>
      <c r="P833" s="326"/>
      <c r="Q833" s="326"/>
      <c r="R833" s="326"/>
      <c r="S833" s="326"/>
      <c r="T833" s="326"/>
      <c r="U833" s="326"/>
      <c r="V833" s="326"/>
      <c r="W833" s="326"/>
      <c r="X833" s="326"/>
      <c r="Y833" s="326"/>
      <c r="Z833" s="326"/>
      <c r="AA833" s="326"/>
      <c r="AB833" s="326"/>
      <c r="AC833" s="326"/>
      <c r="AD833" s="326"/>
    </row>
    <row r="834">
      <c r="A834" s="326"/>
      <c r="B834" s="326"/>
      <c r="C834" s="326"/>
      <c r="D834" s="326"/>
      <c r="E834" s="326"/>
      <c r="F834" s="326"/>
      <c r="G834" s="326"/>
      <c r="H834" s="326"/>
      <c r="I834" s="326"/>
      <c r="J834" s="326"/>
      <c r="K834" s="326"/>
      <c r="L834" s="326"/>
      <c r="M834" s="326"/>
      <c r="N834" s="326"/>
      <c r="O834" s="326"/>
      <c r="P834" s="326"/>
      <c r="Q834" s="326"/>
      <c r="R834" s="326"/>
      <c r="S834" s="326"/>
      <c r="T834" s="326"/>
      <c r="U834" s="326"/>
      <c r="V834" s="326"/>
      <c r="W834" s="326"/>
      <c r="X834" s="326"/>
      <c r="Y834" s="326"/>
      <c r="Z834" s="326"/>
      <c r="AA834" s="326"/>
      <c r="AB834" s="326"/>
      <c r="AC834" s="326"/>
      <c r="AD834" s="326"/>
    </row>
    <row r="835">
      <c r="A835" s="326"/>
      <c r="B835" s="326"/>
      <c r="C835" s="326"/>
      <c r="D835" s="326"/>
      <c r="E835" s="326"/>
      <c r="F835" s="326"/>
      <c r="G835" s="326"/>
      <c r="H835" s="326"/>
      <c r="I835" s="326"/>
      <c r="J835" s="326"/>
      <c r="K835" s="326"/>
      <c r="L835" s="326"/>
      <c r="M835" s="326"/>
      <c r="N835" s="326"/>
      <c r="O835" s="326"/>
      <c r="P835" s="326"/>
      <c r="Q835" s="326"/>
      <c r="R835" s="326"/>
      <c r="S835" s="326"/>
      <c r="T835" s="326"/>
      <c r="U835" s="326"/>
      <c r="V835" s="326"/>
      <c r="W835" s="326"/>
      <c r="X835" s="326"/>
      <c r="Y835" s="326"/>
      <c r="Z835" s="326"/>
      <c r="AA835" s="326"/>
      <c r="AB835" s="326"/>
      <c r="AC835" s="326"/>
      <c r="AD835" s="326"/>
    </row>
    <row r="836">
      <c r="A836" s="326"/>
      <c r="B836" s="326"/>
      <c r="C836" s="326"/>
      <c r="D836" s="326"/>
      <c r="E836" s="326"/>
      <c r="F836" s="326"/>
      <c r="G836" s="326"/>
      <c r="H836" s="326"/>
      <c r="I836" s="326"/>
      <c r="J836" s="326"/>
      <c r="K836" s="326"/>
      <c r="L836" s="326"/>
      <c r="M836" s="326"/>
      <c r="N836" s="326"/>
      <c r="O836" s="326"/>
      <c r="P836" s="326"/>
      <c r="Q836" s="326"/>
      <c r="R836" s="326"/>
      <c r="S836" s="326"/>
      <c r="T836" s="326"/>
      <c r="U836" s="326"/>
      <c r="V836" s="326"/>
      <c r="W836" s="326"/>
      <c r="X836" s="326"/>
      <c r="Y836" s="326"/>
      <c r="Z836" s="326"/>
      <c r="AA836" s="326"/>
      <c r="AB836" s="326"/>
      <c r="AC836" s="326"/>
      <c r="AD836" s="326"/>
    </row>
    <row r="837">
      <c r="A837" s="326"/>
      <c r="B837" s="326"/>
      <c r="C837" s="326"/>
      <c r="D837" s="326"/>
      <c r="E837" s="326"/>
      <c r="F837" s="326"/>
      <c r="G837" s="326"/>
      <c r="H837" s="326"/>
      <c r="I837" s="326"/>
      <c r="J837" s="326"/>
      <c r="K837" s="326"/>
      <c r="L837" s="326"/>
      <c r="M837" s="326"/>
      <c r="N837" s="326"/>
      <c r="O837" s="326"/>
      <c r="P837" s="326"/>
      <c r="Q837" s="326"/>
      <c r="R837" s="326"/>
      <c r="S837" s="326"/>
      <c r="T837" s="326"/>
      <c r="U837" s="326"/>
      <c r="V837" s="326"/>
      <c r="W837" s="326"/>
      <c r="X837" s="326"/>
      <c r="Y837" s="326"/>
      <c r="Z837" s="326"/>
      <c r="AA837" s="326"/>
      <c r="AB837" s="326"/>
      <c r="AC837" s="326"/>
      <c r="AD837" s="326"/>
    </row>
    <row r="838">
      <c r="A838" s="326"/>
      <c r="B838" s="326"/>
      <c r="C838" s="326"/>
      <c r="D838" s="326"/>
      <c r="E838" s="326"/>
      <c r="F838" s="326"/>
      <c r="G838" s="326"/>
      <c r="H838" s="326"/>
      <c r="I838" s="326"/>
      <c r="J838" s="326"/>
      <c r="K838" s="326"/>
      <c r="L838" s="326"/>
      <c r="M838" s="326"/>
      <c r="N838" s="326"/>
      <c r="O838" s="326"/>
      <c r="P838" s="326"/>
      <c r="Q838" s="326"/>
      <c r="R838" s="326"/>
      <c r="S838" s="326"/>
      <c r="T838" s="326"/>
      <c r="U838" s="326"/>
      <c r="V838" s="326"/>
      <c r="W838" s="326"/>
      <c r="X838" s="326"/>
      <c r="Y838" s="326"/>
      <c r="Z838" s="326"/>
      <c r="AA838" s="326"/>
      <c r="AB838" s="326"/>
      <c r="AC838" s="326"/>
      <c r="AD838" s="326"/>
    </row>
    <row r="839">
      <c r="A839" s="326"/>
      <c r="B839" s="326"/>
      <c r="C839" s="326"/>
      <c r="D839" s="326"/>
      <c r="E839" s="326"/>
      <c r="F839" s="326"/>
      <c r="G839" s="326"/>
      <c r="H839" s="326"/>
      <c r="I839" s="326"/>
      <c r="J839" s="326"/>
      <c r="K839" s="326"/>
      <c r="L839" s="326"/>
      <c r="M839" s="326"/>
      <c r="N839" s="326"/>
      <c r="O839" s="326"/>
      <c r="P839" s="326"/>
      <c r="Q839" s="326"/>
      <c r="R839" s="326"/>
      <c r="S839" s="326"/>
      <c r="T839" s="326"/>
      <c r="U839" s="326"/>
      <c r="V839" s="326"/>
      <c r="W839" s="326"/>
      <c r="X839" s="326"/>
      <c r="Y839" s="326"/>
      <c r="Z839" s="326"/>
      <c r="AA839" s="326"/>
      <c r="AB839" s="326"/>
      <c r="AC839" s="326"/>
      <c r="AD839" s="326"/>
    </row>
    <row r="840">
      <c r="A840" s="326"/>
      <c r="B840" s="326"/>
      <c r="C840" s="326"/>
      <c r="D840" s="326"/>
      <c r="E840" s="326"/>
      <c r="F840" s="326"/>
      <c r="G840" s="326"/>
      <c r="H840" s="326"/>
      <c r="I840" s="326"/>
      <c r="J840" s="326"/>
      <c r="K840" s="326"/>
      <c r="L840" s="326"/>
      <c r="M840" s="326"/>
      <c r="N840" s="326"/>
      <c r="O840" s="326"/>
      <c r="P840" s="326"/>
      <c r="Q840" s="326"/>
      <c r="R840" s="326"/>
      <c r="S840" s="326"/>
      <c r="T840" s="326"/>
      <c r="U840" s="326"/>
      <c r="V840" s="326"/>
      <c r="W840" s="326"/>
      <c r="X840" s="326"/>
      <c r="Y840" s="326"/>
      <c r="Z840" s="326"/>
      <c r="AA840" s="326"/>
      <c r="AB840" s="326"/>
      <c r="AC840" s="326"/>
      <c r="AD840" s="326"/>
    </row>
    <row r="841">
      <c r="A841" s="326"/>
      <c r="B841" s="326"/>
      <c r="C841" s="326"/>
      <c r="D841" s="326"/>
      <c r="E841" s="326"/>
      <c r="F841" s="326"/>
      <c r="G841" s="326"/>
      <c r="H841" s="326"/>
      <c r="I841" s="326"/>
      <c r="J841" s="326"/>
      <c r="K841" s="326"/>
      <c r="L841" s="326"/>
      <c r="M841" s="326"/>
      <c r="N841" s="326"/>
      <c r="O841" s="326"/>
      <c r="P841" s="326"/>
      <c r="Q841" s="326"/>
      <c r="R841" s="326"/>
      <c r="S841" s="326"/>
      <c r="T841" s="326"/>
      <c r="U841" s="326"/>
      <c r="V841" s="326"/>
      <c r="W841" s="326"/>
      <c r="X841" s="326"/>
      <c r="Y841" s="326"/>
      <c r="Z841" s="326"/>
      <c r="AA841" s="326"/>
      <c r="AB841" s="326"/>
      <c r="AC841" s="326"/>
      <c r="AD841" s="326"/>
    </row>
    <row r="842">
      <c r="A842" s="326"/>
      <c r="B842" s="326"/>
      <c r="C842" s="326"/>
      <c r="D842" s="326"/>
      <c r="E842" s="326"/>
      <c r="F842" s="326"/>
      <c r="G842" s="326"/>
      <c r="H842" s="326"/>
      <c r="I842" s="326"/>
      <c r="J842" s="326"/>
      <c r="K842" s="326"/>
      <c r="L842" s="326"/>
      <c r="M842" s="326"/>
      <c r="N842" s="326"/>
      <c r="O842" s="326"/>
      <c r="P842" s="326"/>
      <c r="Q842" s="326"/>
      <c r="R842" s="326"/>
      <c r="S842" s="326"/>
      <c r="T842" s="326"/>
      <c r="U842" s="326"/>
      <c r="V842" s="326"/>
      <c r="W842" s="326"/>
      <c r="X842" s="326"/>
      <c r="Y842" s="326"/>
      <c r="Z842" s="326"/>
      <c r="AA842" s="326"/>
      <c r="AB842" s="326"/>
      <c r="AC842" s="326"/>
      <c r="AD842" s="326"/>
    </row>
    <row r="843">
      <c r="A843" s="326"/>
      <c r="B843" s="326"/>
      <c r="C843" s="326"/>
      <c r="D843" s="326"/>
      <c r="E843" s="326"/>
      <c r="F843" s="326"/>
      <c r="G843" s="326"/>
      <c r="H843" s="326"/>
      <c r="I843" s="326"/>
      <c r="J843" s="326"/>
      <c r="K843" s="326"/>
      <c r="L843" s="326"/>
      <c r="M843" s="326"/>
      <c r="N843" s="326"/>
      <c r="O843" s="326"/>
      <c r="P843" s="326"/>
      <c r="Q843" s="326"/>
      <c r="R843" s="326"/>
      <c r="S843" s="326"/>
      <c r="T843" s="326"/>
      <c r="U843" s="326"/>
      <c r="V843" s="326"/>
      <c r="W843" s="326"/>
      <c r="X843" s="326"/>
      <c r="Y843" s="326"/>
      <c r="Z843" s="326"/>
      <c r="AA843" s="326"/>
      <c r="AB843" s="326"/>
      <c r="AC843" s="326"/>
      <c r="AD843" s="326"/>
    </row>
    <row r="844">
      <c r="A844" s="326"/>
      <c r="B844" s="326"/>
      <c r="C844" s="326"/>
      <c r="D844" s="326"/>
      <c r="E844" s="326"/>
      <c r="F844" s="326"/>
      <c r="G844" s="326"/>
      <c r="H844" s="326"/>
      <c r="I844" s="326"/>
      <c r="J844" s="326"/>
      <c r="K844" s="326"/>
      <c r="L844" s="326"/>
      <c r="M844" s="326"/>
      <c r="N844" s="326"/>
      <c r="O844" s="326"/>
      <c r="P844" s="326"/>
      <c r="Q844" s="326"/>
      <c r="R844" s="326"/>
      <c r="S844" s="326"/>
      <c r="T844" s="326"/>
      <c r="U844" s="326"/>
      <c r="V844" s="326"/>
      <c r="W844" s="326"/>
      <c r="X844" s="326"/>
      <c r="Y844" s="326"/>
      <c r="Z844" s="326"/>
      <c r="AA844" s="326"/>
      <c r="AB844" s="326"/>
      <c r="AC844" s="326"/>
      <c r="AD844" s="326"/>
    </row>
    <row r="845">
      <c r="A845" s="326"/>
      <c r="B845" s="326"/>
      <c r="C845" s="326"/>
      <c r="D845" s="326"/>
      <c r="E845" s="326"/>
      <c r="F845" s="326"/>
      <c r="G845" s="326"/>
      <c r="H845" s="326"/>
      <c r="I845" s="326"/>
      <c r="J845" s="326"/>
      <c r="K845" s="326"/>
      <c r="L845" s="326"/>
      <c r="M845" s="326"/>
      <c r="N845" s="326"/>
      <c r="O845" s="326"/>
      <c r="P845" s="326"/>
      <c r="Q845" s="326"/>
      <c r="R845" s="326"/>
      <c r="S845" s="326"/>
      <c r="T845" s="326"/>
      <c r="U845" s="326"/>
      <c r="V845" s="326"/>
      <c r="W845" s="326"/>
      <c r="X845" s="326"/>
      <c r="Y845" s="326"/>
      <c r="Z845" s="326"/>
      <c r="AA845" s="326"/>
      <c r="AB845" s="326"/>
      <c r="AC845" s="326"/>
      <c r="AD845" s="326"/>
    </row>
    <row r="846">
      <c r="A846" s="326"/>
      <c r="B846" s="326"/>
      <c r="C846" s="326"/>
      <c r="D846" s="326"/>
      <c r="E846" s="326"/>
      <c r="F846" s="326"/>
      <c r="G846" s="326"/>
      <c r="H846" s="326"/>
      <c r="I846" s="326"/>
      <c r="J846" s="326"/>
      <c r="K846" s="326"/>
      <c r="L846" s="326"/>
      <c r="M846" s="326"/>
      <c r="N846" s="326"/>
      <c r="O846" s="326"/>
      <c r="P846" s="326"/>
      <c r="Q846" s="326"/>
      <c r="R846" s="326"/>
      <c r="S846" s="326"/>
      <c r="T846" s="326"/>
      <c r="U846" s="326"/>
      <c r="V846" s="326"/>
      <c r="W846" s="326"/>
      <c r="X846" s="326"/>
      <c r="Y846" s="326"/>
      <c r="Z846" s="326"/>
      <c r="AA846" s="326"/>
      <c r="AB846" s="326"/>
      <c r="AC846" s="326"/>
      <c r="AD846" s="326"/>
    </row>
    <row r="847">
      <c r="A847" s="326"/>
      <c r="B847" s="326"/>
      <c r="C847" s="326"/>
      <c r="D847" s="326"/>
      <c r="E847" s="326"/>
      <c r="F847" s="326"/>
      <c r="G847" s="326"/>
      <c r="H847" s="326"/>
      <c r="I847" s="326"/>
      <c r="J847" s="326"/>
      <c r="K847" s="326"/>
      <c r="L847" s="326"/>
      <c r="M847" s="326"/>
      <c r="N847" s="326"/>
      <c r="O847" s="326"/>
      <c r="P847" s="326"/>
      <c r="Q847" s="326"/>
      <c r="R847" s="326"/>
      <c r="S847" s="326"/>
      <c r="T847" s="326"/>
      <c r="U847" s="326"/>
      <c r="V847" s="326"/>
      <c r="W847" s="326"/>
      <c r="X847" s="326"/>
      <c r="Y847" s="326"/>
      <c r="Z847" s="326"/>
      <c r="AA847" s="326"/>
      <c r="AB847" s="326"/>
      <c r="AC847" s="326"/>
      <c r="AD847" s="326"/>
    </row>
    <row r="848">
      <c r="A848" s="326"/>
      <c r="B848" s="326"/>
      <c r="C848" s="326"/>
      <c r="D848" s="326"/>
      <c r="E848" s="326"/>
      <c r="F848" s="326"/>
      <c r="G848" s="326"/>
      <c r="H848" s="326"/>
      <c r="I848" s="326"/>
      <c r="J848" s="326"/>
      <c r="K848" s="326"/>
      <c r="L848" s="326"/>
      <c r="M848" s="326"/>
      <c r="N848" s="326"/>
      <c r="O848" s="326"/>
      <c r="P848" s="326"/>
      <c r="Q848" s="326"/>
      <c r="R848" s="326"/>
      <c r="S848" s="326"/>
      <c r="T848" s="326"/>
      <c r="U848" s="326"/>
      <c r="V848" s="326"/>
      <c r="W848" s="326"/>
      <c r="X848" s="326"/>
      <c r="Y848" s="326"/>
      <c r="Z848" s="326"/>
      <c r="AA848" s="326"/>
      <c r="AB848" s="326"/>
      <c r="AC848" s="326"/>
      <c r="AD848" s="326"/>
    </row>
    <row r="849">
      <c r="A849" s="326"/>
      <c r="B849" s="326"/>
      <c r="C849" s="326"/>
      <c r="D849" s="326"/>
      <c r="E849" s="326"/>
      <c r="F849" s="326"/>
      <c r="G849" s="326"/>
      <c r="H849" s="326"/>
      <c r="I849" s="326"/>
      <c r="J849" s="326"/>
      <c r="K849" s="326"/>
      <c r="L849" s="326"/>
      <c r="M849" s="326"/>
      <c r="N849" s="326"/>
      <c r="O849" s="326"/>
      <c r="P849" s="326"/>
      <c r="Q849" s="326"/>
      <c r="R849" s="326"/>
      <c r="S849" s="326"/>
      <c r="T849" s="326"/>
      <c r="U849" s="326"/>
      <c r="V849" s="326"/>
      <c r="W849" s="326"/>
      <c r="X849" s="326"/>
      <c r="Y849" s="326"/>
      <c r="Z849" s="326"/>
      <c r="AA849" s="326"/>
      <c r="AB849" s="326"/>
      <c r="AC849" s="326"/>
      <c r="AD849" s="326"/>
    </row>
    <row r="850">
      <c r="A850" s="326"/>
      <c r="B850" s="326"/>
      <c r="C850" s="326"/>
      <c r="D850" s="326"/>
      <c r="E850" s="326"/>
      <c r="F850" s="326"/>
      <c r="G850" s="326"/>
      <c r="H850" s="326"/>
      <c r="I850" s="326"/>
      <c r="J850" s="326"/>
      <c r="K850" s="326"/>
      <c r="L850" s="326"/>
      <c r="M850" s="326"/>
      <c r="N850" s="326"/>
      <c r="O850" s="326"/>
      <c r="P850" s="326"/>
      <c r="Q850" s="326"/>
      <c r="R850" s="326"/>
      <c r="S850" s="326"/>
      <c r="T850" s="326"/>
      <c r="U850" s="326"/>
      <c r="V850" s="326"/>
      <c r="W850" s="326"/>
      <c r="X850" s="326"/>
      <c r="Y850" s="326"/>
      <c r="Z850" s="326"/>
      <c r="AA850" s="326"/>
      <c r="AB850" s="326"/>
      <c r="AC850" s="326"/>
      <c r="AD850" s="326"/>
    </row>
    <row r="851">
      <c r="A851" s="326"/>
      <c r="B851" s="326"/>
      <c r="C851" s="326"/>
      <c r="D851" s="326"/>
      <c r="E851" s="326"/>
      <c r="F851" s="326"/>
      <c r="G851" s="326"/>
      <c r="H851" s="326"/>
      <c r="I851" s="326"/>
      <c r="J851" s="326"/>
      <c r="K851" s="326"/>
      <c r="L851" s="326"/>
      <c r="M851" s="326"/>
      <c r="N851" s="326"/>
      <c r="O851" s="326"/>
      <c r="P851" s="326"/>
      <c r="Q851" s="326"/>
      <c r="R851" s="326"/>
      <c r="S851" s="326"/>
      <c r="T851" s="326"/>
      <c r="U851" s="326"/>
      <c r="V851" s="326"/>
      <c r="W851" s="326"/>
      <c r="X851" s="326"/>
      <c r="Y851" s="326"/>
      <c r="Z851" s="326"/>
      <c r="AA851" s="326"/>
      <c r="AB851" s="326"/>
      <c r="AC851" s="326"/>
      <c r="AD851" s="326"/>
    </row>
    <row r="852">
      <c r="A852" s="326"/>
      <c r="B852" s="326"/>
      <c r="C852" s="326"/>
      <c r="D852" s="326"/>
      <c r="E852" s="326"/>
      <c r="F852" s="326"/>
      <c r="G852" s="326"/>
      <c r="H852" s="326"/>
      <c r="I852" s="326"/>
      <c r="J852" s="326"/>
      <c r="K852" s="326"/>
      <c r="L852" s="326"/>
      <c r="M852" s="326"/>
      <c r="N852" s="326"/>
      <c r="O852" s="326"/>
      <c r="P852" s="326"/>
      <c r="Q852" s="326"/>
      <c r="R852" s="326"/>
      <c r="S852" s="326"/>
      <c r="T852" s="326"/>
      <c r="U852" s="326"/>
      <c r="V852" s="326"/>
      <c r="W852" s="326"/>
      <c r="X852" s="326"/>
      <c r="Y852" s="326"/>
      <c r="Z852" s="326"/>
      <c r="AA852" s="326"/>
      <c r="AB852" s="326"/>
      <c r="AC852" s="326"/>
      <c r="AD852" s="326"/>
    </row>
    <row r="853">
      <c r="A853" s="326"/>
      <c r="B853" s="326"/>
      <c r="C853" s="326"/>
      <c r="D853" s="326"/>
      <c r="E853" s="326"/>
      <c r="F853" s="326"/>
      <c r="G853" s="326"/>
      <c r="H853" s="326"/>
      <c r="I853" s="326"/>
      <c r="J853" s="326"/>
      <c r="K853" s="326"/>
      <c r="L853" s="326"/>
      <c r="M853" s="326"/>
      <c r="N853" s="326"/>
      <c r="O853" s="326"/>
      <c r="P853" s="326"/>
      <c r="Q853" s="326"/>
      <c r="R853" s="326"/>
      <c r="S853" s="326"/>
      <c r="T853" s="326"/>
      <c r="U853" s="326"/>
      <c r="V853" s="326"/>
      <c r="W853" s="326"/>
      <c r="X853" s="326"/>
      <c r="Y853" s="326"/>
      <c r="Z853" s="326"/>
      <c r="AA853" s="326"/>
      <c r="AB853" s="326"/>
      <c r="AC853" s="326"/>
      <c r="AD853" s="326"/>
    </row>
    <row r="854">
      <c r="A854" s="326"/>
      <c r="B854" s="326"/>
      <c r="C854" s="326"/>
      <c r="D854" s="326"/>
      <c r="E854" s="326"/>
      <c r="F854" s="326"/>
      <c r="G854" s="326"/>
      <c r="H854" s="326"/>
      <c r="I854" s="326"/>
      <c r="J854" s="326"/>
      <c r="K854" s="326"/>
      <c r="L854" s="326"/>
      <c r="M854" s="326"/>
      <c r="N854" s="326"/>
      <c r="O854" s="326"/>
      <c r="P854" s="326"/>
      <c r="Q854" s="326"/>
      <c r="R854" s="326"/>
      <c r="S854" s="326"/>
      <c r="T854" s="326"/>
      <c r="U854" s="326"/>
      <c r="V854" s="326"/>
      <c r="W854" s="326"/>
      <c r="X854" s="326"/>
      <c r="Y854" s="326"/>
      <c r="Z854" s="326"/>
      <c r="AA854" s="326"/>
      <c r="AB854" s="326"/>
      <c r="AC854" s="326"/>
      <c r="AD854" s="326"/>
    </row>
    <row r="855">
      <c r="A855" s="326"/>
      <c r="B855" s="326"/>
      <c r="C855" s="326"/>
      <c r="D855" s="326"/>
      <c r="E855" s="326"/>
      <c r="F855" s="326"/>
      <c r="G855" s="326"/>
      <c r="H855" s="326"/>
      <c r="I855" s="326"/>
      <c r="J855" s="326"/>
      <c r="K855" s="326"/>
      <c r="L855" s="326"/>
      <c r="M855" s="326"/>
      <c r="N855" s="326"/>
      <c r="O855" s="326"/>
      <c r="P855" s="326"/>
      <c r="Q855" s="326"/>
      <c r="R855" s="326"/>
      <c r="S855" s="326"/>
      <c r="T855" s="326"/>
      <c r="U855" s="326"/>
      <c r="V855" s="326"/>
      <c r="W855" s="326"/>
      <c r="X855" s="326"/>
      <c r="Y855" s="326"/>
      <c r="Z855" s="326"/>
      <c r="AA855" s="326"/>
      <c r="AB855" s="326"/>
      <c r="AC855" s="326"/>
      <c r="AD855" s="326"/>
    </row>
    <row r="856">
      <c r="A856" s="326"/>
      <c r="B856" s="326"/>
      <c r="C856" s="326"/>
      <c r="D856" s="326"/>
      <c r="E856" s="326"/>
      <c r="F856" s="326"/>
      <c r="G856" s="326"/>
      <c r="H856" s="326"/>
      <c r="I856" s="326"/>
      <c r="J856" s="326"/>
      <c r="K856" s="326"/>
      <c r="L856" s="326"/>
      <c r="M856" s="326"/>
      <c r="N856" s="326"/>
      <c r="O856" s="326"/>
      <c r="P856" s="326"/>
      <c r="Q856" s="326"/>
      <c r="R856" s="326"/>
      <c r="S856" s="326"/>
      <c r="T856" s="326"/>
      <c r="U856" s="326"/>
      <c r="V856" s="326"/>
      <c r="W856" s="326"/>
      <c r="X856" s="326"/>
      <c r="Y856" s="326"/>
      <c r="Z856" s="326"/>
      <c r="AA856" s="326"/>
      <c r="AB856" s="326"/>
      <c r="AC856" s="326"/>
      <c r="AD856" s="326"/>
    </row>
    <row r="857">
      <c r="A857" s="326"/>
      <c r="B857" s="326"/>
      <c r="C857" s="326"/>
      <c r="D857" s="326"/>
      <c r="E857" s="326"/>
      <c r="F857" s="326"/>
      <c r="G857" s="326"/>
      <c r="H857" s="326"/>
      <c r="I857" s="326"/>
      <c r="J857" s="326"/>
      <c r="K857" s="326"/>
      <c r="L857" s="326"/>
      <c r="M857" s="326"/>
      <c r="N857" s="326"/>
      <c r="O857" s="326"/>
      <c r="P857" s="326"/>
      <c r="Q857" s="326"/>
      <c r="R857" s="326"/>
      <c r="S857" s="326"/>
      <c r="T857" s="326"/>
      <c r="U857" s="326"/>
      <c r="V857" s="326"/>
      <c r="W857" s="326"/>
      <c r="X857" s="326"/>
      <c r="Y857" s="326"/>
      <c r="Z857" s="326"/>
      <c r="AA857" s="326"/>
      <c r="AB857" s="326"/>
      <c r="AC857" s="326"/>
      <c r="AD857" s="326"/>
    </row>
    <row r="858">
      <c r="A858" s="326"/>
      <c r="B858" s="326"/>
      <c r="C858" s="326"/>
      <c r="D858" s="326"/>
      <c r="E858" s="326"/>
      <c r="F858" s="326"/>
      <c r="G858" s="326"/>
      <c r="H858" s="326"/>
      <c r="I858" s="326"/>
      <c r="J858" s="326"/>
      <c r="K858" s="326"/>
      <c r="L858" s="326"/>
      <c r="M858" s="326"/>
      <c r="N858" s="326"/>
      <c r="O858" s="326"/>
      <c r="P858" s="326"/>
      <c r="Q858" s="326"/>
      <c r="R858" s="326"/>
      <c r="S858" s="326"/>
      <c r="T858" s="326"/>
      <c r="U858" s="326"/>
      <c r="V858" s="326"/>
      <c r="W858" s="326"/>
      <c r="X858" s="326"/>
      <c r="Y858" s="326"/>
      <c r="Z858" s="326"/>
      <c r="AA858" s="326"/>
      <c r="AB858" s="326"/>
      <c r="AC858" s="326"/>
      <c r="AD858" s="326"/>
    </row>
    <row r="859">
      <c r="A859" s="326"/>
      <c r="B859" s="326"/>
      <c r="C859" s="326"/>
      <c r="D859" s="326"/>
      <c r="E859" s="326"/>
      <c r="F859" s="326"/>
      <c r="G859" s="326"/>
      <c r="H859" s="326"/>
      <c r="I859" s="326"/>
      <c r="J859" s="326"/>
      <c r="K859" s="326"/>
      <c r="L859" s="326"/>
      <c r="M859" s="326"/>
      <c r="N859" s="326"/>
      <c r="O859" s="326"/>
      <c r="P859" s="326"/>
      <c r="Q859" s="326"/>
      <c r="R859" s="326"/>
      <c r="S859" s="326"/>
      <c r="T859" s="326"/>
      <c r="U859" s="326"/>
      <c r="V859" s="326"/>
      <c r="W859" s="326"/>
      <c r="X859" s="326"/>
      <c r="Y859" s="326"/>
      <c r="Z859" s="326"/>
      <c r="AA859" s="326"/>
      <c r="AB859" s="326"/>
      <c r="AC859" s="326"/>
      <c r="AD859" s="326"/>
    </row>
    <row r="860">
      <c r="A860" s="326"/>
      <c r="B860" s="326"/>
      <c r="C860" s="326"/>
      <c r="D860" s="326"/>
      <c r="E860" s="326"/>
      <c r="F860" s="326"/>
      <c r="G860" s="326"/>
      <c r="H860" s="326"/>
      <c r="I860" s="326"/>
      <c r="J860" s="326"/>
      <c r="K860" s="326"/>
      <c r="L860" s="326"/>
      <c r="M860" s="326"/>
      <c r="N860" s="326"/>
      <c r="O860" s="326"/>
      <c r="P860" s="326"/>
      <c r="Q860" s="326"/>
      <c r="R860" s="326"/>
      <c r="S860" s="326"/>
      <c r="T860" s="326"/>
      <c r="U860" s="326"/>
      <c r="V860" s="326"/>
      <c r="W860" s="326"/>
      <c r="X860" s="326"/>
      <c r="Y860" s="326"/>
      <c r="Z860" s="326"/>
      <c r="AA860" s="326"/>
      <c r="AB860" s="326"/>
      <c r="AC860" s="326"/>
      <c r="AD860" s="326"/>
    </row>
    <row r="861">
      <c r="A861" s="326"/>
      <c r="B861" s="326"/>
      <c r="C861" s="326"/>
      <c r="D861" s="326"/>
      <c r="E861" s="326"/>
      <c r="F861" s="326"/>
      <c r="G861" s="326"/>
      <c r="H861" s="326"/>
      <c r="I861" s="326"/>
      <c r="J861" s="326"/>
      <c r="K861" s="326"/>
      <c r="L861" s="326"/>
      <c r="M861" s="326"/>
      <c r="N861" s="326"/>
      <c r="O861" s="326"/>
      <c r="P861" s="326"/>
      <c r="Q861" s="326"/>
      <c r="R861" s="326"/>
      <c r="S861" s="326"/>
      <c r="T861" s="326"/>
      <c r="U861" s="326"/>
      <c r="V861" s="326"/>
      <c r="W861" s="326"/>
      <c r="X861" s="326"/>
      <c r="Y861" s="326"/>
      <c r="Z861" s="326"/>
      <c r="AA861" s="326"/>
      <c r="AB861" s="326"/>
      <c r="AC861" s="326"/>
      <c r="AD861" s="326"/>
    </row>
    <row r="862">
      <c r="A862" s="326"/>
      <c r="B862" s="326"/>
      <c r="C862" s="326"/>
      <c r="D862" s="326"/>
      <c r="E862" s="326"/>
      <c r="F862" s="326"/>
      <c r="G862" s="326"/>
      <c r="H862" s="326"/>
      <c r="I862" s="326"/>
      <c r="J862" s="326"/>
      <c r="K862" s="326"/>
      <c r="L862" s="326"/>
      <c r="M862" s="326"/>
      <c r="N862" s="326"/>
      <c r="O862" s="326"/>
      <c r="P862" s="326"/>
      <c r="Q862" s="326"/>
      <c r="R862" s="326"/>
      <c r="S862" s="326"/>
      <c r="T862" s="326"/>
      <c r="U862" s="326"/>
      <c r="V862" s="326"/>
      <c r="W862" s="326"/>
      <c r="X862" s="326"/>
      <c r="Y862" s="326"/>
      <c r="Z862" s="326"/>
      <c r="AA862" s="326"/>
      <c r="AB862" s="326"/>
      <c r="AC862" s="326"/>
      <c r="AD862" s="326"/>
    </row>
    <row r="863">
      <c r="A863" s="326"/>
      <c r="B863" s="326"/>
      <c r="C863" s="326"/>
      <c r="D863" s="326"/>
      <c r="E863" s="326"/>
      <c r="F863" s="326"/>
      <c r="G863" s="326"/>
      <c r="H863" s="326"/>
      <c r="I863" s="326"/>
      <c r="J863" s="326"/>
      <c r="K863" s="326"/>
      <c r="L863" s="326"/>
      <c r="M863" s="326"/>
      <c r="N863" s="326"/>
      <c r="O863" s="326"/>
      <c r="P863" s="326"/>
      <c r="Q863" s="326"/>
      <c r="R863" s="326"/>
      <c r="S863" s="326"/>
      <c r="T863" s="326"/>
      <c r="U863" s="326"/>
      <c r="V863" s="326"/>
      <c r="W863" s="326"/>
      <c r="X863" s="326"/>
      <c r="Y863" s="326"/>
      <c r="Z863" s="326"/>
      <c r="AA863" s="326"/>
      <c r="AB863" s="326"/>
      <c r="AC863" s="326"/>
      <c r="AD863" s="326"/>
    </row>
    <row r="864">
      <c r="A864" s="326"/>
      <c r="B864" s="326"/>
      <c r="C864" s="326"/>
      <c r="D864" s="326"/>
      <c r="E864" s="326"/>
      <c r="F864" s="326"/>
      <c r="G864" s="326"/>
      <c r="H864" s="326"/>
      <c r="I864" s="326"/>
      <c r="J864" s="326"/>
      <c r="K864" s="326"/>
      <c r="L864" s="326"/>
      <c r="M864" s="326"/>
      <c r="N864" s="326"/>
      <c r="O864" s="326"/>
      <c r="P864" s="326"/>
      <c r="Q864" s="326"/>
      <c r="R864" s="326"/>
      <c r="S864" s="326"/>
      <c r="T864" s="326"/>
      <c r="U864" s="326"/>
      <c r="V864" s="326"/>
      <c r="W864" s="326"/>
      <c r="X864" s="326"/>
      <c r="Y864" s="326"/>
      <c r="Z864" s="326"/>
      <c r="AA864" s="326"/>
      <c r="AB864" s="326"/>
      <c r="AC864" s="326"/>
      <c r="AD864" s="326"/>
    </row>
    <row r="865">
      <c r="A865" s="326"/>
      <c r="B865" s="326"/>
      <c r="C865" s="326"/>
      <c r="D865" s="326"/>
      <c r="E865" s="326"/>
      <c r="F865" s="326"/>
      <c r="G865" s="326"/>
      <c r="H865" s="326"/>
      <c r="I865" s="326"/>
      <c r="J865" s="326"/>
      <c r="K865" s="326"/>
      <c r="L865" s="326"/>
      <c r="M865" s="326"/>
      <c r="N865" s="326"/>
      <c r="O865" s="326"/>
      <c r="P865" s="326"/>
      <c r="Q865" s="326"/>
      <c r="R865" s="326"/>
      <c r="S865" s="326"/>
      <c r="T865" s="326"/>
      <c r="U865" s="326"/>
      <c r="V865" s="326"/>
      <c r="W865" s="326"/>
      <c r="X865" s="326"/>
      <c r="Y865" s="326"/>
      <c r="Z865" s="326"/>
      <c r="AA865" s="326"/>
      <c r="AB865" s="326"/>
      <c r="AC865" s="326"/>
      <c r="AD865" s="326"/>
    </row>
    <row r="866">
      <c r="A866" s="326"/>
      <c r="B866" s="326"/>
      <c r="C866" s="326"/>
      <c r="D866" s="326"/>
      <c r="E866" s="326"/>
      <c r="F866" s="326"/>
      <c r="G866" s="326"/>
      <c r="H866" s="326"/>
      <c r="I866" s="326"/>
      <c r="J866" s="326"/>
      <c r="K866" s="326"/>
      <c r="L866" s="326"/>
      <c r="M866" s="326"/>
      <c r="N866" s="326"/>
      <c r="O866" s="326"/>
      <c r="P866" s="326"/>
      <c r="Q866" s="326"/>
      <c r="R866" s="326"/>
      <c r="S866" s="326"/>
      <c r="T866" s="326"/>
      <c r="U866" s="326"/>
      <c r="V866" s="326"/>
      <c r="W866" s="326"/>
      <c r="X866" s="326"/>
      <c r="Y866" s="326"/>
      <c r="Z866" s="326"/>
      <c r="AA866" s="326"/>
      <c r="AB866" s="326"/>
      <c r="AC866" s="326"/>
      <c r="AD866" s="326"/>
    </row>
    <row r="867">
      <c r="A867" s="326"/>
      <c r="B867" s="326"/>
      <c r="C867" s="326"/>
      <c r="D867" s="326"/>
      <c r="E867" s="326"/>
      <c r="F867" s="326"/>
      <c r="G867" s="326"/>
      <c r="H867" s="326"/>
      <c r="I867" s="326"/>
      <c r="J867" s="326"/>
      <c r="K867" s="326"/>
      <c r="L867" s="326"/>
      <c r="M867" s="326"/>
      <c r="N867" s="326"/>
      <c r="O867" s="326"/>
      <c r="P867" s="326"/>
      <c r="Q867" s="326"/>
      <c r="R867" s="326"/>
      <c r="S867" s="326"/>
      <c r="T867" s="326"/>
      <c r="U867" s="326"/>
      <c r="V867" s="326"/>
      <c r="W867" s="326"/>
      <c r="X867" s="326"/>
      <c r="Y867" s="326"/>
      <c r="Z867" s="326"/>
      <c r="AA867" s="326"/>
      <c r="AB867" s="326"/>
      <c r="AC867" s="326"/>
      <c r="AD867" s="326"/>
    </row>
    <row r="868">
      <c r="A868" s="326"/>
      <c r="B868" s="326"/>
      <c r="C868" s="326"/>
      <c r="D868" s="326"/>
      <c r="E868" s="326"/>
      <c r="F868" s="326"/>
      <c r="G868" s="326"/>
      <c r="H868" s="326"/>
      <c r="I868" s="326"/>
      <c r="J868" s="326"/>
      <c r="K868" s="326"/>
      <c r="L868" s="326"/>
      <c r="M868" s="326"/>
      <c r="N868" s="326"/>
      <c r="O868" s="326"/>
      <c r="P868" s="326"/>
      <c r="Q868" s="326"/>
      <c r="R868" s="326"/>
      <c r="S868" s="326"/>
      <c r="T868" s="326"/>
      <c r="U868" s="326"/>
      <c r="V868" s="326"/>
      <c r="W868" s="326"/>
      <c r="X868" s="326"/>
      <c r="Y868" s="326"/>
      <c r="Z868" s="326"/>
      <c r="AA868" s="326"/>
      <c r="AB868" s="326"/>
      <c r="AC868" s="326"/>
      <c r="AD868" s="326"/>
    </row>
    <row r="869">
      <c r="A869" s="326"/>
      <c r="B869" s="326"/>
      <c r="C869" s="326"/>
      <c r="D869" s="326"/>
      <c r="E869" s="326"/>
      <c r="F869" s="326"/>
      <c r="G869" s="326"/>
      <c r="H869" s="326"/>
      <c r="I869" s="326"/>
      <c r="J869" s="326"/>
      <c r="K869" s="326"/>
      <c r="L869" s="326"/>
      <c r="M869" s="326"/>
      <c r="N869" s="326"/>
      <c r="O869" s="326"/>
      <c r="P869" s="326"/>
      <c r="Q869" s="326"/>
      <c r="R869" s="326"/>
      <c r="S869" s="326"/>
      <c r="T869" s="326"/>
      <c r="U869" s="326"/>
      <c r="V869" s="326"/>
      <c r="W869" s="326"/>
      <c r="X869" s="326"/>
      <c r="Y869" s="326"/>
      <c r="Z869" s="326"/>
      <c r="AA869" s="326"/>
      <c r="AB869" s="326"/>
      <c r="AC869" s="326"/>
      <c r="AD869" s="326"/>
    </row>
    <row r="870">
      <c r="A870" s="326"/>
      <c r="B870" s="326"/>
      <c r="C870" s="326"/>
      <c r="D870" s="326"/>
      <c r="E870" s="326"/>
      <c r="F870" s="326"/>
      <c r="G870" s="326"/>
      <c r="H870" s="326"/>
      <c r="I870" s="326"/>
      <c r="J870" s="326"/>
      <c r="K870" s="326"/>
      <c r="L870" s="326"/>
      <c r="M870" s="326"/>
      <c r="N870" s="326"/>
      <c r="O870" s="326"/>
      <c r="P870" s="326"/>
      <c r="Q870" s="326"/>
      <c r="R870" s="326"/>
      <c r="S870" s="326"/>
      <c r="T870" s="326"/>
      <c r="U870" s="326"/>
      <c r="V870" s="326"/>
      <c r="W870" s="326"/>
      <c r="X870" s="326"/>
      <c r="Y870" s="326"/>
      <c r="Z870" s="326"/>
      <c r="AA870" s="326"/>
      <c r="AB870" s="326"/>
      <c r="AC870" s="326"/>
      <c r="AD870" s="326"/>
    </row>
    <row r="871">
      <c r="A871" s="326"/>
      <c r="B871" s="326"/>
      <c r="C871" s="326"/>
      <c r="D871" s="326"/>
      <c r="E871" s="326"/>
      <c r="F871" s="326"/>
      <c r="G871" s="326"/>
      <c r="H871" s="326"/>
      <c r="I871" s="326"/>
      <c r="J871" s="326"/>
      <c r="K871" s="326"/>
      <c r="L871" s="326"/>
      <c r="M871" s="326"/>
      <c r="N871" s="326"/>
      <c r="O871" s="326"/>
      <c r="P871" s="326"/>
      <c r="Q871" s="326"/>
      <c r="R871" s="326"/>
      <c r="S871" s="326"/>
      <c r="T871" s="326"/>
      <c r="U871" s="326"/>
      <c r="V871" s="326"/>
      <c r="W871" s="326"/>
      <c r="X871" s="326"/>
      <c r="Y871" s="326"/>
      <c r="Z871" s="326"/>
      <c r="AA871" s="326"/>
      <c r="AB871" s="326"/>
      <c r="AC871" s="326"/>
      <c r="AD871" s="326"/>
    </row>
    <row r="872">
      <c r="A872" s="326"/>
      <c r="B872" s="326"/>
      <c r="C872" s="326"/>
      <c r="D872" s="326"/>
      <c r="E872" s="326"/>
      <c r="F872" s="326"/>
      <c r="G872" s="326"/>
      <c r="H872" s="326"/>
      <c r="I872" s="326"/>
      <c r="J872" s="326"/>
      <c r="K872" s="326"/>
      <c r="L872" s="326"/>
      <c r="M872" s="326"/>
      <c r="N872" s="326"/>
      <c r="O872" s="326"/>
      <c r="P872" s="326"/>
      <c r="Q872" s="326"/>
      <c r="R872" s="326"/>
      <c r="S872" s="326"/>
      <c r="T872" s="326"/>
      <c r="U872" s="326"/>
      <c r="V872" s="326"/>
      <c r="W872" s="326"/>
      <c r="X872" s="326"/>
      <c r="Y872" s="326"/>
      <c r="Z872" s="326"/>
      <c r="AA872" s="326"/>
      <c r="AB872" s="326"/>
      <c r="AC872" s="326"/>
      <c r="AD872" s="326"/>
    </row>
    <row r="873">
      <c r="A873" s="326"/>
      <c r="B873" s="326"/>
      <c r="C873" s="326"/>
      <c r="D873" s="326"/>
      <c r="E873" s="326"/>
      <c r="F873" s="326"/>
      <c r="G873" s="326"/>
      <c r="H873" s="326"/>
      <c r="I873" s="326"/>
      <c r="J873" s="326"/>
      <c r="K873" s="326"/>
      <c r="L873" s="326"/>
      <c r="M873" s="326"/>
      <c r="N873" s="326"/>
      <c r="O873" s="326"/>
      <c r="P873" s="326"/>
      <c r="Q873" s="326"/>
      <c r="R873" s="326"/>
      <c r="S873" s="326"/>
      <c r="T873" s="326"/>
      <c r="U873" s="326"/>
      <c r="V873" s="326"/>
      <c r="W873" s="326"/>
      <c r="X873" s="326"/>
      <c r="Y873" s="326"/>
      <c r="Z873" s="326"/>
      <c r="AA873" s="326"/>
      <c r="AB873" s="326"/>
      <c r="AC873" s="326"/>
      <c r="AD873" s="326"/>
    </row>
    <row r="874">
      <c r="A874" s="326"/>
      <c r="B874" s="326"/>
      <c r="C874" s="326"/>
      <c r="D874" s="326"/>
      <c r="E874" s="326"/>
      <c r="F874" s="326"/>
      <c r="G874" s="326"/>
      <c r="H874" s="326"/>
      <c r="I874" s="326"/>
      <c r="J874" s="326"/>
      <c r="K874" s="326"/>
      <c r="L874" s="326"/>
      <c r="M874" s="326"/>
      <c r="N874" s="326"/>
      <c r="O874" s="326"/>
      <c r="P874" s="326"/>
      <c r="Q874" s="326"/>
      <c r="R874" s="326"/>
      <c r="S874" s="326"/>
      <c r="T874" s="326"/>
      <c r="U874" s="326"/>
      <c r="V874" s="326"/>
      <c r="W874" s="326"/>
      <c r="X874" s="326"/>
      <c r="Y874" s="326"/>
      <c r="Z874" s="326"/>
      <c r="AA874" s="326"/>
      <c r="AB874" s="326"/>
      <c r="AC874" s="326"/>
      <c r="AD874" s="326"/>
    </row>
    <row r="875">
      <c r="A875" s="326"/>
      <c r="B875" s="326"/>
      <c r="C875" s="326"/>
      <c r="D875" s="326"/>
      <c r="E875" s="326"/>
      <c r="F875" s="326"/>
      <c r="G875" s="326"/>
      <c r="H875" s="326"/>
      <c r="I875" s="326"/>
      <c r="J875" s="326"/>
      <c r="K875" s="326"/>
      <c r="L875" s="326"/>
      <c r="M875" s="326"/>
      <c r="N875" s="326"/>
      <c r="O875" s="326"/>
      <c r="P875" s="326"/>
      <c r="Q875" s="326"/>
      <c r="R875" s="326"/>
      <c r="S875" s="326"/>
      <c r="T875" s="326"/>
      <c r="U875" s="326"/>
      <c r="V875" s="326"/>
      <c r="W875" s="326"/>
      <c r="X875" s="326"/>
      <c r="Y875" s="326"/>
      <c r="Z875" s="326"/>
      <c r="AA875" s="326"/>
      <c r="AB875" s="326"/>
      <c r="AC875" s="326"/>
      <c r="AD875" s="326"/>
    </row>
    <row r="876">
      <c r="A876" s="326"/>
      <c r="B876" s="326"/>
      <c r="C876" s="326"/>
      <c r="D876" s="326"/>
      <c r="E876" s="326"/>
      <c r="F876" s="326"/>
      <c r="G876" s="326"/>
      <c r="H876" s="326"/>
      <c r="I876" s="326"/>
      <c r="J876" s="326"/>
      <c r="K876" s="326"/>
      <c r="L876" s="326"/>
      <c r="M876" s="326"/>
      <c r="N876" s="326"/>
      <c r="O876" s="326"/>
      <c r="P876" s="326"/>
      <c r="Q876" s="326"/>
      <c r="R876" s="326"/>
      <c r="S876" s="326"/>
      <c r="T876" s="326"/>
      <c r="U876" s="326"/>
      <c r="V876" s="326"/>
      <c r="W876" s="326"/>
      <c r="X876" s="326"/>
      <c r="Y876" s="326"/>
      <c r="Z876" s="326"/>
      <c r="AA876" s="326"/>
      <c r="AB876" s="326"/>
      <c r="AC876" s="326"/>
      <c r="AD876" s="326"/>
    </row>
    <row r="877">
      <c r="A877" s="326"/>
      <c r="B877" s="326"/>
      <c r="C877" s="326"/>
      <c r="D877" s="326"/>
      <c r="E877" s="326"/>
      <c r="F877" s="326"/>
      <c r="G877" s="326"/>
      <c r="H877" s="326"/>
      <c r="I877" s="326"/>
      <c r="J877" s="326"/>
      <c r="K877" s="326"/>
      <c r="L877" s="326"/>
      <c r="M877" s="326"/>
      <c r="N877" s="326"/>
      <c r="O877" s="326"/>
      <c r="P877" s="326"/>
      <c r="Q877" s="326"/>
      <c r="R877" s="326"/>
      <c r="S877" s="326"/>
      <c r="T877" s="326"/>
      <c r="U877" s="326"/>
      <c r="V877" s="326"/>
      <c r="W877" s="326"/>
      <c r="X877" s="326"/>
      <c r="Y877" s="326"/>
      <c r="Z877" s="326"/>
      <c r="AA877" s="326"/>
      <c r="AB877" s="326"/>
      <c r="AC877" s="326"/>
      <c r="AD877" s="326"/>
    </row>
    <row r="878">
      <c r="A878" s="326"/>
      <c r="B878" s="326"/>
      <c r="C878" s="326"/>
      <c r="D878" s="326"/>
      <c r="E878" s="326"/>
      <c r="F878" s="326"/>
      <c r="G878" s="326"/>
      <c r="H878" s="326"/>
      <c r="I878" s="326"/>
      <c r="J878" s="326"/>
      <c r="K878" s="326"/>
      <c r="L878" s="326"/>
      <c r="M878" s="326"/>
      <c r="N878" s="326"/>
      <c r="O878" s="326"/>
      <c r="P878" s="326"/>
      <c r="Q878" s="326"/>
      <c r="R878" s="326"/>
      <c r="S878" s="326"/>
      <c r="T878" s="326"/>
      <c r="U878" s="326"/>
      <c r="V878" s="326"/>
      <c r="W878" s="326"/>
      <c r="X878" s="326"/>
      <c r="Y878" s="326"/>
      <c r="Z878" s="326"/>
      <c r="AA878" s="326"/>
      <c r="AB878" s="326"/>
      <c r="AC878" s="326"/>
      <c r="AD878" s="326"/>
    </row>
    <row r="879">
      <c r="A879" s="326"/>
      <c r="B879" s="326"/>
      <c r="C879" s="326"/>
      <c r="D879" s="326"/>
      <c r="E879" s="326"/>
      <c r="F879" s="326"/>
      <c r="G879" s="326"/>
      <c r="H879" s="326"/>
      <c r="I879" s="326"/>
      <c r="J879" s="326"/>
      <c r="K879" s="326"/>
      <c r="L879" s="326"/>
      <c r="M879" s="326"/>
      <c r="N879" s="326"/>
      <c r="O879" s="326"/>
      <c r="P879" s="326"/>
      <c r="Q879" s="326"/>
      <c r="R879" s="326"/>
      <c r="S879" s="326"/>
      <c r="T879" s="326"/>
      <c r="U879" s="326"/>
      <c r="V879" s="326"/>
      <c r="W879" s="326"/>
      <c r="X879" s="326"/>
      <c r="Y879" s="326"/>
      <c r="Z879" s="326"/>
      <c r="AA879" s="326"/>
      <c r="AB879" s="326"/>
      <c r="AC879" s="326"/>
      <c r="AD879" s="326"/>
    </row>
    <row r="880">
      <c r="A880" s="326"/>
      <c r="B880" s="326"/>
      <c r="C880" s="326"/>
      <c r="D880" s="326"/>
      <c r="E880" s="326"/>
      <c r="F880" s="326"/>
      <c r="G880" s="326"/>
      <c r="H880" s="326"/>
      <c r="I880" s="326"/>
      <c r="J880" s="326"/>
      <c r="K880" s="326"/>
      <c r="L880" s="326"/>
      <c r="M880" s="326"/>
      <c r="N880" s="326"/>
      <c r="O880" s="326"/>
      <c r="P880" s="326"/>
      <c r="Q880" s="326"/>
      <c r="R880" s="326"/>
      <c r="S880" s="326"/>
      <c r="T880" s="326"/>
      <c r="U880" s="326"/>
      <c r="V880" s="326"/>
      <c r="W880" s="326"/>
      <c r="X880" s="326"/>
      <c r="Y880" s="326"/>
      <c r="Z880" s="326"/>
      <c r="AA880" s="326"/>
      <c r="AB880" s="326"/>
      <c r="AC880" s="326"/>
      <c r="AD880" s="326"/>
    </row>
    <row r="881">
      <c r="A881" s="326"/>
      <c r="B881" s="326"/>
      <c r="C881" s="326"/>
      <c r="D881" s="326"/>
      <c r="E881" s="326"/>
      <c r="F881" s="326"/>
      <c r="G881" s="326"/>
      <c r="H881" s="326"/>
      <c r="I881" s="326"/>
      <c r="J881" s="326"/>
      <c r="K881" s="326"/>
      <c r="L881" s="326"/>
      <c r="M881" s="326"/>
      <c r="N881" s="326"/>
      <c r="O881" s="326"/>
      <c r="P881" s="326"/>
      <c r="Q881" s="326"/>
      <c r="R881" s="326"/>
      <c r="S881" s="326"/>
      <c r="T881" s="326"/>
      <c r="U881" s="326"/>
      <c r="V881" s="326"/>
      <c r="W881" s="326"/>
      <c r="X881" s="326"/>
      <c r="Y881" s="326"/>
      <c r="Z881" s="326"/>
      <c r="AA881" s="326"/>
      <c r="AB881" s="326"/>
      <c r="AC881" s="326"/>
      <c r="AD881" s="326"/>
    </row>
    <row r="882">
      <c r="A882" s="326"/>
      <c r="B882" s="326"/>
      <c r="C882" s="326"/>
      <c r="D882" s="326"/>
      <c r="E882" s="326"/>
      <c r="F882" s="326"/>
      <c r="G882" s="326"/>
      <c r="H882" s="326"/>
      <c r="I882" s="326"/>
      <c r="J882" s="326"/>
      <c r="K882" s="326"/>
      <c r="L882" s="326"/>
      <c r="M882" s="326"/>
      <c r="N882" s="326"/>
      <c r="O882" s="326"/>
      <c r="P882" s="326"/>
      <c r="Q882" s="326"/>
      <c r="R882" s="326"/>
      <c r="S882" s="326"/>
      <c r="T882" s="326"/>
      <c r="U882" s="326"/>
      <c r="V882" s="326"/>
      <c r="W882" s="326"/>
      <c r="X882" s="326"/>
      <c r="Y882" s="326"/>
      <c r="Z882" s="326"/>
      <c r="AA882" s="326"/>
      <c r="AB882" s="326"/>
      <c r="AC882" s="326"/>
      <c r="AD882" s="326"/>
    </row>
    <row r="883">
      <c r="A883" s="326"/>
      <c r="B883" s="326"/>
      <c r="C883" s="326"/>
      <c r="D883" s="326"/>
      <c r="E883" s="326"/>
      <c r="F883" s="326"/>
      <c r="G883" s="326"/>
      <c r="H883" s="326"/>
      <c r="I883" s="326"/>
      <c r="J883" s="326"/>
      <c r="K883" s="326"/>
      <c r="L883" s="326"/>
      <c r="M883" s="326"/>
      <c r="N883" s="326"/>
      <c r="O883" s="326"/>
      <c r="P883" s="326"/>
      <c r="Q883" s="326"/>
      <c r="R883" s="326"/>
      <c r="S883" s="326"/>
      <c r="T883" s="326"/>
      <c r="U883" s="326"/>
      <c r="V883" s="326"/>
      <c r="W883" s="326"/>
      <c r="X883" s="326"/>
      <c r="Y883" s="326"/>
      <c r="Z883" s="326"/>
      <c r="AA883" s="326"/>
      <c r="AB883" s="326"/>
      <c r="AC883" s="326"/>
      <c r="AD883" s="326"/>
    </row>
    <row r="884">
      <c r="A884" s="326"/>
      <c r="B884" s="326"/>
      <c r="C884" s="326"/>
      <c r="D884" s="326"/>
      <c r="E884" s="326"/>
      <c r="F884" s="326"/>
      <c r="G884" s="326"/>
      <c r="H884" s="326"/>
      <c r="I884" s="326"/>
      <c r="J884" s="326"/>
      <c r="K884" s="326"/>
      <c r="L884" s="326"/>
      <c r="M884" s="326"/>
      <c r="N884" s="326"/>
      <c r="O884" s="326"/>
      <c r="P884" s="326"/>
      <c r="Q884" s="326"/>
      <c r="R884" s="326"/>
      <c r="S884" s="326"/>
      <c r="T884" s="326"/>
      <c r="U884" s="326"/>
      <c r="V884" s="326"/>
      <c r="W884" s="326"/>
      <c r="X884" s="326"/>
      <c r="Y884" s="326"/>
      <c r="Z884" s="326"/>
      <c r="AA884" s="326"/>
      <c r="AB884" s="326"/>
      <c r="AC884" s="326"/>
      <c r="AD884" s="326"/>
    </row>
    <row r="885">
      <c r="A885" s="326"/>
      <c r="B885" s="326"/>
      <c r="C885" s="326"/>
      <c r="D885" s="326"/>
      <c r="E885" s="326"/>
      <c r="F885" s="326"/>
      <c r="G885" s="326"/>
      <c r="H885" s="326"/>
      <c r="I885" s="326"/>
      <c r="J885" s="326"/>
      <c r="K885" s="326"/>
      <c r="L885" s="326"/>
      <c r="M885" s="326"/>
      <c r="N885" s="326"/>
      <c r="O885" s="326"/>
      <c r="P885" s="326"/>
      <c r="Q885" s="326"/>
      <c r="R885" s="326"/>
      <c r="S885" s="326"/>
      <c r="T885" s="326"/>
      <c r="U885" s="326"/>
      <c r="V885" s="326"/>
      <c r="W885" s="326"/>
      <c r="X885" s="326"/>
      <c r="Y885" s="326"/>
      <c r="Z885" s="326"/>
      <c r="AA885" s="326"/>
      <c r="AB885" s="326"/>
      <c r="AC885" s="326"/>
      <c r="AD885" s="326"/>
    </row>
    <row r="886">
      <c r="A886" s="326"/>
      <c r="B886" s="326"/>
      <c r="C886" s="326"/>
      <c r="D886" s="326"/>
      <c r="E886" s="326"/>
      <c r="F886" s="326"/>
      <c r="G886" s="326"/>
      <c r="H886" s="326"/>
      <c r="I886" s="326"/>
      <c r="J886" s="326"/>
      <c r="K886" s="326"/>
      <c r="L886" s="326"/>
      <c r="M886" s="326"/>
      <c r="N886" s="326"/>
      <c r="O886" s="326"/>
      <c r="P886" s="326"/>
      <c r="Q886" s="326"/>
      <c r="R886" s="326"/>
      <c r="S886" s="326"/>
      <c r="T886" s="326"/>
      <c r="U886" s="326"/>
      <c r="V886" s="326"/>
      <c r="W886" s="326"/>
      <c r="X886" s="326"/>
      <c r="Y886" s="326"/>
      <c r="Z886" s="326"/>
      <c r="AA886" s="326"/>
      <c r="AB886" s="326"/>
      <c r="AC886" s="326"/>
      <c r="AD886" s="326"/>
    </row>
    <row r="887">
      <c r="A887" s="326"/>
      <c r="B887" s="326"/>
      <c r="C887" s="326"/>
      <c r="D887" s="326"/>
      <c r="E887" s="326"/>
      <c r="F887" s="326"/>
      <c r="G887" s="326"/>
      <c r="H887" s="326"/>
      <c r="I887" s="326"/>
      <c r="J887" s="326"/>
      <c r="K887" s="326"/>
      <c r="L887" s="326"/>
      <c r="M887" s="326"/>
      <c r="N887" s="326"/>
      <c r="O887" s="326"/>
      <c r="P887" s="326"/>
      <c r="Q887" s="326"/>
      <c r="R887" s="326"/>
      <c r="S887" s="326"/>
      <c r="T887" s="326"/>
      <c r="U887" s="326"/>
      <c r="V887" s="326"/>
      <c r="W887" s="326"/>
      <c r="X887" s="326"/>
      <c r="Y887" s="326"/>
      <c r="Z887" s="326"/>
      <c r="AA887" s="326"/>
      <c r="AB887" s="326"/>
      <c r="AC887" s="326"/>
      <c r="AD887" s="326"/>
    </row>
    <row r="888">
      <c r="A888" s="326"/>
      <c r="B888" s="326"/>
      <c r="C888" s="326"/>
      <c r="D888" s="326"/>
      <c r="E888" s="326"/>
      <c r="F888" s="326"/>
      <c r="G888" s="326"/>
      <c r="H888" s="326"/>
      <c r="I888" s="326"/>
      <c r="J888" s="326"/>
      <c r="K888" s="326"/>
      <c r="L888" s="326"/>
      <c r="M888" s="326"/>
      <c r="N888" s="326"/>
      <c r="O888" s="326"/>
      <c r="P888" s="326"/>
      <c r="Q888" s="326"/>
      <c r="R888" s="326"/>
      <c r="S888" s="326"/>
      <c r="T888" s="326"/>
      <c r="U888" s="326"/>
      <c r="V888" s="326"/>
      <c r="W888" s="326"/>
      <c r="X888" s="326"/>
      <c r="Y888" s="326"/>
      <c r="Z888" s="326"/>
      <c r="AA888" s="326"/>
      <c r="AB888" s="326"/>
      <c r="AC888" s="326"/>
      <c r="AD888" s="326"/>
    </row>
    <row r="889">
      <c r="A889" s="326"/>
      <c r="B889" s="326"/>
      <c r="C889" s="326"/>
      <c r="D889" s="326"/>
      <c r="E889" s="326"/>
      <c r="F889" s="326"/>
      <c r="G889" s="326"/>
      <c r="H889" s="326"/>
      <c r="I889" s="326"/>
      <c r="J889" s="326"/>
      <c r="K889" s="326"/>
      <c r="L889" s="326"/>
      <c r="M889" s="326"/>
      <c r="N889" s="326"/>
      <c r="O889" s="326"/>
      <c r="P889" s="326"/>
      <c r="Q889" s="326"/>
      <c r="R889" s="326"/>
      <c r="S889" s="326"/>
      <c r="T889" s="326"/>
      <c r="U889" s="326"/>
      <c r="V889" s="326"/>
      <c r="W889" s="326"/>
      <c r="X889" s="326"/>
      <c r="Y889" s="326"/>
      <c r="Z889" s="326"/>
      <c r="AA889" s="326"/>
      <c r="AB889" s="326"/>
      <c r="AC889" s="326"/>
      <c r="AD889" s="326"/>
    </row>
    <row r="890">
      <c r="A890" s="326"/>
      <c r="B890" s="326"/>
      <c r="C890" s="326"/>
      <c r="D890" s="326"/>
      <c r="E890" s="326"/>
      <c r="F890" s="326"/>
      <c r="G890" s="326"/>
      <c r="H890" s="326"/>
      <c r="I890" s="326"/>
      <c r="J890" s="326"/>
      <c r="K890" s="326"/>
      <c r="L890" s="326"/>
      <c r="M890" s="326"/>
      <c r="N890" s="326"/>
      <c r="O890" s="326"/>
      <c r="P890" s="326"/>
      <c r="Q890" s="326"/>
      <c r="R890" s="326"/>
      <c r="S890" s="326"/>
      <c r="T890" s="326"/>
      <c r="U890" s="326"/>
      <c r="V890" s="326"/>
      <c r="W890" s="326"/>
      <c r="X890" s="326"/>
      <c r="Y890" s="326"/>
      <c r="Z890" s="326"/>
      <c r="AA890" s="326"/>
      <c r="AB890" s="326"/>
      <c r="AC890" s="326"/>
      <c r="AD890" s="326"/>
    </row>
    <row r="891">
      <c r="A891" s="326"/>
      <c r="B891" s="326"/>
      <c r="C891" s="326"/>
      <c r="D891" s="326"/>
      <c r="E891" s="326"/>
      <c r="F891" s="326"/>
      <c r="G891" s="326"/>
      <c r="H891" s="326"/>
      <c r="I891" s="326"/>
      <c r="J891" s="326"/>
      <c r="K891" s="326"/>
      <c r="L891" s="326"/>
      <c r="M891" s="326"/>
      <c r="N891" s="326"/>
      <c r="O891" s="326"/>
      <c r="P891" s="326"/>
      <c r="Q891" s="326"/>
      <c r="R891" s="326"/>
      <c r="S891" s="326"/>
      <c r="T891" s="326"/>
      <c r="U891" s="326"/>
      <c r="V891" s="326"/>
      <c r="W891" s="326"/>
      <c r="X891" s="326"/>
      <c r="Y891" s="326"/>
      <c r="Z891" s="326"/>
      <c r="AA891" s="326"/>
      <c r="AB891" s="326"/>
      <c r="AC891" s="326"/>
      <c r="AD891" s="326"/>
    </row>
    <row r="892">
      <c r="A892" s="326"/>
      <c r="B892" s="326"/>
      <c r="C892" s="326"/>
      <c r="D892" s="326"/>
      <c r="E892" s="326"/>
      <c r="F892" s="326"/>
      <c r="G892" s="326"/>
      <c r="H892" s="326"/>
      <c r="I892" s="326"/>
      <c r="J892" s="326"/>
      <c r="K892" s="326"/>
      <c r="L892" s="326"/>
      <c r="M892" s="326"/>
      <c r="N892" s="326"/>
      <c r="O892" s="326"/>
      <c r="P892" s="326"/>
      <c r="Q892" s="326"/>
      <c r="R892" s="326"/>
      <c r="S892" s="326"/>
      <c r="T892" s="326"/>
      <c r="U892" s="326"/>
      <c r="V892" s="326"/>
      <c r="W892" s="326"/>
      <c r="X892" s="326"/>
      <c r="Y892" s="326"/>
      <c r="Z892" s="326"/>
      <c r="AA892" s="326"/>
      <c r="AB892" s="326"/>
      <c r="AC892" s="326"/>
      <c r="AD892" s="326"/>
    </row>
    <row r="893">
      <c r="A893" s="326"/>
      <c r="B893" s="326"/>
      <c r="C893" s="326"/>
      <c r="D893" s="326"/>
      <c r="E893" s="326"/>
      <c r="F893" s="326"/>
      <c r="G893" s="326"/>
      <c r="H893" s="326"/>
      <c r="I893" s="326"/>
      <c r="J893" s="326"/>
      <c r="K893" s="326"/>
      <c r="L893" s="326"/>
      <c r="M893" s="326"/>
      <c r="N893" s="326"/>
      <c r="O893" s="326"/>
      <c r="P893" s="326"/>
      <c r="Q893" s="326"/>
      <c r="R893" s="326"/>
      <c r="S893" s="326"/>
      <c r="T893" s="326"/>
      <c r="U893" s="326"/>
      <c r="V893" s="326"/>
      <c r="W893" s="326"/>
      <c r="X893" s="326"/>
      <c r="Y893" s="326"/>
      <c r="Z893" s="326"/>
      <c r="AA893" s="326"/>
      <c r="AB893" s="326"/>
      <c r="AC893" s="326"/>
      <c r="AD893" s="326"/>
    </row>
    <row r="894">
      <c r="A894" s="326"/>
      <c r="B894" s="326"/>
      <c r="C894" s="326"/>
      <c r="D894" s="326"/>
      <c r="E894" s="326"/>
      <c r="F894" s="326"/>
      <c r="G894" s="326"/>
      <c r="H894" s="326"/>
      <c r="I894" s="326"/>
      <c r="J894" s="326"/>
      <c r="K894" s="326"/>
      <c r="L894" s="326"/>
      <c r="M894" s="326"/>
      <c r="N894" s="326"/>
      <c r="O894" s="326"/>
      <c r="P894" s="326"/>
      <c r="Q894" s="326"/>
      <c r="R894" s="326"/>
      <c r="S894" s="326"/>
      <c r="T894" s="326"/>
      <c r="U894" s="326"/>
      <c r="V894" s="326"/>
      <c r="W894" s="326"/>
      <c r="X894" s="326"/>
      <c r="Y894" s="326"/>
      <c r="Z894" s="326"/>
      <c r="AA894" s="326"/>
      <c r="AB894" s="326"/>
      <c r="AC894" s="326"/>
      <c r="AD894" s="326"/>
    </row>
    <row r="895">
      <c r="A895" s="326"/>
      <c r="B895" s="326"/>
      <c r="C895" s="326"/>
      <c r="D895" s="326"/>
      <c r="E895" s="326"/>
      <c r="F895" s="326"/>
      <c r="G895" s="326"/>
      <c r="H895" s="326"/>
      <c r="I895" s="326"/>
      <c r="J895" s="326"/>
      <c r="K895" s="326"/>
      <c r="L895" s="326"/>
      <c r="M895" s="326"/>
      <c r="N895" s="326"/>
      <c r="O895" s="326"/>
      <c r="P895" s="326"/>
      <c r="Q895" s="326"/>
      <c r="R895" s="326"/>
      <c r="S895" s="326"/>
      <c r="T895" s="326"/>
      <c r="U895" s="326"/>
      <c r="V895" s="326"/>
      <c r="W895" s="326"/>
      <c r="X895" s="326"/>
      <c r="Y895" s="326"/>
      <c r="Z895" s="326"/>
      <c r="AA895" s="326"/>
      <c r="AB895" s="326"/>
      <c r="AC895" s="326"/>
      <c r="AD895" s="326"/>
    </row>
    <row r="896">
      <c r="A896" s="326"/>
      <c r="B896" s="326"/>
      <c r="C896" s="326"/>
      <c r="D896" s="326"/>
      <c r="E896" s="326"/>
      <c r="F896" s="326"/>
      <c r="G896" s="326"/>
      <c r="H896" s="326"/>
      <c r="I896" s="326"/>
      <c r="J896" s="326"/>
      <c r="K896" s="326"/>
      <c r="L896" s="326"/>
      <c r="M896" s="326"/>
      <c r="N896" s="326"/>
      <c r="O896" s="326"/>
      <c r="P896" s="326"/>
      <c r="Q896" s="326"/>
      <c r="R896" s="326"/>
      <c r="S896" s="326"/>
      <c r="T896" s="326"/>
      <c r="U896" s="326"/>
      <c r="V896" s="326"/>
      <c r="W896" s="326"/>
      <c r="X896" s="326"/>
      <c r="Y896" s="326"/>
      <c r="Z896" s="326"/>
      <c r="AA896" s="326"/>
      <c r="AB896" s="326"/>
      <c r="AC896" s="326"/>
      <c r="AD896" s="326"/>
    </row>
    <row r="897">
      <c r="A897" s="326"/>
      <c r="B897" s="326"/>
      <c r="C897" s="326"/>
      <c r="D897" s="326"/>
      <c r="E897" s="326"/>
      <c r="F897" s="326"/>
      <c r="G897" s="326"/>
      <c r="H897" s="326"/>
      <c r="I897" s="326"/>
      <c r="J897" s="326"/>
      <c r="K897" s="326"/>
      <c r="L897" s="326"/>
      <c r="M897" s="326"/>
      <c r="N897" s="326"/>
      <c r="O897" s="326"/>
      <c r="P897" s="326"/>
      <c r="Q897" s="326"/>
      <c r="R897" s="326"/>
      <c r="S897" s="326"/>
      <c r="T897" s="326"/>
      <c r="U897" s="326"/>
      <c r="V897" s="326"/>
      <c r="W897" s="326"/>
      <c r="X897" s="326"/>
      <c r="Y897" s="326"/>
      <c r="Z897" s="326"/>
      <c r="AA897" s="326"/>
      <c r="AB897" s="326"/>
      <c r="AC897" s="326"/>
      <c r="AD897" s="326"/>
    </row>
    <row r="898">
      <c r="A898" s="326"/>
      <c r="B898" s="326"/>
      <c r="C898" s="326"/>
      <c r="D898" s="326"/>
      <c r="E898" s="326"/>
      <c r="F898" s="326"/>
      <c r="G898" s="326"/>
      <c r="H898" s="326"/>
      <c r="I898" s="326"/>
      <c r="J898" s="326"/>
      <c r="K898" s="326"/>
      <c r="L898" s="326"/>
      <c r="M898" s="326"/>
      <c r="N898" s="326"/>
      <c r="O898" s="326"/>
      <c r="P898" s="326"/>
      <c r="Q898" s="326"/>
      <c r="R898" s="326"/>
      <c r="S898" s="326"/>
      <c r="T898" s="326"/>
      <c r="U898" s="326"/>
      <c r="V898" s="326"/>
      <c r="W898" s="326"/>
      <c r="X898" s="326"/>
      <c r="Y898" s="326"/>
      <c r="Z898" s="326"/>
      <c r="AA898" s="326"/>
      <c r="AB898" s="326"/>
      <c r="AC898" s="326"/>
      <c r="AD898" s="326"/>
    </row>
    <row r="899">
      <c r="A899" s="326"/>
      <c r="B899" s="326"/>
      <c r="C899" s="326"/>
      <c r="D899" s="326"/>
      <c r="E899" s="326"/>
      <c r="F899" s="326"/>
      <c r="G899" s="326"/>
      <c r="H899" s="326"/>
      <c r="I899" s="326"/>
      <c r="J899" s="326"/>
      <c r="K899" s="326"/>
      <c r="L899" s="326"/>
      <c r="M899" s="326"/>
      <c r="N899" s="326"/>
      <c r="O899" s="326"/>
      <c r="P899" s="326"/>
      <c r="Q899" s="326"/>
      <c r="R899" s="326"/>
      <c r="S899" s="326"/>
      <c r="T899" s="326"/>
      <c r="U899" s="326"/>
      <c r="V899" s="326"/>
      <c r="W899" s="326"/>
      <c r="X899" s="326"/>
      <c r="Y899" s="326"/>
      <c r="Z899" s="326"/>
      <c r="AA899" s="326"/>
      <c r="AB899" s="326"/>
      <c r="AC899" s="326"/>
      <c r="AD899" s="326"/>
    </row>
    <row r="900">
      <c r="A900" s="326"/>
      <c r="B900" s="326"/>
      <c r="C900" s="326"/>
      <c r="D900" s="326"/>
      <c r="E900" s="326"/>
      <c r="F900" s="326"/>
      <c r="G900" s="326"/>
      <c r="H900" s="326"/>
      <c r="I900" s="326"/>
      <c r="J900" s="326"/>
      <c r="K900" s="326"/>
      <c r="L900" s="326"/>
      <c r="M900" s="326"/>
      <c r="N900" s="326"/>
      <c r="O900" s="326"/>
      <c r="P900" s="326"/>
      <c r="Q900" s="326"/>
      <c r="R900" s="326"/>
      <c r="S900" s="326"/>
      <c r="T900" s="326"/>
      <c r="U900" s="326"/>
      <c r="V900" s="326"/>
      <c r="W900" s="326"/>
      <c r="X900" s="326"/>
      <c r="Y900" s="326"/>
      <c r="Z900" s="326"/>
      <c r="AA900" s="326"/>
      <c r="AB900" s="326"/>
      <c r="AC900" s="326"/>
      <c r="AD900" s="326"/>
    </row>
    <row r="901">
      <c r="A901" s="326"/>
      <c r="B901" s="326"/>
      <c r="C901" s="326"/>
      <c r="D901" s="326"/>
      <c r="E901" s="326"/>
      <c r="F901" s="326"/>
      <c r="G901" s="326"/>
      <c r="H901" s="326"/>
      <c r="I901" s="326"/>
      <c r="J901" s="326"/>
      <c r="K901" s="326"/>
      <c r="L901" s="326"/>
      <c r="M901" s="326"/>
      <c r="N901" s="326"/>
      <c r="O901" s="326"/>
      <c r="P901" s="326"/>
      <c r="Q901" s="326"/>
      <c r="R901" s="326"/>
      <c r="S901" s="326"/>
      <c r="T901" s="326"/>
      <c r="U901" s="326"/>
      <c r="V901" s="326"/>
      <c r="W901" s="326"/>
      <c r="X901" s="326"/>
      <c r="Y901" s="326"/>
      <c r="Z901" s="326"/>
      <c r="AA901" s="326"/>
      <c r="AB901" s="326"/>
      <c r="AC901" s="326"/>
      <c r="AD901" s="326"/>
    </row>
    <row r="902">
      <c r="A902" s="326"/>
      <c r="B902" s="326"/>
      <c r="C902" s="326"/>
      <c r="D902" s="326"/>
      <c r="E902" s="326"/>
      <c r="F902" s="326"/>
      <c r="G902" s="326"/>
      <c r="H902" s="326"/>
      <c r="I902" s="326"/>
      <c r="J902" s="326"/>
      <c r="K902" s="326"/>
      <c r="L902" s="326"/>
      <c r="M902" s="326"/>
      <c r="N902" s="326"/>
      <c r="O902" s="326"/>
      <c r="P902" s="326"/>
      <c r="Q902" s="326"/>
      <c r="R902" s="326"/>
      <c r="S902" s="326"/>
      <c r="T902" s="326"/>
      <c r="U902" s="326"/>
      <c r="V902" s="326"/>
      <c r="W902" s="326"/>
      <c r="X902" s="326"/>
      <c r="Y902" s="326"/>
      <c r="Z902" s="326"/>
      <c r="AA902" s="326"/>
      <c r="AB902" s="326"/>
      <c r="AC902" s="326"/>
      <c r="AD902" s="326"/>
    </row>
    <row r="903">
      <c r="A903" s="326"/>
      <c r="B903" s="326"/>
      <c r="C903" s="326"/>
      <c r="D903" s="326"/>
      <c r="E903" s="326"/>
      <c r="F903" s="326"/>
      <c r="G903" s="326"/>
      <c r="H903" s="326"/>
      <c r="I903" s="326"/>
      <c r="J903" s="326"/>
      <c r="K903" s="326"/>
      <c r="L903" s="326"/>
      <c r="M903" s="326"/>
      <c r="N903" s="326"/>
      <c r="O903" s="326"/>
      <c r="P903" s="326"/>
      <c r="Q903" s="326"/>
      <c r="R903" s="326"/>
      <c r="S903" s="326"/>
      <c r="T903" s="326"/>
      <c r="U903" s="326"/>
      <c r="V903" s="326"/>
      <c r="W903" s="326"/>
      <c r="X903" s="326"/>
      <c r="Y903" s="326"/>
      <c r="Z903" s="326"/>
      <c r="AA903" s="326"/>
      <c r="AB903" s="326"/>
      <c r="AC903" s="326"/>
      <c r="AD903" s="326"/>
    </row>
    <row r="904">
      <c r="A904" s="326"/>
      <c r="B904" s="326"/>
      <c r="C904" s="326"/>
      <c r="D904" s="326"/>
      <c r="E904" s="326"/>
      <c r="F904" s="326"/>
      <c r="G904" s="326"/>
      <c r="H904" s="326"/>
      <c r="I904" s="326"/>
      <c r="J904" s="326"/>
      <c r="K904" s="326"/>
      <c r="L904" s="326"/>
      <c r="M904" s="326"/>
      <c r="N904" s="326"/>
      <c r="O904" s="326"/>
      <c r="P904" s="326"/>
      <c r="Q904" s="326"/>
      <c r="R904" s="326"/>
      <c r="S904" s="326"/>
      <c r="T904" s="326"/>
      <c r="U904" s="326"/>
      <c r="V904" s="326"/>
      <c r="W904" s="326"/>
      <c r="X904" s="326"/>
      <c r="Y904" s="326"/>
      <c r="Z904" s="326"/>
      <c r="AA904" s="326"/>
      <c r="AB904" s="326"/>
      <c r="AC904" s="326"/>
      <c r="AD904" s="326"/>
    </row>
    <row r="905">
      <c r="A905" s="326"/>
      <c r="B905" s="326"/>
      <c r="C905" s="326"/>
      <c r="D905" s="326"/>
      <c r="E905" s="326"/>
      <c r="F905" s="326"/>
      <c r="G905" s="326"/>
      <c r="H905" s="326"/>
      <c r="I905" s="326"/>
      <c r="J905" s="326"/>
      <c r="K905" s="326"/>
      <c r="L905" s="326"/>
      <c r="M905" s="326"/>
      <c r="N905" s="326"/>
      <c r="O905" s="326"/>
      <c r="P905" s="326"/>
      <c r="Q905" s="326"/>
      <c r="R905" s="326"/>
      <c r="S905" s="326"/>
      <c r="T905" s="326"/>
      <c r="U905" s="326"/>
      <c r="V905" s="326"/>
      <c r="W905" s="326"/>
      <c r="X905" s="326"/>
      <c r="Y905" s="326"/>
      <c r="Z905" s="326"/>
      <c r="AA905" s="326"/>
      <c r="AB905" s="326"/>
      <c r="AC905" s="326"/>
      <c r="AD905" s="326"/>
    </row>
    <row r="906">
      <c r="A906" s="326"/>
      <c r="B906" s="326"/>
      <c r="C906" s="326"/>
      <c r="D906" s="326"/>
      <c r="E906" s="326"/>
      <c r="F906" s="326"/>
      <c r="G906" s="326"/>
      <c r="H906" s="326"/>
      <c r="I906" s="326"/>
      <c r="J906" s="326"/>
      <c r="K906" s="326"/>
      <c r="L906" s="326"/>
      <c r="M906" s="326"/>
      <c r="N906" s="326"/>
      <c r="O906" s="326"/>
      <c r="P906" s="326"/>
      <c r="Q906" s="326"/>
      <c r="R906" s="326"/>
      <c r="S906" s="326"/>
      <c r="T906" s="326"/>
      <c r="U906" s="326"/>
      <c r="V906" s="326"/>
      <c r="W906" s="326"/>
      <c r="X906" s="326"/>
      <c r="Y906" s="326"/>
      <c r="Z906" s="326"/>
      <c r="AA906" s="326"/>
      <c r="AB906" s="326"/>
      <c r="AC906" s="326"/>
      <c r="AD906" s="326"/>
    </row>
    <row r="907">
      <c r="A907" s="326"/>
      <c r="B907" s="326"/>
      <c r="C907" s="326"/>
      <c r="D907" s="326"/>
      <c r="E907" s="326"/>
      <c r="F907" s="326"/>
      <c r="G907" s="326"/>
      <c r="H907" s="326"/>
      <c r="I907" s="326"/>
      <c r="J907" s="326"/>
      <c r="K907" s="326"/>
      <c r="L907" s="326"/>
      <c r="M907" s="326"/>
      <c r="N907" s="326"/>
      <c r="O907" s="326"/>
      <c r="P907" s="326"/>
      <c r="Q907" s="326"/>
      <c r="R907" s="326"/>
      <c r="S907" s="326"/>
      <c r="T907" s="326"/>
      <c r="U907" s="326"/>
      <c r="V907" s="326"/>
      <c r="W907" s="326"/>
      <c r="X907" s="326"/>
      <c r="Y907" s="326"/>
      <c r="Z907" s="326"/>
      <c r="AA907" s="326"/>
      <c r="AB907" s="326"/>
      <c r="AC907" s="326"/>
      <c r="AD907" s="326"/>
    </row>
    <row r="908">
      <c r="A908" s="326"/>
      <c r="B908" s="326"/>
      <c r="C908" s="326"/>
      <c r="D908" s="326"/>
      <c r="E908" s="326"/>
      <c r="F908" s="326"/>
      <c r="G908" s="326"/>
      <c r="H908" s="326"/>
      <c r="I908" s="326"/>
      <c r="J908" s="326"/>
      <c r="K908" s="326"/>
      <c r="L908" s="326"/>
      <c r="M908" s="326"/>
      <c r="N908" s="326"/>
      <c r="O908" s="326"/>
      <c r="P908" s="326"/>
      <c r="Q908" s="326"/>
      <c r="R908" s="326"/>
      <c r="S908" s="326"/>
      <c r="T908" s="326"/>
      <c r="U908" s="326"/>
      <c r="V908" s="326"/>
      <c r="W908" s="326"/>
      <c r="X908" s="326"/>
      <c r="Y908" s="326"/>
      <c r="Z908" s="326"/>
      <c r="AA908" s="326"/>
      <c r="AB908" s="326"/>
      <c r="AC908" s="326"/>
      <c r="AD908" s="326"/>
    </row>
    <row r="909">
      <c r="A909" s="326"/>
      <c r="B909" s="326"/>
      <c r="C909" s="326"/>
      <c r="D909" s="326"/>
      <c r="E909" s="326"/>
      <c r="F909" s="326"/>
      <c r="G909" s="326"/>
      <c r="H909" s="326"/>
      <c r="I909" s="326"/>
      <c r="J909" s="326"/>
      <c r="K909" s="326"/>
      <c r="L909" s="326"/>
      <c r="M909" s="326"/>
      <c r="N909" s="326"/>
      <c r="O909" s="326"/>
      <c r="P909" s="326"/>
      <c r="Q909" s="326"/>
      <c r="R909" s="326"/>
      <c r="S909" s="326"/>
      <c r="T909" s="326"/>
      <c r="U909" s="326"/>
      <c r="V909" s="326"/>
      <c r="W909" s="326"/>
      <c r="X909" s="326"/>
      <c r="Y909" s="326"/>
      <c r="Z909" s="326"/>
      <c r="AA909" s="326"/>
      <c r="AB909" s="326"/>
      <c r="AC909" s="326"/>
      <c r="AD909" s="326"/>
    </row>
    <row r="910">
      <c r="A910" s="326"/>
      <c r="B910" s="326"/>
      <c r="C910" s="326"/>
      <c r="D910" s="326"/>
      <c r="E910" s="326"/>
      <c r="F910" s="326"/>
      <c r="G910" s="326"/>
      <c r="H910" s="326"/>
      <c r="I910" s="326"/>
      <c r="J910" s="326"/>
      <c r="K910" s="326"/>
      <c r="L910" s="326"/>
      <c r="M910" s="326"/>
      <c r="N910" s="326"/>
      <c r="O910" s="326"/>
      <c r="P910" s="326"/>
      <c r="Q910" s="326"/>
      <c r="R910" s="326"/>
      <c r="S910" s="326"/>
      <c r="T910" s="326"/>
      <c r="U910" s="326"/>
      <c r="V910" s="326"/>
      <c r="W910" s="326"/>
      <c r="X910" s="326"/>
      <c r="Y910" s="326"/>
      <c r="Z910" s="326"/>
      <c r="AA910" s="326"/>
      <c r="AB910" s="326"/>
      <c r="AC910" s="326"/>
      <c r="AD910" s="326"/>
    </row>
    <row r="911">
      <c r="A911" s="326"/>
      <c r="B911" s="326"/>
      <c r="C911" s="326"/>
      <c r="D911" s="326"/>
      <c r="E911" s="326"/>
      <c r="F911" s="326"/>
      <c r="G911" s="326"/>
      <c r="H911" s="326"/>
      <c r="I911" s="326"/>
      <c r="J911" s="326"/>
      <c r="K911" s="326"/>
      <c r="L911" s="326"/>
      <c r="M911" s="326"/>
      <c r="N911" s="326"/>
      <c r="O911" s="326"/>
      <c r="P911" s="326"/>
      <c r="Q911" s="326"/>
      <c r="R911" s="326"/>
      <c r="S911" s="326"/>
      <c r="T911" s="326"/>
      <c r="U911" s="326"/>
      <c r="V911" s="326"/>
      <c r="W911" s="326"/>
      <c r="X911" s="326"/>
      <c r="Y911" s="326"/>
      <c r="Z911" s="326"/>
      <c r="AA911" s="326"/>
      <c r="AB911" s="326"/>
      <c r="AC911" s="326"/>
      <c r="AD911" s="326"/>
    </row>
    <row r="912">
      <c r="A912" s="326"/>
      <c r="B912" s="326"/>
      <c r="C912" s="326"/>
      <c r="D912" s="326"/>
      <c r="E912" s="326"/>
      <c r="F912" s="326"/>
      <c r="G912" s="326"/>
      <c r="H912" s="326"/>
      <c r="I912" s="326"/>
      <c r="J912" s="326"/>
      <c r="K912" s="326"/>
      <c r="L912" s="326"/>
      <c r="M912" s="326"/>
      <c r="N912" s="326"/>
      <c r="O912" s="326"/>
      <c r="P912" s="326"/>
      <c r="Q912" s="326"/>
      <c r="R912" s="326"/>
      <c r="S912" s="326"/>
      <c r="T912" s="326"/>
      <c r="U912" s="326"/>
      <c r="V912" s="326"/>
      <c r="W912" s="326"/>
      <c r="X912" s="326"/>
      <c r="Y912" s="326"/>
      <c r="Z912" s="326"/>
      <c r="AA912" s="326"/>
      <c r="AB912" s="326"/>
      <c r="AC912" s="326"/>
      <c r="AD912" s="326"/>
    </row>
    <row r="913">
      <c r="A913" s="326"/>
      <c r="B913" s="326"/>
      <c r="C913" s="326"/>
      <c r="D913" s="326"/>
      <c r="E913" s="326"/>
      <c r="F913" s="326"/>
      <c r="G913" s="326"/>
      <c r="H913" s="326"/>
      <c r="I913" s="326"/>
      <c r="J913" s="326"/>
      <c r="K913" s="326"/>
      <c r="L913" s="326"/>
      <c r="M913" s="326"/>
      <c r="N913" s="326"/>
      <c r="O913" s="326"/>
      <c r="P913" s="326"/>
      <c r="Q913" s="326"/>
      <c r="R913" s="326"/>
      <c r="S913" s="326"/>
      <c r="T913" s="326"/>
      <c r="U913" s="326"/>
      <c r="V913" s="326"/>
      <c r="W913" s="326"/>
      <c r="X913" s="326"/>
      <c r="Y913" s="326"/>
      <c r="Z913" s="326"/>
      <c r="AA913" s="326"/>
      <c r="AB913" s="326"/>
      <c r="AC913" s="326"/>
      <c r="AD913" s="326"/>
    </row>
    <row r="914">
      <c r="A914" s="326"/>
      <c r="B914" s="326"/>
      <c r="C914" s="326"/>
      <c r="D914" s="326"/>
      <c r="E914" s="326"/>
      <c r="F914" s="326"/>
      <c r="G914" s="326"/>
      <c r="H914" s="326"/>
      <c r="I914" s="326"/>
      <c r="J914" s="326"/>
      <c r="K914" s="326"/>
      <c r="L914" s="326"/>
      <c r="M914" s="326"/>
      <c r="N914" s="326"/>
      <c r="O914" s="326"/>
      <c r="P914" s="326"/>
      <c r="Q914" s="326"/>
      <c r="R914" s="326"/>
      <c r="S914" s="326"/>
      <c r="T914" s="326"/>
      <c r="U914" s="326"/>
      <c r="V914" s="326"/>
      <c r="W914" s="326"/>
      <c r="X914" s="326"/>
      <c r="Y914" s="326"/>
      <c r="Z914" s="326"/>
      <c r="AA914" s="326"/>
      <c r="AB914" s="326"/>
      <c r="AC914" s="326"/>
      <c r="AD914" s="326"/>
    </row>
    <row r="915">
      <c r="A915" s="326"/>
      <c r="B915" s="326"/>
      <c r="C915" s="326"/>
      <c r="D915" s="326"/>
      <c r="E915" s="326"/>
      <c r="F915" s="326"/>
      <c r="G915" s="326"/>
      <c r="H915" s="326"/>
      <c r="I915" s="326"/>
      <c r="J915" s="326"/>
      <c r="K915" s="326"/>
      <c r="L915" s="326"/>
      <c r="M915" s="326"/>
      <c r="N915" s="326"/>
      <c r="O915" s="326"/>
      <c r="P915" s="326"/>
      <c r="Q915" s="326"/>
      <c r="R915" s="326"/>
      <c r="S915" s="326"/>
      <c r="T915" s="326"/>
      <c r="U915" s="326"/>
      <c r="V915" s="326"/>
      <c r="W915" s="326"/>
      <c r="X915" s="326"/>
      <c r="Y915" s="326"/>
      <c r="Z915" s="326"/>
      <c r="AA915" s="326"/>
      <c r="AB915" s="326"/>
      <c r="AC915" s="326"/>
      <c r="AD915" s="326"/>
    </row>
    <row r="916">
      <c r="A916" s="326"/>
      <c r="B916" s="326"/>
      <c r="C916" s="326"/>
      <c r="D916" s="326"/>
      <c r="E916" s="326"/>
      <c r="F916" s="326"/>
      <c r="G916" s="326"/>
      <c r="H916" s="326"/>
      <c r="I916" s="326"/>
      <c r="J916" s="326"/>
      <c r="K916" s="326"/>
      <c r="L916" s="326"/>
      <c r="M916" s="326"/>
      <c r="N916" s="326"/>
      <c r="O916" s="326"/>
      <c r="P916" s="326"/>
      <c r="Q916" s="326"/>
      <c r="R916" s="326"/>
      <c r="S916" s="326"/>
      <c r="T916" s="326"/>
      <c r="U916" s="326"/>
      <c r="V916" s="326"/>
      <c r="W916" s="326"/>
      <c r="X916" s="326"/>
      <c r="Y916" s="326"/>
      <c r="Z916" s="326"/>
      <c r="AA916" s="326"/>
      <c r="AB916" s="326"/>
      <c r="AC916" s="326"/>
      <c r="AD916" s="326"/>
    </row>
    <row r="917">
      <c r="A917" s="326"/>
      <c r="B917" s="326"/>
      <c r="C917" s="326"/>
      <c r="D917" s="326"/>
      <c r="E917" s="326"/>
      <c r="F917" s="326"/>
      <c r="G917" s="326"/>
      <c r="H917" s="326"/>
      <c r="I917" s="326"/>
      <c r="J917" s="326"/>
      <c r="K917" s="326"/>
      <c r="L917" s="326"/>
      <c r="M917" s="326"/>
      <c r="N917" s="326"/>
      <c r="O917" s="326"/>
      <c r="P917" s="326"/>
      <c r="Q917" s="326"/>
      <c r="R917" s="326"/>
      <c r="S917" s="326"/>
      <c r="T917" s="326"/>
      <c r="U917" s="326"/>
      <c r="V917" s="326"/>
      <c r="W917" s="326"/>
      <c r="X917" s="326"/>
      <c r="Y917" s="326"/>
      <c r="Z917" s="326"/>
      <c r="AA917" s="326"/>
      <c r="AB917" s="326"/>
      <c r="AC917" s="326"/>
      <c r="AD917" s="326"/>
    </row>
    <row r="918">
      <c r="A918" s="326"/>
      <c r="B918" s="326"/>
      <c r="C918" s="326"/>
      <c r="D918" s="326"/>
      <c r="E918" s="326"/>
      <c r="F918" s="326"/>
      <c r="G918" s="326"/>
      <c r="H918" s="326"/>
      <c r="I918" s="326"/>
      <c r="J918" s="326"/>
      <c r="K918" s="326"/>
      <c r="L918" s="326"/>
      <c r="M918" s="326"/>
      <c r="N918" s="326"/>
      <c r="O918" s="326"/>
      <c r="P918" s="326"/>
      <c r="Q918" s="326"/>
      <c r="R918" s="326"/>
      <c r="S918" s="326"/>
      <c r="T918" s="326"/>
      <c r="U918" s="326"/>
      <c r="V918" s="326"/>
      <c r="W918" s="326"/>
      <c r="X918" s="326"/>
      <c r="Y918" s="326"/>
      <c r="Z918" s="326"/>
      <c r="AA918" s="326"/>
      <c r="AB918" s="326"/>
      <c r="AC918" s="326"/>
      <c r="AD918" s="326"/>
    </row>
    <row r="919">
      <c r="A919" s="326"/>
      <c r="B919" s="326"/>
      <c r="C919" s="326"/>
      <c r="D919" s="326"/>
      <c r="E919" s="326"/>
      <c r="F919" s="326"/>
      <c r="G919" s="326"/>
      <c r="H919" s="326"/>
      <c r="I919" s="326"/>
      <c r="J919" s="326"/>
      <c r="K919" s="326"/>
      <c r="L919" s="326"/>
      <c r="M919" s="326"/>
      <c r="N919" s="326"/>
      <c r="O919" s="326"/>
      <c r="P919" s="326"/>
      <c r="Q919" s="326"/>
      <c r="R919" s="326"/>
      <c r="S919" s="326"/>
      <c r="T919" s="326"/>
      <c r="U919" s="326"/>
      <c r="V919" s="326"/>
      <c r="W919" s="326"/>
      <c r="X919" s="326"/>
      <c r="Y919" s="326"/>
      <c r="Z919" s="326"/>
      <c r="AA919" s="326"/>
      <c r="AB919" s="326"/>
      <c r="AC919" s="326"/>
      <c r="AD919" s="326"/>
    </row>
    <row r="920">
      <c r="A920" s="326"/>
      <c r="B920" s="326"/>
      <c r="C920" s="326"/>
      <c r="D920" s="326"/>
      <c r="E920" s="326"/>
      <c r="F920" s="326"/>
      <c r="G920" s="326"/>
      <c r="H920" s="326"/>
      <c r="I920" s="326"/>
      <c r="J920" s="326"/>
      <c r="K920" s="326"/>
      <c r="L920" s="326"/>
      <c r="M920" s="326"/>
      <c r="N920" s="326"/>
      <c r="O920" s="326"/>
      <c r="P920" s="326"/>
      <c r="Q920" s="326"/>
      <c r="R920" s="326"/>
      <c r="S920" s="326"/>
      <c r="T920" s="326"/>
      <c r="U920" s="326"/>
      <c r="V920" s="326"/>
      <c r="W920" s="326"/>
      <c r="X920" s="326"/>
      <c r="Y920" s="326"/>
      <c r="Z920" s="326"/>
      <c r="AA920" s="326"/>
      <c r="AB920" s="326"/>
      <c r="AC920" s="326"/>
      <c r="AD920" s="326"/>
    </row>
    <row r="921">
      <c r="A921" s="326"/>
      <c r="B921" s="326"/>
      <c r="C921" s="326"/>
      <c r="D921" s="326"/>
      <c r="E921" s="326"/>
      <c r="F921" s="326"/>
      <c r="G921" s="326"/>
      <c r="H921" s="326"/>
      <c r="I921" s="326"/>
      <c r="J921" s="326"/>
      <c r="K921" s="326"/>
      <c r="L921" s="326"/>
      <c r="M921" s="326"/>
      <c r="N921" s="326"/>
      <c r="O921" s="326"/>
      <c r="P921" s="326"/>
      <c r="Q921" s="326"/>
      <c r="R921" s="326"/>
      <c r="S921" s="326"/>
      <c r="T921" s="326"/>
      <c r="U921" s="326"/>
      <c r="V921" s="326"/>
      <c r="W921" s="326"/>
      <c r="X921" s="326"/>
      <c r="Y921" s="326"/>
      <c r="Z921" s="326"/>
      <c r="AA921" s="326"/>
      <c r="AB921" s="326"/>
      <c r="AC921" s="326"/>
      <c r="AD921" s="326"/>
    </row>
    <row r="922">
      <c r="A922" s="326"/>
      <c r="B922" s="326"/>
      <c r="C922" s="326"/>
      <c r="D922" s="326"/>
      <c r="E922" s="326"/>
      <c r="F922" s="326"/>
      <c r="G922" s="326"/>
      <c r="H922" s="326"/>
      <c r="I922" s="326"/>
      <c r="J922" s="326"/>
      <c r="K922" s="326"/>
      <c r="L922" s="326"/>
      <c r="M922" s="326"/>
      <c r="N922" s="326"/>
      <c r="O922" s="326"/>
      <c r="P922" s="326"/>
      <c r="Q922" s="326"/>
      <c r="R922" s="326"/>
      <c r="S922" s="326"/>
      <c r="T922" s="326"/>
      <c r="U922" s="326"/>
      <c r="V922" s="326"/>
      <c r="W922" s="326"/>
      <c r="X922" s="326"/>
      <c r="Y922" s="326"/>
      <c r="Z922" s="326"/>
      <c r="AA922" s="326"/>
      <c r="AB922" s="326"/>
      <c r="AC922" s="326"/>
      <c r="AD922" s="326"/>
    </row>
    <row r="923">
      <c r="A923" s="326"/>
      <c r="B923" s="326"/>
      <c r="C923" s="326"/>
      <c r="D923" s="326"/>
      <c r="E923" s="326"/>
      <c r="F923" s="326"/>
      <c r="G923" s="326"/>
      <c r="H923" s="326"/>
      <c r="I923" s="326"/>
      <c r="J923" s="326"/>
      <c r="K923" s="326"/>
      <c r="L923" s="326"/>
      <c r="M923" s="326"/>
      <c r="N923" s="326"/>
      <c r="O923" s="326"/>
      <c r="P923" s="326"/>
      <c r="Q923" s="326"/>
      <c r="R923" s="326"/>
      <c r="S923" s="326"/>
      <c r="T923" s="326"/>
      <c r="U923" s="326"/>
      <c r="V923" s="326"/>
      <c r="W923" s="326"/>
      <c r="X923" s="326"/>
      <c r="Y923" s="326"/>
      <c r="Z923" s="326"/>
      <c r="AA923" s="326"/>
      <c r="AB923" s="326"/>
      <c r="AC923" s="326"/>
      <c r="AD923" s="326"/>
    </row>
    <row r="924">
      <c r="A924" s="326"/>
      <c r="B924" s="326"/>
      <c r="C924" s="326"/>
      <c r="D924" s="326"/>
      <c r="E924" s="326"/>
      <c r="F924" s="326"/>
      <c r="G924" s="326"/>
      <c r="H924" s="326"/>
      <c r="I924" s="326"/>
      <c r="J924" s="326"/>
      <c r="K924" s="326"/>
      <c r="L924" s="326"/>
      <c r="M924" s="326"/>
      <c r="N924" s="326"/>
      <c r="O924" s="326"/>
      <c r="P924" s="326"/>
      <c r="Q924" s="326"/>
      <c r="R924" s="326"/>
      <c r="S924" s="326"/>
      <c r="T924" s="326"/>
      <c r="U924" s="326"/>
      <c r="V924" s="326"/>
      <c r="W924" s="326"/>
      <c r="X924" s="326"/>
      <c r="Y924" s="326"/>
      <c r="Z924" s="326"/>
      <c r="AA924" s="326"/>
      <c r="AB924" s="326"/>
      <c r="AC924" s="326"/>
      <c r="AD924" s="326"/>
    </row>
    <row r="925">
      <c r="A925" s="326"/>
      <c r="B925" s="326"/>
      <c r="C925" s="326"/>
      <c r="D925" s="326"/>
      <c r="E925" s="326"/>
      <c r="F925" s="326"/>
      <c r="G925" s="326"/>
      <c r="H925" s="326"/>
      <c r="I925" s="326"/>
      <c r="J925" s="326"/>
      <c r="K925" s="326"/>
      <c r="L925" s="326"/>
      <c r="M925" s="326"/>
      <c r="N925" s="326"/>
      <c r="O925" s="326"/>
      <c r="P925" s="326"/>
      <c r="Q925" s="326"/>
      <c r="R925" s="326"/>
      <c r="S925" s="326"/>
      <c r="T925" s="326"/>
      <c r="U925" s="326"/>
      <c r="V925" s="326"/>
      <c r="W925" s="326"/>
      <c r="X925" s="326"/>
      <c r="Y925" s="326"/>
      <c r="Z925" s="326"/>
      <c r="AA925" s="326"/>
      <c r="AB925" s="326"/>
      <c r="AC925" s="326"/>
      <c r="AD925" s="326"/>
    </row>
    <row r="926">
      <c r="A926" s="326"/>
      <c r="B926" s="326"/>
      <c r="C926" s="326"/>
      <c r="D926" s="326"/>
      <c r="E926" s="326"/>
      <c r="F926" s="326"/>
      <c r="G926" s="326"/>
      <c r="H926" s="326"/>
      <c r="I926" s="326"/>
      <c r="J926" s="326"/>
      <c r="K926" s="326"/>
      <c r="L926" s="326"/>
      <c r="M926" s="326"/>
      <c r="N926" s="326"/>
      <c r="O926" s="326"/>
      <c r="P926" s="326"/>
      <c r="Q926" s="326"/>
      <c r="R926" s="326"/>
      <c r="S926" s="326"/>
      <c r="T926" s="326"/>
      <c r="U926" s="326"/>
      <c r="V926" s="326"/>
      <c r="W926" s="326"/>
      <c r="X926" s="326"/>
      <c r="Y926" s="326"/>
      <c r="Z926" s="326"/>
      <c r="AA926" s="326"/>
      <c r="AB926" s="326"/>
      <c r="AC926" s="326"/>
      <c r="AD926" s="326"/>
    </row>
    <row r="927">
      <c r="A927" s="326"/>
      <c r="B927" s="326"/>
      <c r="C927" s="326"/>
      <c r="D927" s="326"/>
      <c r="E927" s="326"/>
      <c r="F927" s="326"/>
      <c r="G927" s="326"/>
      <c r="H927" s="326"/>
      <c r="I927" s="326"/>
      <c r="J927" s="326"/>
      <c r="K927" s="326"/>
      <c r="L927" s="326"/>
      <c r="M927" s="326"/>
      <c r="N927" s="326"/>
      <c r="O927" s="326"/>
      <c r="P927" s="326"/>
      <c r="Q927" s="326"/>
      <c r="R927" s="326"/>
      <c r="S927" s="326"/>
      <c r="T927" s="326"/>
      <c r="U927" s="326"/>
      <c r="V927" s="326"/>
      <c r="W927" s="326"/>
      <c r="X927" s="326"/>
      <c r="Y927" s="326"/>
      <c r="Z927" s="326"/>
      <c r="AA927" s="326"/>
      <c r="AB927" s="326"/>
      <c r="AC927" s="326"/>
      <c r="AD927" s="326"/>
    </row>
    <row r="928">
      <c r="A928" s="326"/>
      <c r="B928" s="326"/>
      <c r="C928" s="326"/>
      <c r="D928" s="326"/>
      <c r="E928" s="326"/>
      <c r="F928" s="326"/>
      <c r="G928" s="326"/>
      <c r="H928" s="326"/>
      <c r="I928" s="326"/>
      <c r="J928" s="326"/>
      <c r="K928" s="326"/>
      <c r="L928" s="326"/>
      <c r="M928" s="326"/>
      <c r="N928" s="326"/>
      <c r="O928" s="326"/>
      <c r="P928" s="326"/>
      <c r="Q928" s="326"/>
      <c r="R928" s="326"/>
      <c r="S928" s="326"/>
      <c r="T928" s="326"/>
      <c r="U928" s="326"/>
      <c r="V928" s="326"/>
      <c r="W928" s="326"/>
      <c r="X928" s="326"/>
      <c r="Y928" s="326"/>
      <c r="Z928" s="326"/>
      <c r="AA928" s="326"/>
      <c r="AB928" s="326"/>
      <c r="AC928" s="326"/>
      <c r="AD928" s="326"/>
    </row>
    <row r="929">
      <c r="A929" s="326"/>
      <c r="B929" s="326"/>
      <c r="C929" s="326"/>
      <c r="D929" s="326"/>
      <c r="E929" s="326"/>
      <c r="F929" s="326"/>
      <c r="G929" s="326"/>
      <c r="H929" s="326"/>
      <c r="I929" s="326"/>
      <c r="J929" s="326"/>
      <c r="K929" s="326"/>
      <c r="L929" s="326"/>
      <c r="M929" s="326"/>
      <c r="N929" s="326"/>
      <c r="O929" s="326"/>
      <c r="P929" s="326"/>
      <c r="Q929" s="326"/>
      <c r="R929" s="326"/>
      <c r="S929" s="326"/>
      <c r="T929" s="326"/>
      <c r="U929" s="326"/>
      <c r="V929" s="326"/>
      <c r="W929" s="326"/>
      <c r="X929" s="326"/>
      <c r="Y929" s="326"/>
      <c r="Z929" s="326"/>
      <c r="AA929" s="326"/>
      <c r="AB929" s="326"/>
      <c r="AC929" s="326"/>
      <c r="AD929" s="326"/>
    </row>
    <row r="930">
      <c r="A930" s="326"/>
      <c r="B930" s="326"/>
      <c r="C930" s="326"/>
      <c r="D930" s="326"/>
      <c r="E930" s="326"/>
      <c r="F930" s="326"/>
      <c r="G930" s="326"/>
      <c r="H930" s="326"/>
      <c r="I930" s="326"/>
      <c r="J930" s="326"/>
      <c r="K930" s="326"/>
      <c r="L930" s="326"/>
      <c r="M930" s="326"/>
      <c r="N930" s="326"/>
      <c r="O930" s="326"/>
      <c r="P930" s="326"/>
      <c r="Q930" s="326"/>
      <c r="R930" s="326"/>
      <c r="S930" s="326"/>
      <c r="T930" s="326"/>
      <c r="U930" s="326"/>
      <c r="V930" s="326"/>
      <c r="W930" s="326"/>
      <c r="X930" s="326"/>
      <c r="Y930" s="326"/>
      <c r="Z930" s="326"/>
      <c r="AA930" s="326"/>
      <c r="AB930" s="326"/>
      <c r="AC930" s="326"/>
      <c r="AD930" s="326"/>
    </row>
    <row r="931">
      <c r="A931" s="326"/>
      <c r="B931" s="326"/>
      <c r="C931" s="326"/>
      <c r="D931" s="326"/>
      <c r="E931" s="326"/>
      <c r="F931" s="326"/>
      <c r="G931" s="326"/>
      <c r="H931" s="326"/>
      <c r="I931" s="326"/>
      <c r="J931" s="326"/>
      <c r="K931" s="326"/>
      <c r="L931" s="326"/>
      <c r="M931" s="326"/>
      <c r="N931" s="326"/>
      <c r="O931" s="326"/>
      <c r="P931" s="326"/>
      <c r="Q931" s="326"/>
      <c r="R931" s="326"/>
      <c r="S931" s="326"/>
      <c r="T931" s="326"/>
      <c r="U931" s="326"/>
      <c r="V931" s="326"/>
      <c r="W931" s="326"/>
      <c r="X931" s="326"/>
      <c r="Y931" s="326"/>
      <c r="Z931" s="326"/>
      <c r="AA931" s="326"/>
      <c r="AB931" s="326"/>
      <c r="AC931" s="326"/>
      <c r="AD931" s="326"/>
    </row>
    <row r="932">
      <c r="A932" s="326"/>
      <c r="B932" s="326"/>
      <c r="C932" s="326"/>
      <c r="D932" s="326"/>
      <c r="E932" s="326"/>
      <c r="F932" s="326"/>
      <c r="G932" s="326"/>
      <c r="H932" s="326"/>
      <c r="I932" s="326"/>
      <c r="J932" s="326"/>
      <c r="K932" s="326"/>
      <c r="L932" s="326"/>
      <c r="M932" s="326"/>
      <c r="N932" s="326"/>
      <c r="O932" s="326"/>
      <c r="P932" s="326"/>
      <c r="Q932" s="326"/>
      <c r="R932" s="326"/>
      <c r="S932" s="326"/>
      <c r="T932" s="326"/>
      <c r="U932" s="326"/>
      <c r="V932" s="326"/>
      <c r="W932" s="326"/>
      <c r="X932" s="326"/>
      <c r="Y932" s="326"/>
      <c r="Z932" s="326"/>
      <c r="AA932" s="326"/>
      <c r="AB932" s="326"/>
      <c r="AC932" s="326"/>
      <c r="AD932" s="326"/>
    </row>
    <row r="933">
      <c r="A933" s="326"/>
      <c r="B933" s="326"/>
      <c r="C933" s="326"/>
      <c r="D933" s="326"/>
      <c r="E933" s="326"/>
      <c r="F933" s="326"/>
      <c r="G933" s="326"/>
      <c r="H933" s="326"/>
      <c r="I933" s="326"/>
      <c r="J933" s="326"/>
      <c r="K933" s="326"/>
      <c r="L933" s="326"/>
      <c r="M933" s="326"/>
      <c r="N933" s="326"/>
      <c r="O933" s="326"/>
      <c r="P933" s="326"/>
      <c r="Q933" s="326"/>
      <c r="R933" s="326"/>
      <c r="S933" s="326"/>
      <c r="T933" s="326"/>
      <c r="U933" s="326"/>
      <c r="V933" s="326"/>
      <c r="W933" s="326"/>
      <c r="X933" s="326"/>
      <c r="Y933" s="326"/>
      <c r="Z933" s="326"/>
      <c r="AA933" s="326"/>
      <c r="AB933" s="326"/>
      <c r="AC933" s="326"/>
      <c r="AD933" s="326"/>
    </row>
    <row r="934">
      <c r="A934" s="326"/>
      <c r="B934" s="326"/>
      <c r="C934" s="326"/>
      <c r="D934" s="326"/>
      <c r="E934" s="326"/>
      <c r="F934" s="326"/>
      <c r="G934" s="326"/>
      <c r="H934" s="326"/>
      <c r="I934" s="326"/>
      <c r="J934" s="326"/>
      <c r="K934" s="326"/>
      <c r="L934" s="326"/>
      <c r="M934" s="326"/>
      <c r="N934" s="326"/>
      <c r="O934" s="326"/>
      <c r="P934" s="326"/>
      <c r="Q934" s="326"/>
      <c r="R934" s="326"/>
      <c r="S934" s="326"/>
      <c r="T934" s="326"/>
      <c r="U934" s="326"/>
      <c r="V934" s="326"/>
      <c r="W934" s="326"/>
      <c r="X934" s="326"/>
      <c r="Y934" s="326"/>
      <c r="Z934" s="326"/>
      <c r="AA934" s="326"/>
      <c r="AB934" s="326"/>
      <c r="AC934" s="326"/>
      <c r="AD934" s="326"/>
    </row>
    <row r="935">
      <c r="A935" s="326"/>
      <c r="B935" s="326"/>
      <c r="C935" s="326"/>
      <c r="D935" s="326"/>
      <c r="E935" s="326"/>
      <c r="F935" s="326"/>
      <c r="G935" s="326"/>
      <c r="H935" s="326"/>
      <c r="I935" s="326"/>
      <c r="J935" s="326"/>
      <c r="K935" s="326"/>
      <c r="L935" s="326"/>
      <c r="M935" s="326"/>
      <c r="N935" s="326"/>
      <c r="O935" s="326"/>
      <c r="P935" s="326"/>
      <c r="Q935" s="326"/>
      <c r="R935" s="326"/>
      <c r="S935" s="326"/>
      <c r="T935" s="326"/>
      <c r="U935" s="326"/>
      <c r="V935" s="326"/>
      <c r="W935" s="326"/>
      <c r="X935" s="326"/>
      <c r="Y935" s="326"/>
      <c r="Z935" s="326"/>
      <c r="AA935" s="326"/>
      <c r="AB935" s="326"/>
      <c r="AC935" s="326"/>
      <c r="AD935" s="326"/>
    </row>
    <row r="936">
      <c r="A936" s="326"/>
      <c r="B936" s="326"/>
      <c r="C936" s="326"/>
      <c r="D936" s="326"/>
      <c r="E936" s="326"/>
      <c r="F936" s="326"/>
      <c r="G936" s="326"/>
      <c r="H936" s="326"/>
      <c r="I936" s="326"/>
      <c r="J936" s="326"/>
      <c r="K936" s="326"/>
      <c r="L936" s="326"/>
      <c r="M936" s="326"/>
      <c r="N936" s="326"/>
      <c r="O936" s="326"/>
      <c r="P936" s="326"/>
      <c r="Q936" s="326"/>
      <c r="R936" s="326"/>
      <c r="S936" s="326"/>
      <c r="T936" s="326"/>
      <c r="U936" s="326"/>
      <c r="V936" s="326"/>
      <c r="W936" s="326"/>
      <c r="X936" s="326"/>
      <c r="Y936" s="326"/>
      <c r="Z936" s="326"/>
      <c r="AA936" s="326"/>
      <c r="AB936" s="326"/>
      <c r="AC936" s="326"/>
      <c r="AD936" s="326"/>
    </row>
    <row r="937">
      <c r="A937" s="326"/>
      <c r="B937" s="326"/>
      <c r="C937" s="326"/>
      <c r="D937" s="326"/>
      <c r="E937" s="326"/>
      <c r="F937" s="326"/>
      <c r="G937" s="326"/>
      <c r="H937" s="326"/>
      <c r="I937" s="326"/>
      <c r="J937" s="326"/>
      <c r="K937" s="326"/>
      <c r="L937" s="326"/>
      <c r="M937" s="326"/>
      <c r="N937" s="326"/>
      <c r="O937" s="326"/>
      <c r="P937" s="326"/>
      <c r="Q937" s="326"/>
      <c r="R937" s="326"/>
      <c r="S937" s="326"/>
      <c r="T937" s="326"/>
      <c r="U937" s="326"/>
      <c r="V937" s="326"/>
      <c r="W937" s="326"/>
      <c r="X937" s="326"/>
      <c r="Y937" s="326"/>
      <c r="Z937" s="326"/>
      <c r="AA937" s="326"/>
      <c r="AB937" s="326"/>
      <c r="AC937" s="326"/>
      <c r="AD937" s="326"/>
    </row>
    <row r="938">
      <c r="A938" s="326"/>
      <c r="B938" s="326"/>
      <c r="C938" s="326"/>
      <c r="D938" s="326"/>
      <c r="E938" s="326"/>
      <c r="F938" s="326"/>
      <c r="G938" s="326"/>
      <c r="H938" s="326"/>
      <c r="I938" s="326"/>
      <c r="J938" s="326"/>
      <c r="K938" s="326"/>
      <c r="L938" s="326"/>
      <c r="M938" s="326"/>
      <c r="N938" s="326"/>
      <c r="O938" s="326"/>
      <c r="P938" s="326"/>
      <c r="Q938" s="326"/>
      <c r="R938" s="326"/>
      <c r="S938" s="326"/>
      <c r="T938" s="326"/>
      <c r="U938" s="326"/>
      <c r="V938" s="326"/>
      <c r="W938" s="326"/>
      <c r="X938" s="326"/>
      <c r="Y938" s="326"/>
      <c r="Z938" s="326"/>
      <c r="AA938" s="326"/>
      <c r="AB938" s="326"/>
      <c r="AC938" s="326"/>
      <c r="AD938" s="326"/>
    </row>
    <row r="939">
      <c r="A939" s="326"/>
      <c r="B939" s="326"/>
      <c r="C939" s="326"/>
      <c r="D939" s="326"/>
      <c r="E939" s="326"/>
      <c r="F939" s="326"/>
      <c r="G939" s="326"/>
      <c r="H939" s="326"/>
      <c r="I939" s="326"/>
      <c r="J939" s="326"/>
      <c r="K939" s="326"/>
      <c r="L939" s="326"/>
      <c r="M939" s="326"/>
      <c r="N939" s="326"/>
      <c r="O939" s="326"/>
      <c r="P939" s="326"/>
      <c r="Q939" s="326"/>
      <c r="R939" s="326"/>
      <c r="S939" s="326"/>
      <c r="T939" s="326"/>
      <c r="U939" s="326"/>
      <c r="V939" s="326"/>
      <c r="W939" s="326"/>
      <c r="X939" s="326"/>
      <c r="Y939" s="326"/>
      <c r="Z939" s="326"/>
      <c r="AA939" s="326"/>
      <c r="AB939" s="326"/>
      <c r="AC939" s="326"/>
      <c r="AD939" s="326"/>
    </row>
    <row r="940">
      <c r="A940" s="326"/>
      <c r="B940" s="326"/>
      <c r="C940" s="326"/>
      <c r="D940" s="326"/>
      <c r="E940" s="326"/>
      <c r="F940" s="326"/>
      <c r="G940" s="326"/>
      <c r="H940" s="326"/>
      <c r="I940" s="326"/>
      <c r="J940" s="326"/>
      <c r="K940" s="326"/>
      <c r="L940" s="326"/>
      <c r="M940" s="326"/>
      <c r="N940" s="326"/>
      <c r="O940" s="326"/>
      <c r="P940" s="326"/>
      <c r="Q940" s="326"/>
      <c r="R940" s="326"/>
      <c r="S940" s="326"/>
      <c r="T940" s="326"/>
      <c r="U940" s="326"/>
      <c r="V940" s="326"/>
      <c r="W940" s="326"/>
      <c r="X940" s="326"/>
      <c r="Y940" s="326"/>
      <c r="Z940" s="326"/>
      <c r="AA940" s="326"/>
      <c r="AB940" s="326"/>
      <c r="AC940" s="326"/>
      <c r="AD940" s="326"/>
    </row>
    <row r="941">
      <c r="A941" s="326"/>
      <c r="B941" s="326"/>
      <c r="C941" s="326"/>
      <c r="D941" s="326"/>
      <c r="E941" s="326"/>
      <c r="F941" s="326"/>
      <c r="G941" s="326"/>
      <c r="H941" s="326"/>
      <c r="I941" s="326"/>
      <c r="J941" s="326"/>
      <c r="K941" s="326"/>
      <c r="L941" s="326"/>
      <c r="M941" s="326"/>
      <c r="N941" s="326"/>
      <c r="O941" s="326"/>
      <c r="P941" s="326"/>
      <c r="Q941" s="326"/>
      <c r="R941" s="326"/>
      <c r="S941" s="326"/>
      <c r="T941" s="326"/>
      <c r="U941" s="326"/>
      <c r="V941" s="326"/>
      <c r="W941" s="326"/>
      <c r="X941" s="326"/>
      <c r="Y941" s="326"/>
      <c r="Z941" s="326"/>
      <c r="AA941" s="326"/>
      <c r="AB941" s="326"/>
      <c r="AC941" s="326"/>
      <c r="AD941" s="326"/>
    </row>
    <row r="942">
      <c r="A942" s="326"/>
      <c r="B942" s="326"/>
      <c r="C942" s="326"/>
      <c r="D942" s="326"/>
      <c r="E942" s="326"/>
      <c r="F942" s="326"/>
      <c r="G942" s="326"/>
      <c r="H942" s="326"/>
      <c r="I942" s="326"/>
      <c r="J942" s="326"/>
      <c r="K942" s="326"/>
      <c r="L942" s="326"/>
      <c r="M942" s="326"/>
      <c r="N942" s="326"/>
      <c r="O942" s="326"/>
      <c r="P942" s="326"/>
      <c r="Q942" s="326"/>
      <c r="R942" s="326"/>
      <c r="S942" s="326"/>
      <c r="T942" s="326"/>
      <c r="U942" s="326"/>
      <c r="V942" s="326"/>
      <c r="W942" s="326"/>
      <c r="X942" s="326"/>
      <c r="Y942" s="326"/>
      <c r="Z942" s="326"/>
      <c r="AA942" s="326"/>
      <c r="AB942" s="326"/>
      <c r="AC942" s="326"/>
      <c r="AD942" s="326"/>
    </row>
    <row r="943">
      <c r="A943" s="326"/>
      <c r="B943" s="326"/>
      <c r="C943" s="326"/>
      <c r="D943" s="326"/>
      <c r="E943" s="326"/>
      <c r="F943" s="326"/>
      <c r="G943" s="326"/>
      <c r="H943" s="326"/>
      <c r="I943" s="326"/>
      <c r="J943" s="326"/>
      <c r="K943" s="326"/>
      <c r="L943" s="326"/>
      <c r="M943" s="326"/>
      <c r="N943" s="326"/>
      <c r="O943" s="326"/>
      <c r="P943" s="326"/>
      <c r="Q943" s="326"/>
      <c r="R943" s="326"/>
      <c r="S943" s="326"/>
      <c r="T943" s="326"/>
      <c r="U943" s="326"/>
      <c r="V943" s="326"/>
      <c r="W943" s="326"/>
      <c r="X943" s="326"/>
      <c r="Y943" s="326"/>
      <c r="Z943" s="326"/>
      <c r="AA943" s="326"/>
      <c r="AB943" s="326"/>
      <c r="AC943" s="326"/>
      <c r="AD943" s="326"/>
    </row>
    <row r="944">
      <c r="A944" s="326"/>
      <c r="B944" s="326"/>
      <c r="C944" s="326"/>
      <c r="D944" s="326"/>
      <c r="E944" s="326"/>
      <c r="F944" s="326"/>
      <c r="G944" s="326"/>
      <c r="H944" s="326"/>
      <c r="I944" s="326"/>
      <c r="J944" s="326"/>
      <c r="K944" s="326"/>
      <c r="L944" s="326"/>
      <c r="M944" s="326"/>
      <c r="N944" s="326"/>
      <c r="O944" s="326"/>
      <c r="P944" s="326"/>
      <c r="Q944" s="326"/>
      <c r="R944" s="326"/>
      <c r="S944" s="326"/>
      <c r="T944" s="326"/>
      <c r="U944" s="326"/>
      <c r="V944" s="326"/>
      <c r="W944" s="326"/>
      <c r="X944" s="326"/>
      <c r="Y944" s="326"/>
      <c r="Z944" s="326"/>
      <c r="AA944" s="326"/>
      <c r="AB944" s="326"/>
      <c r="AC944" s="326"/>
      <c r="AD944" s="326"/>
    </row>
    <row r="945">
      <c r="A945" s="326"/>
      <c r="B945" s="326"/>
      <c r="C945" s="326"/>
      <c r="D945" s="326"/>
      <c r="E945" s="326"/>
      <c r="F945" s="326"/>
      <c r="G945" s="326"/>
      <c r="H945" s="326"/>
      <c r="I945" s="326"/>
      <c r="J945" s="326"/>
      <c r="K945" s="326"/>
      <c r="L945" s="326"/>
      <c r="M945" s="326"/>
      <c r="N945" s="326"/>
      <c r="O945" s="326"/>
      <c r="P945" s="326"/>
      <c r="Q945" s="326"/>
      <c r="R945" s="326"/>
      <c r="S945" s="326"/>
      <c r="T945" s="326"/>
      <c r="U945" s="326"/>
      <c r="V945" s="326"/>
      <c r="W945" s="326"/>
      <c r="X945" s="326"/>
      <c r="Y945" s="326"/>
      <c r="Z945" s="326"/>
      <c r="AA945" s="326"/>
      <c r="AB945" s="326"/>
      <c r="AC945" s="326"/>
      <c r="AD945" s="326"/>
    </row>
    <row r="946">
      <c r="A946" s="326"/>
      <c r="B946" s="326"/>
      <c r="C946" s="326"/>
      <c r="D946" s="326"/>
      <c r="E946" s="326"/>
      <c r="F946" s="326"/>
      <c r="G946" s="326"/>
      <c r="H946" s="326"/>
      <c r="I946" s="326"/>
      <c r="J946" s="326"/>
      <c r="K946" s="326"/>
      <c r="L946" s="326"/>
      <c r="M946" s="326"/>
      <c r="N946" s="326"/>
      <c r="O946" s="326"/>
      <c r="P946" s="326"/>
      <c r="Q946" s="326"/>
      <c r="R946" s="326"/>
      <c r="S946" s="326"/>
      <c r="T946" s="326"/>
      <c r="U946" s="326"/>
      <c r="V946" s="326"/>
      <c r="W946" s="326"/>
      <c r="X946" s="326"/>
      <c r="Y946" s="326"/>
      <c r="Z946" s="326"/>
      <c r="AA946" s="326"/>
      <c r="AB946" s="326"/>
      <c r="AC946" s="326"/>
      <c r="AD946" s="326"/>
    </row>
    <row r="947">
      <c r="A947" s="326"/>
      <c r="B947" s="326"/>
      <c r="C947" s="326"/>
      <c r="D947" s="326"/>
      <c r="E947" s="326"/>
      <c r="F947" s="326"/>
      <c r="G947" s="326"/>
      <c r="H947" s="326"/>
      <c r="I947" s="326"/>
      <c r="J947" s="326"/>
      <c r="K947" s="326"/>
      <c r="L947" s="326"/>
      <c r="M947" s="326"/>
      <c r="N947" s="326"/>
      <c r="O947" s="326"/>
      <c r="P947" s="326"/>
      <c r="Q947" s="326"/>
      <c r="R947" s="326"/>
      <c r="S947" s="326"/>
      <c r="T947" s="326"/>
      <c r="U947" s="326"/>
      <c r="V947" s="326"/>
      <c r="W947" s="326"/>
      <c r="X947" s="326"/>
      <c r="Y947" s="326"/>
      <c r="Z947" s="326"/>
      <c r="AA947" s="326"/>
      <c r="AB947" s="326"/>
      <c r="AC947" s="326"/>
      <c r="AD947" s="326"/>
    </row>
    <row r="948">
      <c r="A948" s="326"/>
      <c r="B948" s="326"/>
      <c r="C948" s="326"/>
      <c r="D948" s="326"/>
      <c r="E948" s="326"/>
      <c r="F948" s="326"/>
      <c r="G948" s="326"/>
      <c r="H948" s="326"/>
      <c r="I948" s="326"/>
      <c r="J948" s="326"/>
      <c r="K948" s="326"/>
      <c r="L948" s="326"/>
      <c r="M948" s="326"/>
      <c r="N948" s="326"/>
      <c r="O948" s="326"/>
      <c r="P948" s="326"/>
      <c r="Q948" s="326"/>
      <c r="R948" s="326"/>
      <c r="S948" s="326"/>
      <c r="T948" s="326"/>
      <c r="U948" s="326"/>
      <c r="V948" s="326"/>
      <c r="W948" s="326"/>
      <c r="X948" s="326"/>
      <c r="Y948" s="326"/>
      <c r="Z948" s="326"/>
      <c r="AA948" s="326"/>
      <c r="AB948" s="326"/>
      <c r="AC948" s="326"/>
      <c r="AD948" s="326"/>
    </row>
    <row r="949">
      <c r="A949" s="326"/>
      <c r="B949" s="326"/>
      <c r="C949" s="326"/>
      <c r="D949" s="326"/>
      <c r="E949" s="326"/>
      <c r="F949" s="326"/>
      <c r="G949" s="326"/>
      <c r="H949" s="326"/>
      <c r="I949" s="326"/>
      <c r="J949" s="326"/>
      <c r="K949" s="326"/>
      <c r="L949" s="326"/>
      <c r="M949" s="326"/>
      <c r="N949" s="326"/>
      <c r="O949" s="326"/>
      <c r="P949" s="326"/>
      <c r="Q949" s="326"/>
      <c r="R949" s="326"/>
      <c r="S949" s="326"/>
      <c r="T949" s="326"/>
      <c r="U949" s="326"/>
      <c r="V949" s="326"/>
      <c r="W949" s="326"/>
      <c r="X949" s="326"/>
      <c r="Y949" s="326"/>
      <c r="Z949" s="326"/>
      <c r="AA949" s="326"/>
      <c r="AB949" s="326"/>
      <c r="AC949" s="326"/>
      <c r="AD949" s="326"/>
    </row>
    <row r="950">
      <c r="A950" s="326"/>
      <c r="B950" s="326"/>
      <c r="C950" s="326"/>
      <c r="D950" s="326"/>
      <c r="E950" s="326"/>
      <c r="F950" s="326"/>
      <c r="G950" s="326"/>
      <c r="H950" s="326"/>
      <c r="I950" s="326"/>
      <c r="J950" s="326"/>
      <c r="K950" s="326"/>
      <c r="L950" s="326"/>
      <c r="M950" s="326"/>
      <c r="N950" s="326"/>
      <c r="O950" s="326"/>
      <c r="P950" s="326"/>
      <c r="Q950" s="326"/>
      <c r="R950" s="326"/>
      <c r="S950" s="326"/>
      <c r="T950" s="326"/>
      <c r="U950" s="326"/>
      <c r="V950" s="326"/>
      <c r="W950" s="326"/>
      <c r="X950" s="326"/>
      <c r="Y950" s="326"/>
      <c r="Z950" s="326"/>
      <c r="AA950" s="326"/>
      <c r="AB950" s="326"/>
      <c r="AC950" s="326"/>
      <c r="AD950" s="326"/>
    </row>
    <row r="951">
      <c r="A951" s="326"/>
      <c r="B951" s="326"/>
      <c r="C951" s="326"/>
      <c r="D951" s="326"/>
      <c r="E951" s="326"/>
      <c r="F951" s="326"/>
      <c r="G951" s="326"/>
      <c r="H951" s="326"/>
      <c r="I951" s="326"/>
      <c r="J951" s="326"/>
      <c r="K951" s="326"/>
      <c r="L951" s="326"/>
      <c r="M951" s="326"/>
      <c r="N951" s="326"/>
      <c r="O951" s="326"/>
      <c r="P951" s="326"/>
      <c r="Q951" s="326"/>
      <c r="R951" s="326"/>
      <c r="S951" s="326"/>
      <c r="T951" s="326"/>
      <c r="U951" s="326"/>
      <c r="V951" s="326"/>
      <c r="W951" s="326"/>
      <c r="X951" s="326"/>
      <c r="Y951" s="326"/>
      <c r="Z951" s="326"/>
      <c r="AA951" s="326"/>
      <c r="AB951" s="326"/>
      <c r="AC951" s="326"/>
      <c r="AD951" s="326"/>
    </row>
    <row r="952">
      <c r="A952" s="326"/>
      <c r="B952" s="326"/>
      <c r="C952" s="326"/>
      <c r="D952" s="326"/>
      <c r="E952" s="326"/>
      <c r="F952" s="326"/>
      <c r="G952" s="326"/>
      <c r="H952" s="326"/>
      <c r="I952" s="326"/>
      <c r="J952" s="326"/>
      <c r="K952" s="326"/>
      <c r="L952" s="326"/>
      <c r="M952" s="326"/>
      <c r="N952" s="326"/>
      <c r="O952" s="326"/>
      <c r="P952" s="326"/>
      <c r="Q952" s="326"/>
      <c r="R952" s="326"/>
      <c r="S952" s="326"/>
      <c r="T952" s="326"/>
      <c r="U952" s="326"/>
      <c r="V952" s="326"/>
      <c r="W952" s="326"/>
      <c r="X952" s="326"/>
      <c r="Y952" s="326"/>
      <c r="Z952" s="326"/>
      <c r="AA952" s="326"/>
      <c r="AB952" s="326"/>
      <c r="AC952" s="326"/>
      <c r="AD952" s="326"/>
    </row>
    <row r="953">
      <c r="A953" s="326"/>
      <c r="B953" s="326"/>
      <c r="C953" s="326"/>
      <c r="D953" s="326"/>
      <c r="E953" s="326"/>
      <c r="F953" s="326"/>
      <c r="G953" s="326"/>
      <c r="H953" s="326"/>
      <c r="I953" s="326"/>
      <c r="J953" s="326"/>
      <c r="K953" s="326"/>
      <c r="L953" s="326"/>
      <c r="M953" s="326"/>
      <c r="N953" s="326"/>
      <c r="O953" s="326"/>
      <c r="P953" s="326"/>
      <c r="Q953" s="326"/>
      <c r="R953" s="326"/>
      <c r="S953" s="326"/>
      <c r="T953" s="326"/>
      <c r="U953" s="326"/>
      <c r="V953" s="326"/>
      <c r="W953" s="326"/>
      <c r="X953" s="326"/>
      <c r="Y953" s="326"/>
      <c r="Z953" s="326"/>
      <c r="AA953" s="326"/>
      <c r="AB953" s="326"/>
      <c r="AC953" s="326"/>
      <c r="AD953" s="326"/>
    </row>
    <row r="954">
      <c r="A954" s="326"/>
      <c r="B954" s="326"/>
      <c r="C954" s="326"/>
      <c r="D954" s="326"/>
      <c r="E954" s="326"/>
      <c r="F954" s="326"/>
      <c r="G954" s="326"/>
      <c r="H954" s="326"/>
      <c r="I954" s="326"/>
      <c r="J954" s="326"/>
      <c r="K954" s="326"/>
      <c r="L954" s="326"/>
      <c r="M954" s="326"/>
      <c r="N954" s="326"/>
      <c r="O954" s="326"/>
      <c r="P954" s="326"/>
      <c r="Q954" s="326"/>
      <c r="R954" s="326"/>
      <c r="S954" s="326"/>
      <c r="T954" s="326"/>
      <c r="U954" s="326"/>
      <c r="V954" s="326"/>
      <c r="W954" s="326"/>
      <c r="X954" s="326"/>
      <c r="Y954" s="326"/>
      <c r="Z954" s="326"/>
      <c r="AA954" s="326"/>
      <c r="AB954" s="326"/>
      <c r="AC954" s="326"/>
      <c r="AD954" s="326"/>
    </row>
    <row r="955">
      <c r="A955" s="326"/>
      <c r="B955" s="326"/>
      <c r="C955" s="326"/>
      <c r="D955" s="326"/>
      <c r="E955" s="326"/>
      <c r="F955" s="326"/>
      <c r="G955" s="326"/>
      <c r="H955" s="326"/>
      <c r="I955" s="326"/>
      <c r="J955" s="326"/>
      <c r="K955" s="326"/>
      <c r="L955" s="326"/>
      <c r="M955" s="326"/>
      <c r="N955" s="326"/>
      <c r="O955" s="326"/>
      <c r="P955" s="326"/>
      <c r="Q955" s="326"/>
      <c r="R955" s="326"/>
      <c r="S955" s="326"/>
      <c r="T955" s="326"/>
      <c r="U955" s="326"/>
      <c r="V955" s="326"/>
      <c r="W955" s="326"/>
      <c r="X955" s="326"/>
      <c r="Y955" s="326"/>
      <c r="Z955" s="326"/>
      <c r="AA955" s="326"/>
      <c r="AB955" s="326"/>
      <c r="AC955" s="326"/>
      <c r="AD955" s="326"/>
    </row>
    <row r="956">
      <c r="A956" s="326"/>
      <c r="B956" s="326"/>
      <c r="C956" s="326"/>
      <c r="D956" s="326"/>
      <c r="E956" s="326"/>
      <c r="F956" s="326"/>
      <c r="G956" s="326"/>
      <c r="H956" s="326"/>
      <c r="I956" s="326"/>
      <c r="J956" s="326"/>
      <c r="K956" s="326"/>
      <c r="L956" s="326"/>
      <c r="M956" s="326"/>
      <c r="N956" s="326"/>
      <c r="O956" s="326"/>
      <c r="P956" s="326"/>
      <c r="Q956" s="326"/>
      <c r="R956" s="326"/>
      <c r="S956" s="326"/>
      <c r="T956" s="326"/>
      <c r="U956" s="326"/>
      <c r="V956" s="326"/>
      <c r="W956" s="326"/>
      <c r="X956" s="326"/>
      <c r="Y956" s="326"/>
      <c r="Z956" s="326"/>
      <c r="AA956" s="326"/>
      <c r="AB956" s="326"/>
      <c r="AC956" s="326"/>
      <c r="AD956" s="326"/>
    </row>
    <row r="957">
      <c r="A957" s="326"/>
      <c r="B957" s="326"/>
      <c r="C957" s="326"/>
      <c r="D957" s="326"/>
      <c r="E957" s="326"/>
      <c r="F957" s="326"/>
      <c r="G957" s="326"/>
      <c r="H957" s="326"/>
      <c r="I957" s="326"/>
      <c r="J957" s="326"/>
      <c r="K957" s="326"/>
      <c r="L957" s="326"/>
      <c r="M957" s="326"/>
      <c r="N957" s="326"/>
      <c r="O957" s="326"/>
      <c r="P957" s="326"/>
      <c r="Q957" s="326"/>
      <c r="R957" s="326"/>
      <c r="S957" s="326"/>
      <c r="T957" s="326"/>
      <c r="U957" s="326"/>
      <c r="V957" s="326"/>
      <c r="W957" s="326"/>
      <c r="X957" s="326"/>
      <c r="Y957" s="326"/>
      <c r="Z957" s="326"/>
      <c r="AA957" s="326"/>
      <c r="AB957" s="326"/>
      <c r="AC957" s="326"/>
      <c r="AD957" s="326"/>
    </row>
    <row r="958">
      <c r="A958" s="326"/>
      <c r="B958" s="326"/>
      <c r="C958" s="326"/>
      <c r="D958" s="326"/>
      <c r="E958" s="326"/>
      <c r="F958" s="326"/>
      <c r="G958" s="326"/>
      <c r="H958" s="326"/>
      <c r="I958" s="326"/>
      <c r="J958" s="326"/>
      <c r="K958" s="326"/>
      <c r="L958" s="326"/>
      <c r="M958" s="326"/>
      <c r="N958" s="326"/>
      <c r="O958" s="326"/>
      <c r="P958" s="326"/>
      <c r="Q958" s="326"/>
      <c r="R958" s="326"/>
      <c r="S958" s="326"/>
      <c r="T958" s="326"/>
      <c r="U958" s="326"/>
      <c r="V958" s="326"/>
      <c r="W958" s="326"/>
      <c r="X958" s="326"/>
      <c r="Y958" s="326"/>
      <c r="Z958" s="326"/>
      <c r="AA958" s="326"/>
      <c r="AB958" s="326"/>
      <c r="AC958" s="326"/>
      <c r="AD958" s="326"/>
    </row>
    <row r="959">
      <c r="A959" s="326"/>
      <c r="B959" s="326"/>
      <c r="C959" s="326"/>
      <c r="D959" s="326"/>
      <c r="E959" s="326"/>
      <c r="F959" s="326"/>
      <c r="G959" s="326"/>
      <c r="H959" s="326"/>
      <c r="I959" s="326"/>
      <c r="J959" s="326"/>
      <c r="K959" s="326"/>
      <c r="L959" s="326"/>
      <c r="M959" s="326"/>
      <c r="N959" s="326"/>
      <c r="O959" s="326"/>
      <c r="P959" s="326"/>
      <c r="Q959" s="326"/>
      <c r="R959" s="326"/>
      <c r="S959" s="326"/>
      <c r="T959" s="326"/>
      <c r="U959" s="326"/>
      <c r="V959" s="326"/>
      <c r="W959" s="326"/>
      <c r="X959" s="326"/>
      <c r="Y959" s="326"/>
      <c r="Z959" s="326"/>
      <c r="AA959" s="326"/>
      <c r="AB959" s="326"/>
      <c r="AC959" s="326"/>
      <c r="AD959" s="326"/>
    </row>
    <row r="960">
      <c r="A960" s="326"/>
      <c r="B960" s="326"/>
      <c r="C960" s="326"/>
      <c r="D960" s="326"/>
      <c r="E960" s="326"/>
      <c r="F960" s="326"/>
      <c r="G960" s="326"/>
      <c r="H960" s="326"/>
      <c r="I960" s="326"/>
      <c r="J960" s="326"/>
      <c r="K960" s="326"/>
      <c r="L960" s="326"/>
      <c r="M960" s="326"/>
      <c r="N960" s="326"/>
      <c r="O960" s="326"/>
      <c r="P960" s="326"/>
      <c r="Q960" s="326"/>
      <c r="R960" s="326"/>
      <c r="S960" s="326"/>
      <c r="T960" s="326"/>
      <c r="U960" s="326"/>
      <c r="V960" s="326"/>
      <c r="W960" s="326"/>
      <c r="X960" s="326"/>
      <c r="Y960" s="326"/>
      <c r="Z960" s="326"/>
      <c r="AA960" s="326"/>
      <c r="AB960" s="326"/>
      <c r="AC960" s="326"/>
      <c r="AD960" s="326"/>
    </row>
    <row r="961">
      <c r="A961" s="326"/>
      <c r="B961" s="326"/>
      <c r="C961" s="326"/>
      <c r="D961" s="326"/>
      <c r="E961" s="326"/>
      <c r="F961" s="326"/>
      <c r="G961" s="326"/>
      <c r="H961" s="326"/>
      <c r="I961" s="326"/>
      <c r="J961" s="326"/>
      <c r="K961" s="326"/>
      <c r="L961" s="326"/>
      <c r="M961" s="326"/>
      <c r="N961" s="326"/>
      <c r="O961" s="326"/>
      <c r="P961" s="326"/>
      <c r="Q961" s="326"/>
      <c r="R961" s="326"/>
      <c r="S961" s="326"/>
      <c r="T961" s="326"/>
      <c r="U961" s="326"/>
      <c r="V961" s="326"/>
      <c r="W961" s="326"/>
      <c r="X961" s="326"/>
      <c r="Y961" s="326"/>
      <c r="Z961" s="326"/>
      <c r="AA961" s="326"/>
      <c r="AB961" s="326"/>
      <c r="AC961" s="326"/>
      <c r="AD961" s="326"/>
    </row>
    <row r="962">
      <c r="A962" s="326"/>
      <c r="B962" s="326"/>
      <c r="C962" s="326"/>
      <c r="D962" s="326"/>
      <c r="E962" s="326"/>
      <c r="F962" s="326"/>
      <c r="G962" s="326"/>
      <c r="H962" s="326"/>
      <c r="I962" s="326"/>
      <c r="J962" s="326"/>
      <c r="K962" s="326"/>
      <c r="L962" s="326"/>
      <c r="M962" s="326"/>
      <c r="N962" s="326"/>
      <c r="O962" s="326"/>
      <c r="P962" s="326"/>
      <c r="Q962" s="326"/>
      <c r="R962" s="326"/>
      <c r="S962" s="326"/>
      <c r="T962" s="326"/>
      <c r="U962" s="326"/>
      <c r="V962" s="326"/>
      <c r="W962" s="326"/>
      <c r="X962" s="326"/>
      <c r="Y962" s="326"/>
      <c r="Z962" s="326"/>
      <c r="AA962" s="326"/>
      <c r="AB962" s="326"/>
      <c r="AC962" s="326"/>
      <c r="AD962" s="326"/>
    </row>
    <row r="963">
      <c r="A963" s="326"/>
      <c r="B963" s="326"/>
      <c r="C963" s="326"/>
      <c r="D963" s="326"/>
      <c r="E963" s="326"/>
      <c r="F963" s="326"/>
      <c r="G963" s="326"/>
      <c r="H963" s="326"/>
      <c r="I963" s="326"/>
      <c r="J963" s="326"/>
      <c r="K963" s="326"/>
      <c r="L963" s="326"/>
      <c r="M963" s="326"/>
      <c r="N963" s="326"/>
      <c r="O963" s="326"/>
      <c r="P963" s="326"/>
      <c r="Q963" s="326"/>
      <c r="R963" s="326"/>
      <c r="S963" s="326"/>
      <c r="T963" s="326"/>
      <c r="U963" s="326"/>
      <c r="V963" s="326"/>
      <c r="W963" s="326"/>
      <c r="X963" s="326"/>
      <c r="Y963" s="326"/>
      <c r="Z963" s="326"/>
      <c r="AA963" s="326"/>
      <c r="AB963" s="326"/>
      <c r="AC963" s="326"/>
      <c r="AD963" s="326"/>
    </row>
    <row r="964">
      <c r="A964" s="326"/>
      <c r="B964" s="326"/>
      <c r="C964" s="326"/>
      <c r="D964" s="326"/>
      <c r="E964" s="326"/>
      <c r="F964" s="326"/>
      <c r="G964" s="326"/>
      <c r="H964" s="326"/>
      <c r="I964" s="326"/>
      <c r="J964" s="326"/>
      <c r="K964" s="326"/>
      <c r="L964" s="326"/>
      <c r="M964" s="326"/>
      <c r="N964" s="326"/>
      <c r="O964" s="326"/>
      <c r="P964" s="326"/>
      <c r="Q964" s="326"/>
      <c r="R964" s="326"/>
      <c r="S964" s="326"/>
      <c r="T964" s="326"/>
      <c r="U964" s="326"/>
      <c r="V964" s="326"/>
      <c r="W964" s="326"/>
      <c r="X964" s="326"/>
      <c r="Y964" s="326"/>
      <c r="Z964" s="326"/>
      <c r="AA964" s="326"/>
      <c r="AB964" s="326"/>
      <c r="AC964" s="326"/>
      <c r="AD964" s="326"/>
    </row>
    <row r="965">
      <c r="A965" s="326"/>
      <c r="B965" s="326"/>
      <c r="C965" s="326"/>
      <c r="D965" s="326"/>
      <c r="E965" s="326"/>
      <c r="F965" s="326"/>
      <c r="G965" s="326"/>
      <c r="H965" s="326"/>
      <c r="I965" s="326"/>
      <c r="J965" s="326"/>
      <c r="K965" s="326"/>
      <c r="L965" s="326"/>
      <c r="M965" s="326"/>
      <c r="N965" s="326"/>
      <c r="O965" s="326"/>
      <c r="P965" s="326"/>
      <c r="Q965" s="326"/>
      <c r="R965" s="326"/>
      <c r="S965" s="326"/>
      <c r="T965" s="326"/>
      <c r="U965" s="326"/>
      <c r="V965" s="326"/>
      <c r="W965" s="326"/>
      <c r="X965" s="326"/>
      <c r="Y965" s="326"/>
      <c r="Z965" s="326"/>
      <c r="AA965" s="326"/>
      <c r="AB965" s="326"/>
      <c r="AC965" s="326"/>
      <c r="AD965" s="326"/>
    </row>
    <row r="966">
      <c r="A966" s="326"/>
      <c r="B966" s="326"/>
      <c r="C966" s="326"/>
      <c r="D966" s="326"/>
      <c r="E966" s="326"/>
      <c r="F966" s="326"/>
      <c r="G966" s="326"/>
      <c r="H966" s="326"/>
      <c r="I966" s="326"/>
      <c r="J966" s="326"/>
      <c r="K966" s="326"/>
      <c r="L966" s="326"/>
      <c r="M966" s="326"/>
      <c r="N966" s="326"/>
      <c r="O966" s="326"/>
      <c r="P966" s="326"/>
      <c r="Q966" s="326"/>
      <c r="R966" s="326"/>
      <c r="S966" s="326"/>
      <c r="T966" s="326"/>
      <c r="U966" s="326"/>
      <c r="V966" s="326"/>
      <c r="W966" s="326"/>
      <c r="X966" s="326"/>
      <c r="Y966" s="326"/>
      <c r="Z966" s="326"/>
      <c r="AA966" s="326"/>
      <c r="AB966" s="326"/>
      <c r="AC966" s="326"/>
      <c r="AD966" s="326"/>
    </row>
    <row r="967">
      <c r="A967" s="326"/>
      <c r="B967" s="326"/>
      <c r="C967" s="326"/>
      <c r="D967" s="326"/>
      <c r="E967" s="326"/>
      <c r="F967" s="326"/>
      <c r="G967" s="326"/>
      <c r="H967" s="326"/>
      <c r="I967" s="326"/>
      <c r="J967" s="326"/>
      <c r="K967" s="326"/>
      <c r="L967" s="326"/>
      <c r="M967" s="326"/>
      <c r="N967" s="326"/>
      <c r="O967" s="326"/>
      <c r="P967" s="326"/>
      <c r="Q967" s="326"/>
      <c r="R967" s="326"/>
      <c r="S967" s="326"/>
      <c r="T967" s="326"/>
      <c r="U967" s="326"/>
      <c r="V967" s="326"/>
      <c r="W967" s="326"/>
      <c r="X967" s="326"/>
      <c r="Y967" s="326"/>
      <c r="Z967" s="326"/>
      <c r="AA967" s="326"/>
      <c r="AB967" s="326"/>
      <c r="AC967" s="326"/>
      <c r="AD967" s="326"/>
    </row>
    <row r="968">
      <c r="A968" s="326"/>
      <c r="B968" s="326"/>
      <c r="C968" s="326"/>
      <c r="D968" s="326"/>
      <c r="E968" s="326"/>
      <c r="F968" s="326"/>
      <c r="G968" s="326"/>
      <c r="H968" s="326"/>
      <c r="I968" s="326"/>
      <c r="J968" s="326"/>
      <c r="K968" s="326"/>
      <c r="L968" s="326"/>
      <c r="M968" s="326"/>
      <c r="N968" s="326"/>
      <c r="O968" s="326"/>
      <c r="P968" s="326"/>
      <c r="Q968" s="326"/>
      <c r="R968" s="326"/>
      <c r="S968" s="326"/>
      <c r="T968" s="326"/>
      <c r="U968" s="326"/>
      <c r="V968" s="326"/>
      <c r="W968" s="326"/>
      <c r="X968" s="326"/>
      <c r="Y968" s="326"/>
      <c r="Z968" s="326"/>
      <c r="AA968" s="326"/>
      <c r="AB968" s="326"/>
      <c r="AC968" s="326"/>
      <c r="AD968" s="326"/>
    </row>
    <row r="969">
      <c r="A969" s="326"/>
      <c r="B969" s="326"/>
      <c r="C969" s="326"/>
      <c r="D969" s="326"/>
      <c r="E969" s="326"/>
      <c r="F969" s="326"/>
      <c r="G969" s="326"/>
      <c r="H969" s="326"/>
      <c r="I969" s="326"/>
      <c r="J969" s="326"/>
      <c r="K969" s="326"/>
      <c r="L969" s="326"/>
      <c r="M969" s="326"/>
      <c r="N969" s="326"/>
      <c r="O969" s="326"/>
      <c r="P969" s="326"/>
      <c r="Q969" s="326"/>
      <c r="R969" s="326"/>
      <c r="S969" s="326"/>
      <c r="T969" s="326"/>
      <c r="U969" s="326"/>
      <c r="V969" s="326"/>
      <c r="W969" s="326"/>
      <c r="X969" s="326"/>
      <c r="Y969" s="326"/>
      <c r="Z969" s="326"/>
      <c r="AA969" s="326"/>
      <c r="AB969" s="326"/>
      <c r="AC969" s="326"/>
      <c r="AD969" s="326"/>
    </row>
    <row r="970">
      <c r="A970" s="326"/>
      <c r="B970" s="326"/>
      <c r="C970" s="326"/>
      <c r="D970" s="326"/>
      <c r="E970" s="326"/>
      <c r="F970" s="326"/>
      <c r="G970" s="326"/>
      <c r="H970" s="326"/>
      <c r="I970" s="326"/>
      <c r="J970" s="326"/>
      <c r="K970" s="326"/>
      <c r="L970" s="326"/>
      <c r="M970" s="326"/>
      <c r="N970" s="326"/>
      <c r="O970" s="326"/>
      <c r="P970" s="326"/>
      <c r="Q970" s="326"/>
      <c r="R970" s="326"/>
      <c r="S970" s="326"/>
      <c r="T970" s="326"/>
      <c r="U970" s="326"/>
      <c r="V970" s="326"/>
      <c r="W970" s="326"/>
      <c r="X970" s="326"/>
      <c r="Y970" s="326"/>
      <c r="Z970" s="326"/>
      <c r="AA970" s="326"/>
      <c r="AB970" s="326"/>
      <c r="AC970" s="326"/>
      <c r="AD970" s="326"/>
    </row>
    <row r="971">
      <c r="A971" s="326"/>
      <c r="B971" s="326"/>
      <c r="C971" s="326"/>
      <c r="D971" s="326"/>
      <c r="E971" s="326"/>
      <c r="F971" s="326"/>
      <c r="G971" s="326"/>
      <c r="H971" s="326"/>
      <c r="I971" s="326"/>
      <c r="J971" s="326"/>
      <c r="K971" s="326"/>
      <c r="L971" s="326"/>
      <c r="M971" s="326"/>
      <c r="N971" s="326"/>
      <c r="O971" s="326"/>
      <c r="P971" s="326"/>
      <c r="Q971" s="326"/>
      <c r="R971" s="326"/>
      <c r="S971" s="326"/>
      <c r="T971" s="326"/>
      <c r="U971" s="326"/>
      <c r="V971" s="326"/>
      <c r="W971" s="326"/>
      <c r="X971" s="326"/>
      <c r="Y971" s="326"/>
      <c r="Z971" s="326"/>
      <c r="AA971" s="326"/>
      <c r="AB971" s="326"/>
      <c r="AC971" s="326"/>
      <c r="AD971" s="326"/>
    </row>
    <row r="972">
      <c r="A972" s="326"/>
      <c r="B972" s="326"/>
      <c r="C972" s="326"/>
      <c r="D972" s="326"/>
      <c r="E972" s="326"/>
      <c r="F972" s="326"/>
      <c r="G972" s="326"/>
      <c r="H972" s="326"/>
      <c r="I972" s="326"/>
      <c r="J972" s="326"/>
      <c r="K972" s="326"/>
      <c r="L972" s="326"/>
      <c r="M972" s="326"/>
      <c r="N972" s="326"/>
      <c r="O972" s="326"/>
      <c r="P972" s="326"/>
      <c r="Q972" s="326"/>
      <c r="R972" s="326"/>
      <c r="S972" s="326"/>
      <c r="T972" s="326"/>
      <c r="U972" s="326"/>
      <c r="V972" s="326"/>
      <c r="W972" s="326"/>
      <c r="X972" s="326"/>
      <c r="Y972" s="326"/>
      <c r="Z972" s="326"/>
      <c r="AA972" s="326"/>
      <c r="AB972" s="326"/>
      <c r="AC972" s="326"/>
      <c r="AD972" s="326"/>
    </row>
    <row r="973">
      <c r="A973" s="326"/>
      <c r="B973" s="326"/>
      <c r="C973" s="326"/>
      <c r="D973" s="326"/>
      <c r="E973" s="326"/>
      <c r="F973" s="326"/>
      <c r="G973" s="326"/>
      <c r="H973" s="326"/>
      <c r="I973" s="326"/>
      <c r="J973" s="326"/>
      <c r="K973" s="326"/>
      <c r="L973" s="326"/>
      <c r="M973" s="326"/>
      <c r="N973" s="326"/>
      <c r="O973" s="326"/>
      <c r="P973" s="326"/>
      <c r="Q973" s="326"/>
      <c r="R973" s="326"/>
      <c r="S973" s="326"/>
      <c r="T973" s="326"/>
      <c r="U973" s="326"/>
      <c r="V973" s="326"/>
      <c r="W973" s="326"/>
      <c r="X973" s="326"/>
      <c r="Y973" s="326"/>
      <c r="Z973" s="326"/>
      <c r="AA973" s="326"/>
      <c r="AB973" s="326"/>
      <c r="AC973" s="326"/>
      <c r="AD973" s="326"/>
    </row>
    <row r="974">
      <c r="A974" s="326"/>
      <c r="B974" s="326"/>
      <c r="C974" s="326"/>
      <c r="D974" s="326"/>
      <c r="E974" s="326"/>
      <c r="F974" s="326"/>
      <c r="G974" s="326"/>
      <c r="H974" s="326"/>
      <c r="I974" s="326"/>
      <c r="J974" s="326"/>
      <c r="K974" s="326"/>
      <c r="L974" s="326"/>
      <c r="M974" s="326"/>
      <c r="N974" s="326"/>
      <c r="O974" s="326"/>
      <c r="P974" s="326"/>
      <c r="Q974" s="326"/>
      <c r="R974" s="326"/>
      <c r="S974" s="326"/>
      <c r="T974" s="326"/>
      <c r="U974" s="326"/>
      <c r="V974" s="326"/>
      <c r="W974" s="326"/>
      <c r="X974" s="326"/>
      <c r="Y974" s="326"/>
      <c r="Z974" s="326"/>
      <c r="AA974" s="326"/>
      <c r="AB974" s="326"/>
      <c r="AC974" s="326"/>
      <c r="AD974" s="326"/>
    </row>
    <row r="975">
      <c r="A975" s="326"/>
      <c r="B975" s="326"/>
      <c r="C975" s="326"/>
      <c r="D975" s="326"/>
      <c r="E975" s="326"/>
      <c r="F975" s="326"/>
      <c r="G975" s="326"/>
      <c r="H975" s="326"/>
      <c r="I975" s="326"/>
      <c r="J975" s="326"/>
      <c r="K975" s="326"/>
      <c r="L975" s="326"/>
      <c r="M975" s="326"/>
      <c r="N975" s="326"/>
      <c r="O975" s="326"/>
      <c r="P975" s="326"/>
      <c r="Q975" s="326"/>
      <c r="R975" s="326"/>
      <c r="S975" s="326"/>
      <c r="T975" s="326"/>
      <c r="U975" s="326"/>
      <c r="V975" s="326"/>
      <c r="W975" s="326"/>
      <c r="X975" s="326"/>
      <c r="Y975" s="326"/>
      <c r="Z975" s="326"/>
      <c r="AA975" s="326"/>
      <c r="AB975" s="326"/>
      <c r="AC975" s="326"/>
      <c r="AD975" s="326"/>
    </row>
    <row r="976">
      <c r="A976" s="326"/>
      <c r="B976" s="326"/>
      <c r="C976" s="326"/>
      <c r="D976" s="326"/>
      <c r="E976" s="326"/>
      <c r="F976" s="326"/>
      <c r="G976" s="326"/>
      <c r="H976" s="326"/>
      <c r="I976" s="326"/>
      <c r="J976" s="326"/>
      <c r="K976" s="326"/>
      <c r="L976" s="326"/>
      <c r="M976" s="326"/>
      <c r="N976" s="326"/>
      <c r="O976" s="326"/>
      <c r="P976" s="326"/>
      <c r="Q976" s="326"/>
      <c r="R976" s="326"/>
      <c r="S976" s="326"/>
      <c r="T976" s="326"/>
      <c r="U976" s="326"/>
      <c r="V976" s="326"/>
      <c r="W976" s="326"/>
      <c r="X976" s="326"/>
      <c r="Y976" s="326"/>
      <c r="Z976" s="326"/>
      <c r="AA976" s="326"/>
      <c r="AB976" s="326"/>
      <c r="AC976" s="326"/>
      <c r="AD976" s="326"/>
    </row>
    <row r="977">
      <c r="A977" s="326"/>
      <c r="B977" s="326"/>
      <c r="C977" s="326"/>
      <c r="D977" s="326"/>
      <c r="E977" s="326"/>
      <c r="F977" s="326"/>
      <c r="G977" s="326"/>
      <c r="H977" s="326"/>
      <c r="I977" s="326"/>
      <c r="J977" s="326"/>
      <c r="K977" s="326"/>
      <c r="L977" s="326"/>
      <c r="M977" s="326"/>
      <c r="N977" s="326"/>
      <c r="O977" s="326"/>
      <c r="P977" s="326"/>
      <c r="Q977" s="326"/>
      <c r="R977" s="326"/>
      <c r="S977" s="326"/>
      <c r="T977" s="326"/>
      <c r="U977" s="326"/>
      <c r="V977" s="326"/>
      <c r="W977" s="326"/>
      <c r="X977" s="326"/>
      <c r="Y977" s="326"/>
      <c r="Z977" s="326"/>
      <c r="AA977" s="326"/>
      <c r="AB977" s="326"/>
      <c r="AC977" s="326"/>
      <c r="AD977" s="326"/>
    </row>
    <row r="978">
      <c r="A978" s="326"/>
      <c r="B978" s="326"/>
      <c r="C978" s="326"/>
      <c r="D978" s="326"/>
      <c r="E978" s="326"/>
      <c r="F978" s="326"/>
      <c r="G978" s="326"/>
      <c r="H978" s="326"/>
      <c r="I978" s="326"/>
      <c r="J978" s="326"/>
      <c r="K978" s="326"/>
      <c r="L978" s="326"/>
      <c r="M978" s="326"/>
      <c r="N978" s="326"/>
      <c r="O978" s="326"/>
      <c r="P978" s="326"/>
      <c r="Q978" s="326"/>
      <c r="R978" s="326"/>
      <c r="S978" s="326"/>
      <c r="T978" s="326"/>
      <c r="U978" s="326"/>
      <c r="V978" s="326"/>
      <c r="W978" s="326"/>
      <c r="X978" s="326"/>
      <c r="Y978" s="326"/>
      <c r="Z978" s="326"/>
      <c r="AA978" s="326"/>
      <c r="AB978" s="326"/>
      <c r="AC978" s="326"/>
      <c r="AD978" s="326"/>
    </row>
    <row r="979">
      <c r="A979" s="326"/>
      <c r="B979" s="326"/>
      <c r="C979" s="326"/>
      <c r="D979" s="326"/>
      <c r="E979" s="326"/>
      <c r="F979" s="326"/>
      <c r="G979" s="326"/>
      <c r="H979" s="326"/>
      <c r="I979" s="326"/>
      <c r="J979" s="326"/>
      <c r="K979" s="326"/>
      <c r="L979" s="326"/>
      <c r="M979" s="326"/>
      <c r="N979" s="326"/>
      <c r="O979" s="326"/>
      <c r="P979" s="326"/>
      <c r="Q979" s="326"/>
      <c r="R979" s="326"/>
      <c r="S979" s="326"/>
      <c r="T979" s="326"/>
      <c r="U979" s="326"/>
      <c r="V979" s="326"/>
      <c r="W979" s="326"/>
      <c r="X979" s="326"/>
      <c r="Y979" s="326"/>
      <c r="Z979" s="326"/>
      <c r="AA979" s="326"/>
      <c r="AB979" s="326"/>
      <c r="AC979" s="326"/>
      <c r="AD979" s="326"/>
    </row>
    <row r="980">
      <c r="A980" s="326"/>
      <c r="B980" s="326"/>
      <c r="C980" s="326"/>
      <c r="D980" s="326"/>
      <c r="E980" s="326"/>
      <c r="F980" s="326"/>
      <c r="G980" s="326"/>
      <c r="H980" s="326"/>
      <c r="I980" s="326"/>
      <c r="J980" s="326"/>
      <c r="K980" s="326"/>
      <c r="L980" s="326"/>
      <c r="M980" s="326"/>
      <c r="N980" s="326"/>
      <c r="O980" s="326"/>
      <c r="P980" s="326"/>
      <c r="Q980" s="326"/>
      <c r="R980" s="326"/>
      <c r="S980" s="326"/>
      <c r="T980" s="326"/>
      <c r="U980" s="326"/>
      <c r="V980" s="326"/>
      <c r="W980" s="326"/>
      <c r="X980" s="326"/>
      <c r="Y980" s="326"/>
      <c r="Z980" s="326"/>
      <c r="AA980" s="326"/>
      <c r="AB980" s="326"/>
      <c r="AC980" s="326"/>
      <c r="AD980" s="326"/>
    </row>
    <row r="981">
      <c r="A981" s="326"/>
      <c r="B981" s="326"/>
      <c r="C981" s="326"/>
      <c r="D981" s="326"/>
      <c r="E981" s="326"/>
      <c r="F981" s="326"/>
      <c r="G981" s="326"/>
      <c r="H981" s="326"/>
      <c r="I981" s="326"/>
      <c r="J981" s="326"/>
      <c r="K981" s="326"/>
      <c r="L981" s="326"/>
      <c r="M981" s="326"/>
      <c r="N981" s="326"/>
      <c r="O981" s="326"/>
      <c r="P981" s="326"/>
      <c r="Q981" s="326"/>
      <c r="R981" s="326"/>
      <c r="S981" s="326"/>
      <c r="T981" s="326"/>
      <c r="U981" s="326"/>
      <c r="V981" s="326"/>
      <c r="W981" s="326"/>
      <c r="X981" s="326"/>
      <c r="Y981" s="326"/>
      <c r="Z981" s="326"/>
      <c r="AA981" s="326"/>
      <c r="AB981" s="326"/>
      <c r="AC981" s="326"/>
      <c r="AD981" s="326"/>
    </row>
    <row r="982">
      <c r="A982" s="326"/>
      <c r="B982" s="326"/>
      <c r="C982" s="326"/>
      <c r="D982" s="326"/>
      <c r="E982" s="326"/>
      <c r="F982" s="326"/>
      <c r="G982" s="326"/>
      <c r="H982" s="326"/>
      <c r="I982" s="326"/>
      <c r="J982" s="326"/>
      <c r="K982" s="326"/>
      <c r="L982" s="326"/>
      <c r="M982" s="326"/>
      <c r="N982" s="326"/>
      <c r="O982" s="326"/>
      <c r="P982" s="326"/>
      <c r="Q982" s="326"/>
      <c r="R982" s="326"/>
      <c r="S982" s="326"/>
      <c r="T982" s="326"/>
      <c r="U982" s="326"/>
      <c r="V982" s="326"/>
      <c r="W982" s="326"/>
      <c r="X982" s="326"/>
      <c r="Y982" s="326"/>
      <c r="Z982" s="326"/>
      <c r="AA982" s="326"/>
      <c r="AB982" s="326"/>
      <c r="AC982" s="326"/>
      <c r="AD982" s="326"/>
    </row>
    <row r="983">
      <c r="A983" s="326"/>
      <c r="B983" s="326"/>
      <c r="C983" s="326"/>
      <c r="D983" s="326"/>
      <c r="E983" s="326"/>
      <c r="F983" s="326"/>
      <c r="G983" s="326"/>
      <c r="H983" s="326"/>
      <c r="I983" s="326"/>
      <c r="J983" s="326"/>
      <c r="K983" s="326"/>
      <c r="L983" s="326"/>
      <c r="M983" s="326"/>
      <c r="N983" s="326"/>
      <c r="O983" s="326"/>
      <c r="P983" s="326"/>
      <c r="Q983" s="326"/>
      <c r="R983" s="326"/>
      <c r="S983" s="326"/>
      <c r="T983" s="326"/>
      <c r="U983" s="326"/>
      <c r="V983" s="326"/>
      <c r="W983" s="326"/>
      <c r="X983" s="326"/>
      <c r="Y983" s="326"/>
      <c r="Z983" s="326"/>
      <c r="AA983" s="326"/>
      <c r="AB983" s="326"/>
      <c r="AC983" s="326"/>
      <c r="AD983" s="326"/>
    </row>
    <row r="984">
      <c r="A984" s="326"/>
      <c r="B984" s="326"/>
      <c r="C984" s="326"/>
      <c r="D984" s="326"/>
      <c r="E984" s="326"/>
      <c r="F984" s="326"/>
      <c r="G984" s="326"/>
      <c r="H984" s="326"/>
      <c r="I984" s="326"/>
      <c r="J984" s="326"/>
      <c r="K984" s="326"/>
      <c r="L984" s="326"/>
      <c r="M984" s="326"/>
      <c r="N984" s="326"/>
      <c r="O984" s="326"/>
      <c r="P984" s="326"/>
      <c r="Q984" s="326"/>
      <c r="R984" s="326"/>
      <c r="S984" s="326"/>
      <c r="T984" s="326"/>
      <c r="U984" s="326"/>
      <c r="V984" s="326"/>
      <c r="W984" s="326"/>
      <c r="X984" s="326"/>
      <c r="Y984" s="326"/>
      <c r="Z984" s="326"/>
      <c r="AA984" s="326"/>
      <c r="AB984" s="326"/>
      <c r="AC984" s="326"/>
      <c r="AD984" s="326"/>
    </row>
    <row r="985">
      <c r="A985" s="326"/>
      <c r="B985" s="326"/>
      <c r="C985" s="326"/>
      <c r="D985" s="326"/>
      <c r="E985" s="326"/>
      <c r="F985" s="326"/>
      <c r="G985" s="326"/>
      <c r="H985" s="326"/>
      <c r="I985" s="326"/>
      <c r="J985" s="326"/>
      <c r="K985" s="326"/>
      <c r="L985" s="326"/>
      <c r="M985" s="326"/>
      <c r="N985" s="326"/>
      <c r="O985" s="326"/>
      <c r="P985" s="326"/>
      <c r="Q985" s="326"/>
      <c r="R985" s="326"/>
      <c r="S985" s="326"/>
      <c r="T985" s="326"/>
      <c r="U985" s="326"/>
      <c r="V985" s="326"/>
      <c r="W985" s="326"/>
      <c r="X985" s="326"/>
      <c r="Y985" s="326"/>
      <c r="Z985" s="326"/>
      <c r="AA985" s="326"/>
      <c r="AB985" s="326"/>
      <c r="AC985" s="326"/>
      <c r="AD985" s="326"/>
    </row>
    <row r="986">
      <c r="A986" s="326"/>
      <c r="B986" s="326"/>
      <c r="C986" s="326"/>
      <c r="D986" s="326"/>
      <c r="E986" s="326"/>
      <c r="F986" s="326"/>
      <c r="G986" s="326"/>
      <c r="H986" s="326"/>
      <c r="I986" s="326"/>
      <c r="J986" s="326"/>
      <c r="K986" s="326"/>
      <c r="L986" s="326"/>
      <c r="M986" s="326"/>
      <c r="N986" s="326"/>
      <c r="O986" s="326"/>
      <c r="P986" s="326"/>
      <c r="Q986" s="326"/>
      <c r="R986" s="326"/>
      <c r="S986" s="326"/>
      <c r="T986" s="326"/>
      <c r="U986" s="326"/>
      <c r="V986" s="326"/>
      <c r="W986" s="326"/>
      <c r="X986" s="326"/>
      <c r="Y986" s="326"/>
      <c r="Z986" s="326"/>
      <c r="AA986" s="326"/>
      <c r="AB986" s="326"/>
      <c r="AC986" s="326"/>
      <c r="AD986" s="326"/>
    </row>
    <row r="987">
      <c r="A987" s="326"/>
      <c r="B987" s="326"/>
      <c r="C987" s="326"/>
      <c r="D987" s="326"/>
      <c r="E987" s="326"/>
      <c r="F987" s="326"/>
      <c r="G987" s="326"/>
      <c r="H987" s="326"/>
      <c r="I987" s="326"/>
      <c r="J987" s="326"/>
      <c r="K987" s="326"/>
      <c r="L987" s="326"/>
      <c r="M987" s="326"/>
      <c r="N987" s="326"/>
      <c r="O987" s="326"/>
      <c r="P987" s="326"/>
      <c r="Q987" s="326"/>
      <c r="R987" s="326"/>
      <c r="S987" s="326"/>
      <c r="T987" s="326"/>
      <c r="U987" s="326"/>
      <c r="V987" s="326"/>
      <c r="W987" s="326"/>
      <c r="X987" s="326"/>
      <c r="Y987" s="326"/>
      <c r="Z987" s="326"/>
      <c r="AA987" s="326"/>
      <c r="AB987" s="326"/>
      <c r="AC987" s="326"/>
      <c r="AD987" s="326"/>
    </row>
    <row r="988">
      <c r="A988" s="326"/>
      <c r="B988" s="326"/>
      <c r="C988" s="326"/>
      <c r="D988" s="326"/>
      <c r="E988" s="326"/>
      <c r="F988" s="326"/>
      <c r="G988" s="326"/>
      <c r="H988" s="326"/>
      <c r="I988" s="326"/>
      <c r="J988" s="326"/>
      <c r="K988" s="326"/>
      <c r="L988" s="326"/>
      <c r="M988" s="326"/>
      <c r="N988" s="326"/>
      <c r="O988" s="326"/>
      <c r="P988" s="326"/>
      <c r="Q988" s="326"/>
      <c r="R988" s="326"/>
      <c r="S988" s="326"/>
      <c r="T988" s="326"/>
      <c r="U988" s="326"/>
      <c r="V988" s="326"/>
      <c r="W988" s="326"/>
      <c r="X988" s="326"/>
      <c r="Y988" s="326"/>
      <c r="Z988" s="326"/>
      <c r="AA988" s="326"/>
      <c r="AB988" s="326"/>
      <c r="AC988" s="326"/>
      <c r="AD988" s="326"/>
    </row>
    <row r="989">
      <c r="A989" s="326"/>
      <c r="B989" s="326"/>
      <c r="C989" s="326"/>
      <c r="D989" s="326"/>
      <c r="E989" s="326"/>
      <c r="F989" s="326"/>
      <c r="G989" s="326"/>
      <c r="H989" s="326"/>
      <c r="I989" s="326"/>
      <c r="J989" s="326"/>
      <c r="K989" s="326"/>
      <c r="L989" s="326"/>
      <c r="M989" s="326"/>
      <c r="N989" s="326"/>
      <c r="O989" s="326"/>
      <c r="P989" s="326"/>
      <c r="Q989" s="326"/>
      <c r="R989" s="326"/>
      <c r="S989" s="326"/>
      <c r="T989" s="326"/>
      <c r="U989" s="326"/>
      <c r="V989" s="326"/>
      <c r="W989" s="326"/>
      <c r="X989" s="326"/>
      <c r="Y989" s="326"/>
      <c r="Z989" s="326"/>
      <c r="AA989" s="326"/>
      <c r="AB989" s="326"/>
      <c r="AC989" s="326"/>
      <c r="AD989" s="326"/>
    </row>
    <row r="990">
      <c r="A990" s="326"/>
      <c r="B990" s="326"/>
      <c r="C990" s="326"/>
      <c r="D990" s="326"/>
      <c r="E990" s="326"/>
      <c r="F990" s="326"/>
      <c r="G990" s="326"/>
      <c r="H990" s="326"/>
      <c r="I990" s="326"/>
      <c r="J990" s="326"/>
      <c r="K990" s="326"/>
      <c r="L990" s="326"/>
      <c r="M990" s="326"/>
      <c r="N990" s="326"/>
      <c r="O990" s="326"/>
      <c r="P990" s="326"/>
      <c r="Q990" s="326"/>
      <c r="R990" s="326"/>
      <c r="S990" s="326"/>
      <c r="T990" s="326"/>
      <c r="U990" s="326"/>
      <c r="V990" s="326"/>
      <c r="W990" s="326"/>
      <c r="X990" s="326"/>
      <c r="Y990" s="326"/>
      <c r="Z990" s="326"/>
      <c r="AA990" s="326"/>
      <c r="AB990" s="326"/>
      <c r="AC990" s="326"/>
      <c r="AD990" s="326"/>
    </row>
    <row r="991">
      <c r="A991" s="326"/>
      <c r="B991" s="326"/>
      <c r="C991" s="326"/>
      <c r="D991" s="326"/>
      <c r="E991" s="326"/>
      <c r="F991" s="326"/>
      <c r="G991" s="326"/>
      <c r="H991" s="326"/>
      <c r="I991" s="326"/>
      <c r="J991" s="326"/>
      <c r="K991" s="326"/>
      <c r="L991" s="326"/>
      <c r="M991" s="326"/>
      <c r="N991" s="326"/>
      <c r="O991" s="326"/>
      <c r="P991" s="326"/>
      <c r="Q991" s="326"/>
      <c r="R991" s="326"/>
      <c r="S991" s="326"/>
      <c r="T991" s="326"/>
      <c r="U991" s="326"/>
      <c r="V991" s="326"/>
      <c r="W991" s="326"/>
      <c r="X991" s="326"/>
      <c r="Y991" s="326"/>
      <c r="Z991" s="326"/>
      <c r="AA991" s="326"/>
      <c r="AB991" s="326"/>
      <c r="AC991" s="326"/>
      <c r="AD991" s="326"/>
    </row>
    <row r="992">
      <c r="A992" s="326"/>
      <c r="B992" s="326"/>
      <c r="C992" s="326"/>
      <c r="D992" s="326"/>
      <c r="E992" s="326"/>
      <c r="F992" s="326"/>
      <c r="G992" s="326"/>
      <c r="H992" s="326"/>
      <c r="I992" s="326"/>
      <c r="J992" s="326"/>
      <c r="K992" s="326"/>
      <c r="L992" s="326"/>
      <c r="M992" s="326"/>
      <c r="N992" s="326"/>
      <c r="O992" s="326"/>
      <c r="P992" s="326"/>
      <c r="Q992" s="326"/>
      <c r="R992" s="326"/>
      <c r="S992" s="326"/>
      <c r="T992" s="326"/>
      <c r="U992" s="326"/>
      <c r="V992" s="326"/>
      <c r="W992" s="326"/>
      <c r="X992" s="326"/>
      <c r="Y992" s="326"/>
      <c r="Z992" s="326"/>
      <c r="AA992" s="326"/>
      <c r="AB992" s="326"/>
      <c r="AC992" s="326"/>
      <c r="AD992" s="326"/>
    </row>
    <row r="993">
      <c r="A993" s="326"/>
      <c r="B993" s="326"/>
      <c r="C993" s="326"/>
      <c r="D993" s="326"/>
      <c r="E993" s="326"/>
      <c r="F993" s="326"/>
      <c r="G993" s="326"/>
      <c r="H993" s="326"/>
      <c r="I993" s="326"/>
      <c r="J993" s="326"/>
      <c r="K993" s="326"/>
      <c r="L993" s="326"/>
      <c r="M993" s="326"/>
      <c r="N993" s="326"/>
      <c r="O993" s="326"/>
      <c r="P993" s="326"/>
      <c r="Q993" s="326"/>
      <c r="R993" s="326"/>
      <c r="S993" s="326"/>
      <c r="T993" s="326"/>
      <c r="U993" s="326"/>
      <c r="V993" s="326"/>
      <c r="W993" s="326"/>
      <c r="X993" s="326"/>
      <c r="Y993" s="326"/>
      <c r="Z993" s="326"/>
      <c r="AA993" s="326"/>
      <c r="AB993" s="326"/>
      <c r="AC993" s="326"/>
      <c r="AD993" s="326"/>
    </row>
    <row r="994">
      <c r="A994" s="326"/>
      <c r="B994" s="326"/>
      <c r="C994" s="326"/>
      <c r="D994" s="326"/>
      <c r="E994" s="326"/>
      <c r="F994" s="326"/>
      <c r="G994" s="326"/>
      <c r="H994" s="326"/>
      <c r="I994" s="326"/>
      <c r="J994" s="326"/>
      <c r="K994" s="326"/>
      <c r="L994" s="326"/>
      <c r="M994" s="326"/>
      <c r="N994" s="326"/>
      <c r="O994" s="326"/>
      <c r="P994" s="326"/>
      <c r="Q994" s="326"/>
      <c r="R994" s="326"/>
      <c r="S994" s="326"/>
      <c r="T994" s="326"/>
      <c r="U994" s="326"/>
      <c r="V994" s="326"/>
      <c r="W994" s="326"/>
      <c r="X994" s="326"/>
      <c r="Y994" s="326"/>
      <c r="Z994" s="326"/>
      <c r="AA994" s="326"/>
      <c r="AB994" s="326"/>
      <c r="AC994" s="326"/>
      <c r="AD994" s="326"/>
    </row>
    <row r="995">
      <c r="A995" s="326"/>
      <c r="B995" s="326"/>
      <c r="C995" s="326"/>
      <c r="D995" s="326"/>
      <c r="E995" s="326"/>
      <c r="F995" s="326"/>
      <c r="G995" s="326"/>
      <c r="H995" s="326"/>
      <c r="I995" s="326"/>
      <c r="J995" s="326"/>
      <c r="K995" s="326"/>
      <c r="L995" s="326"/>
      <c r="M995" s="326"/>
      <c r="N995" s="326"/>
      <c r="O995" s="326"/>
      <c r="P995" s="326"/>
      <c r="Q995" s="326"/>
      <c r="R995" s="326"/>
      <c r="S995" s="326"/>
      <c r="T995" s="326"/>
      <c r="U995" s="326"/>
      <c r="V995" s="326"/>
      <c r="W995" s="326"/>
      <c r="X995" s="326"/>
      <c r="Y995" s="326"/>
      <c r="Z995" s="326"/>
      <c r="AA995" s="326"/>
      <c r="AB995" s="326"/>
      <c r="AC995" s="326"/>
      <c r="AD995" s="326"/>
    </row>
    <row r="996">
      <c r="A996" s="326"/>
      <c r="B996" s="326"/>
      <c r="C996" s="326"/>
      <c r="D996" s="326"/>
      <c r="E996" s="326"/>
      <c r="F996" s="326"/>
      <c r="G996" s="326"/>
      <c r="H996" s="326"/>
      <c r="I996" s="326"/>
      <c r="J996" s="326"/>
      <c r="K996" s="326"/>
      <c r="L996" s="326"/>
      <c r="M996" s="326"/>
      <c r="N996" s="326"/>
      <c r="O996" s="326"/>
      <c r="P996" s="326"/>
      <c r="Q996" s="326"/>
      <c r="R996" s="326"/>
      <c r="S996" s="326"/>
      <c r="T996" s="326"/>
      <c r="U996" s="326"/>
      <c r="V996" s="326"/>
      <c r="W996" s="326"/>
      <c r="X996" s="326"/>
      <c r="Y996" s="326"/>
      <c r="Z996" s="326"/>
      <c r="AA996" s="326"/>
      <c r="AB996" s="326"/>
      <c r="AC996" s="326"/>
      <c r="AD996" s="326"/>
    </row>
    <row r="997">
      <c r="A997" s="326"/>
      <c r="B997" s="326"/>
      <c r="C997" s="326"/>
      <c r="D997" s="326"/>
      <c r="E997" s="326"/>
      <c r="F997" s="326"/>
      <c r="G997" s="326"/>
      <c r="H997" s="326"/>
      <c r="I997" s="326"/>
      <c r="J997" s="326"/>
      <c r="K997" s="326"/>
      <c r="L997" s="326"/>
      <c r="M997" s="326"/>
      <c r="N997" s="326"/>
      <c r="O997" s="326"/>
      <c r="P997" s="326"/>
      <c r="Q997" s="326"/>
      <c r="R997" s="326"/>
      <c r="S997" s="326"/>
      <c r="T997" s="326"/>
      <c r="U997" s="326"/>
      <c r="V997" s="326"/>
      <c r="W997" s="326"/>
      <c r="X997" s="326"/>
      <c r="Y997" s="326"/>
      <c r="Z997" s="326"/>
      <c r="AA997" s="326"/>
      <c r="AB997" s="326"/>
      <c r="AC997" s="326"/>
      <c r="AD997" s="326"/>
    </row>
    <row r="998">
      <c r="A998" s="326"/>
      <c r="B998" s="326"/>
      <c r="C998" s="326"/>
      <c r="D998" s="326"/>
      <c r="E998" s="326"/>
      <c r="F998" s="326"/>
      <c r="G998" s="326"/>
      <c r="H998" s="326"/>
      <c r="I998" s="326"/>
      <c r="J998" s="326"/>
      <c r="K998" s="326"/>
      <c r="L998" s="326"/>
      <c r="M998" s="326"/>
      <c r="N998" s="326"/>
      <c r="O998" s="326"/>
      <c r="P998" s="326"/>
      <c r="Q998" s="326"/>
      <c r="R998" s="326"/>
      <c r="S998" s="326"/>
      <c r="T998" s="326"/>
      <c r="U998" s="326"/>
      <c r="V998" s="326"/>
      <c r="W998" s="326"/>
      <c r="X998" s="326"/>
      <c r="Y998" s="326"/>
      <c r="Z998" s="326"/>
      <c r="AA998" s="326"/>
      <c r="AB998" s="326"/>
      <c r="AC998" s="326"/>
      <c r="AD998" s="326"/>
    </row>
    <row r="999">
      <c r="A999" s="326"/>
      <c r="B999" s="326"/>
      <c r="C999" s="326"/>
      <c r="D999" s="326"/>
      <c r="E999" s="326"/>
      <c r="F999" s="326"/>
      <c r="G999" s="326"/>
      <c r="H999" s="326"/>
      <c r="I999" s="326"/>
      <c r="J999" s="326"/>
      <c r="K999" s="326"/>
      <c r="L999" s="326"/>
      <c r="M999" s="326"/>
      <c r="N999" s="326"/>
      <c r="O999" s="326"/>
      <c r="P999" s="326"/>
      <c r="Q999" s="326"/>
      <c r="R999" s="326"/>
      <c r="S999" s="326"/>
      <c r="T999" s="326"/>
      <c r="U999" s="326"/>
      <c r="V999" s="326"/>
      <c r="W999" s="326"/>
      <c r="X999" s="326"/>
      <c r="Y999" s="326"/>
      <c r="Z999" s="326"/>
      <c r="AA999" s="326"/>
      <c r="AB999" s="326"/>
      <c r="AC999" s="326"/>
      <c r="AD999" s="326"/>
    </row>
    <row r="1000">
      <c r="A1000" s="326"/>
      <c r="B1000" s="326"/>
      <c r="C1000" s="326"/>
      <c r="D1000" s="326"/>
      <c r="E1000" s="326"/>
      <c r="F1000" s="326"/>
      <c r="G1000" s="326"/>
      <c r="H1000" s="326"/>
      <c r="I1000" s="326"/>
      <c r="J1000" s="326"/>
      <c r="K1000" s="326"/>
      <c r="L1000" s="326"/>
      <c r="M1000" s="326"/>
      <c r="N1000" s="326"/>
      <c r="O1000" s="326"/>
      <c r="P1000" s="326"/>
      <c r="Q1000" s="326"/>
      <c r="R1000" s="326"/>
      <c r="S1000" s="326"/>
      <c r="T1000" s="326"/>
      <c r="U1000" s="326"/>
      <c r="V1000" s="326"/>
      <c r="W1000" s="326"/>
      <c r="X1000" s="326"/>
      <c r="Y1000" s="326"/>
      <c r="Z1000" s="326"/>
      <c r="AA1000" s="326"/>
      <c r="AB1000" s="326"/>
      <c r="AC1000" s="326"/>
      <c r="AD1000" s="326"/>
    </row>
  </sheetData>
  <autoFilter ref="$A$1:$F$104">
    <filterColumn colId="4">
      <filters>
        <filter val="47%"/>
        <filter val="35%"/>
        <filter val="23%"/>
        <filter val="11%"/>
        <filter val="55%"/>
        <filter val="43%"/>
        <filter val="31%"/>
        <filter val="51%"/>
        <filter val="83%"/>
        <filter val="71%"/>
        <filter val="28%"/>
        <filter val="16%"/>
        <filter val="48%"/>
        <filter val="36%"/>
        <filter val="24%"/>
        <filter val="68%"/>
        <filter val="44%"/>
        <filter val="32%"/>
        <filter val="64%"/>
        <filter val="20%"/>
        <filter val="52%"/>
        <filter val="40%"/>
        <filter val="29%"/>
        <filter val="49%"/>
        <filter val="37%"/>
        <filter val="69%"/>
        <filter val="25%"/>
        <filter val="57%"/>
        <filter val="13%"/>
        <filter val="45%"/>
        <filter val="33%"/>
        <filter val="53%"/>
        <filter val="41%"/>
        <filter val="18%"/>
        <filter val="26%"/>
        <filter val="58%"/>
        <filter val="14%"/>
        <filter val="46%"/>
        <filter val="34%"/>
        <filter val="22%"/>
        <filter val="10%"/>
        <filter val="42%"/>
        <filter val="50%"/>
        <filter val="70%"/>
        <filter val="8%"/>
        <filter val="19%"/>
        <filter val="39%"/>
      </filters>
    </filterColumn>
    <sortState ref="A1:F104">
      <sortCondition ref="D1:D104"/>
    </sortState>
  </autoFil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4.14"/>
    <col customWidth="1" min="3" max="3" width="15.57"/>
    <col customWidth="1" min="4" max="4" width="10.0"/>
    <col customWidth="1" min="5" max="5" width="12.57"/>
  </cols>
  <sheetData>
    <row r="1">
      <c r="A1" s="357" t="str">
        <f>Raw!A1</f>
        <v>Reference</v>
      </c>
      <c r="B1" s="357" t="str">
        <f>Raw!M1</f>
        <v>Cross Section Shape</v>
      </c>
      <c r="C1" s="358" t="s">
        <v>1126</v>
      </c>
      <c r="D1" s="358" t="s">
        <v>1127</v>
      </c>
      <c r="E1" s="358" t="s">
        <v>1128</v>
      </c>
      <c r="F1" s="359"/>
      <c r="G1" s="359"/>
      <c r="H1" s="359"/>
      <c r="I1" s="359"/>
      <c r="J1" s="359"/>
      <c r="K1" s="359"/>
      <c r="L1" s="359"/>
      <c r="M1" s="359"/>
      <c r="N1" s="359"/>
      <c r="O1" s="359"/>
      <c r="P1" s="359"/>
      <c r="Q1" s="359"/>
      <c r="R1" s="359"/>
      <c r="S1" s="359"/>
      <c r="T1" s="359"/>
      <c r="U1" s="359"/>
      <c r="V1" s="359"/>
      <c r="W1" s="359"/>
      <c r="X1" s="359"/>
    </row>
    <row r="2">
      <c r="A2" s="360">
        <f>Raw!A2</f>
        <v>1</v>
      </c>
      <c r="B2" s="361" t="str">
        <f>Raw!M2</f>
        <v>Rectangle</v>
      </c>
      <c r="C2" s="361" t="str">
        <f>Display_All!Q2</f>
        <v>35 x 30</v>
      </c>
      <c r="D2" s="361" t="str">
        <f>Display_All!R2</f>
        <v/>
      </c>
      <c r="E2" s="362">
        <f>Calcs!B2</f>
        <v>1050</v>
      </c>
      <c r="F2" s="264"/>
      <c r="G2" s="264"/>
      <c r="H2" s="264"/>
      <c r="I2" s="264"/>
      <c r="J2" s="264"/>
      <c r="K2" s="264"/>
      <c r="L2" s="264"/>
      <c r="M2" s="264"/>
      <c r="N2" s="264"/>
      <c r="O2" s="264"/>
      <c r="P2" s="264"/>
      <c r="Q2" s="264"/>
      <c r="R2" s="264"/>
      <c r="S2" s="264"/>
      <c r="T2" s="264"/>
      <c r="U2" s="264"/>
      <c r="V2" s="264"/>
      <c r="W2" s="264"/>
      <c r="X2" s="264"/>
    </row>
    <row r="3">
      <c r="A3" s="249" t="str">
        <f>Raw!A3</f>
        <v>2 / D1</v>
      </c>
      <c r="B3" s="250" t="str">
        <f>Raw!M3</f>
        <v>Rectangle</v>
      </c>
      <c r="C3" s="250" t="str">
        <f>Display_All!Q3</f>
        <v>45 x 40</v>
      </c>
      <c r="D3" s="250" t="str">
        <f>Display_All!R3</f>
        <v/>
      </c>
      <c r="E3" s="363">
        <f>Calcs!B3</f>
        <v>1800</v>
      </c>
      <c r="F3" s="264"/>
      <c r="G3" s="264"/>
      <c r="H3" s="264"/>
      <c r="I3" s="264"/>
      <c r="J3" s="264"/>
      <c r="K3" s="264"/>
      <c r="L3" s="264"/>
      <c r="M3" s="264"/>
      <c r="N3" s="264"/>
      <c r="O3" s="264"/>
      <c r="P3" s="264"/>
      <c r="Q3" s="264"/>
      <c r="R3" s="264"/>
      <c r="S3" s="264"/>
      <c r="T3" s="264"/>
      <c r="U3" s="264"/>
      <c r="V3" s="264"/>
      <c r="W3" s="264"/>
      <c r="X3" s="264"/>
    </row>
    <row r="4">
      <c r="A4" s="249" t="str">
        <f>Raw!A4</f>
        <v>3 / D2</v>
      </c>
      <c r="B4" s="250" t="str">
        <f>Raw!M4</f>
        <v>Circle</v>
      </c>
      <c r="C4" s="250" t="str">
        <f>Display_All!Q4</f>
        <v>27 to 24</v>
      </c>
      <c r="D4" s="250" t="str">
        <f>Display_All!R4</f>
        <v>26 (E)</v>
      </c>
      <c r="E4" s="363" t="str">
        <f>Calcs!B4</f>
        <v>530.9 (E)</v>
      </c>
      <c r="F4" s="264"/>
      <c r="G4" s="264"/>
      <c r="H4" s="264"/>
      <c r="I4" s="264"/>
      <c r="J4" s="264"/>
      <c r="K4" s="264"/>
      <c r="L4" s="264"/>
      <c r="M4" s="264"/>
      <c r="N4" s="264"/>
      <c r="O4" s="264"/>
      <c r="P4" s="264"/>
      <c r="Q4" s="264"/>
      <c r="R4" s="264"/>
      <c r="S4" s="264"/>
      <c r="T4" s="264"/>
      <c r="U4" s="264"/>
      <c r="V4" s="264"/>
      <c r="W4" s="264"/>
      <c r="X4" s="264"/>
    </row>
    <row r="5">
      <c r="A5" s="249" t="str">
        <f>Raw!A5</f>
        <v>4 / D3</v>
      </c>
      <c r="B5" s="250" t="str">
        <f>Raw!M5</f>
        <v>Circle</v>
      </c>
      <c r="C5" s="250">
        <f>Display_All!Q5</f>
        <v>25</v>
      </c>
      <c r="D5" s="250" t="str">
        <f>Display_All!R5</f>
        <v/>
      </c>
      <c r="E5" s="363">
        <f>Calcs!B5</f>
        <v>490.9</v>
      </c>
      <c r="F5" s="264"/>
      <c r="G5" s="264"/>
      <c r="H5" s="264"/>
      <c r="I5" s="264"/>
      <c r="J5" s="264"/>
      <c r="K5" s="264"/>
      <c r="L5" s="264"/>
      <c r="M5" s="264"/>
      <c r="N5" s="264"/>
      <c r="O5" s="264"/>
      <c r="P5" s="264"/>
      <c r="Q5" s="264"/>
      <c r="R5" s="264"/>
      <c r="S5" s="264"/>
      <c r="T5" s="264"/>
      <c r="U5" s="264"/>
      <c r="V5" s="264"/>
      <c r="W5" s="264"/>
      <c r="X5" s="264"/>
    </row>
    <row r="6">
      <c r="A6" s="249">
        <f>Raw!A6</f>
        <v>5</v>
      </c>
      <c r="B6" s="250" t="str">
        <f>Raw!M6</f>
        <v>Circle</v>
      </c>
      <c r="C6" s="250" t="str">
        <f>Display_All!Q6</f>
        <v>28 to 27</v>
      </c>
      <c r="D6" s="250">
        <f>Display_All!R6</f>
        <v>27</v>
      </c>
      <c r="E6" s="363">
        <f>Calcs!B6</f>
        <v>572.6</v>
      </c>
      <c r="F6" s="264"/>
      <c r="G6" s="264"/>
      <c r="H6" s="264"/>
      <c r="I6" s="264"/>
      <c r="J6" s="264"/>
      <c r="K6" s="264"/>
      <c r="L6" s="264"/>
      <c r="M6" s="264"/>
      <c r="N6" s="264"/>
      <c r="O6" s="264"/>
      <c r="P6" s="264"/>
      <c r="Q6" s="264"/>
      <c r="R6" s="264"/>
      <c r="S6" s="264"/>
      <c r="T6" s="264"/>
      <c r="U6" s="264"/>
      <c r="V6" s="264"/>
      <c r="W6" s="264"/>
      <c r="X6" s="264"/>
    </row>
    <row r="7">
      <c r="A7" s="249" t="str">
        <f>Raw!A7</f>
        <v>6 / D4</v>
      </c>
      <c r="B7" s="250" t="str">
        <f>Raw!M7</f>
        <v>Nonagon</v>
      </c>
      <c r="C7" s="250">
        <f>Display_All!Q7</f>
        <v>35</v>
      </c>
      <c r="D7" s="250" t="str">
        <f>Display_All!R7</f>
        <v/>
      </c>
      <c r="E7" s="363">
        <f>Calcs!B7</f>
        <v>1003.2</v>
      </c>
      <c r="F7" s="264"/>
      <c r="G7" s="264"/>
      <c r="H7" s="264"/>
      <c r="I7" s="264"/>
      <c r="J7" s="264"/>
      <c r="K7" s="264"/>
      <c r="L7" s="264"/>
      <c r="M7" s="264"/>
      <c r="N7" s="264"/>
      <c r="O7" s="264"/>
      <c r="P7" s="264"/>
      <c r="Q7" s="264"/>
      <c r="R7" s="264"/>
      <c r="S7" s="264"/>
      <c r="T7" s="264"/>
      <c r="U7" s="264"/>
      <c r="V7" s="264"/>
      <c r="W7" s="264"/>
      <c r="X7" s="264"/>
    </row>
    <row r="8">
      <c r="A8" s="249">
        <f>Raw!A8</f>
        <v>7</v>
      </c>
      <c r="B8" s="250" t="str">
        <f>Raw!M8</f>
        <v>Septagon</v>
      </c>
      <c r="C8" s="250">
        <f>Display_All!Q8</f>
        <v>25</v>
      </c>
      <c r="D8" s="250" t="str">
        <f>Display_All!R8</f>
        <v/>
      </c>
      <c r="E8" s="363">
        <f>Calcs!B8</f>
        <v>526.7</v>
      </c>
      <c r="F8" s="264"/>
      <c r="G8" s="264"/>
      <c r="H8" s="264"/>
      <c r="I8" s="264"/>
      <c r="J8" s="264"/>
      <c r="K8" s="264"/>
      <c r="L8" s="264"/>
      <c r="M8" s="264"/>
      <c r="N8" s="264"/>
      <c r="O8" s="264"/>
      <c r="P8" s="264"/>
      <c r="Q8" s="264"/>
      <c r="R8" s="264"/>
      <c r="S8" s="264"/>
      <c r="T8" s="264"/>
      <c r="U8" s="264"/>
      <c r="V8" s="264"/>
      <c r="W8" s="264"/>
      <c r="X8" s="264"/>
    </row>
    <row r="9">
      <c r="A9" s="249">
        <f>Raw!A9</f>
        <v>8</v>
      </c>
      <c r="B9" s="250" t="str">
        <f>Raw!M9</f>
        <v>Septagon</v>
      </c>
      <c r="C9" s="250">
        <f>Display_All!Q9</f>
        <v>25</v>
      </c>
      <c r="D9" s="250" t="str">
        <f>Display_All!R9</f>
        <v/>
      </c>
      <c r="E9" s="363">
        <f>Calcs!B9</f>
        <v>526.7</v>
      </c>
      <c r="F9" s="264"/>
      <c r="G9" s="264"/>
      <c r="H9" s="264"/>
      <c r="I9" s="264"/>
      <c r="J9" s="264"/>
      <c r="K9" s="264"/>
      <c r="L9" s="264"/>
      <c r="M9" s="264"/>
      <c r="N9" s="264"/>
      <c r="O9" s="264"/>
      <c r="P9" s="264"/>
      <c r="Q9" s="264"/>
      <c r="R9" s="264"/>
      <c r="S9" s="264"/>
      <c r="T9" s="264"/>
      <c r="U9" s="264"/>
      <c r="V9" s="264"/>
      <c r="W9" s="264"/>
      <c r="X9" s="264"/>
    </row>
    <row r="10">
      <c r="A10" s="249">
        <f>Raw!A10</f>
        <v>9</v>
      </c>
      <c r="B10" s="250" t="str">
        <f>Raw!M10</f>
        <v>Octagon</v>
      </c>
      <c r="C10" s="250">
        <f>Display_All!Q10</f>
        <v>25</v>
      </c>
      <c r="D10" s="250" t="str">
        <f>Display_All!R10</f>
        <v/>
      </c>
      <c r="E10" s="363">
        <f>Calcs!B10</f>
        <v>517.8</v>
      </c>
      <c r="F10" s="264"/>
      <c r="G10" s="264"/>
      <c r="H10" s="264"/>
      <c r="I10" s="264"/>
      <c r="J10" s="264"/>
      <c r="K10" s="264"/>
      <c r="L10" s="264"/>
      <c r="M10" s="264"/>
      <c r="N10" s="264"/>
      <c r="O10" s="264"/>
      <c r="P10" s="264"/>
      <c r="Q10" s="264"/>
      <c r="R10" s="264"/>
      <c r="S10" s="264"/>
      <c r="T10" s="264"/>
      <c r="U10" s="264"/>
      <c r="V10" s="264"/>
      <c r="W10" s="264"/>
      <c r="X10" s="264"/>
    </row>
    <row r="11">
      <c r="A11" s="249" t="str">
        <f>Raw!A11</f>
        <v>10 / D5</v>
      </c>
      <c r="B11" s="250" t="str">
        <f>Raw!M11</f>
        <v>Circle</v>
      </c>
      <c r="C11" s="250">
        <f>Display_All!Q11</f>
        <v>25</v>
      </c>
      <c r="D11" s="250" t="str">
        <f>Display_All!R11</f>
        <v/>
      </c>
      <c r="E11" s="363">
        <f>Calcs!B11</f>
        <v>490.9</v>
      </c>
      <c r="F11" s="264"/>
      <c r="G11" s="264"/>
      <c r="H11" s="264"/>
      <c r="I11" s="264"/>
      <c r="J11" s="264"/>
      <c r="K11" s="264"/>
      <c r="L11" s="264"/>
      <c r="M11" s="264"/>
      <c r="N11" s="264"/>
      <c r="O11" s="264"/>
      <c r="P11" s="264"/>
      <c r="Q11" s="264"/>
      <c r="R11" s="264"/>
      <c r="S11" s="264"/>
      <c r="T11" s="264"/>
      <c r="U11" s="264"/>
      <c r="V11" s="264"/>
      <c r="W11" s="264"/>
      <c r="X11" s="264"/>
    </row>
    <row r="12">
      <c r="A12" s="249" t="str">
        <f>Raw!A12</f>
        <v>11 / D6</v>
      </c>
      <c r="B12" s="250" t="str">
        <f>Raw!M12</f>
        <v>Circle</v>
      </c>
      <c r="C12" s="250">
        <f>Display_All!Q12</f>
        <v>25</v>
      </c>
      <c r="D12" s="250" t="str">
        <f>Display_All!R12</f>
        <v/>
      </c>
      <c r="E12" s="363">
        <f>Calcs!B12</f>
        <v>490.9</v>
      </c>
      <c r="F12" s="264"/>
      <c r="G12" s="264"/>
      <c r="H12" s="264"/>
      <c r="I12" s="264"/>
      <c r="J12" s="264"/>
      <c r="K12" s="264"/>
      <c r="L12" s="264"/>
      <c r="M12" s="264"/>
      <c r="N12" s="264"/>
      <c r="O12" s="264"/>
      <c r="P12" s="264"/>
      <c r="Q12" s="264"/>
      <c r="R12" s="264"/>
      <c r="S12" s="264"/>
      <c r="T12" s="264"/>
      <c r="U12" s="264"/>
      <c r="V12" s="264"/>
      <c r="W12" s="264"/>
      <c r="X12" s="264"/>
    </row>
    <row r="13">
      <c r="A13" s="249">
        <f>Raw!A13</f>
        <v>12</v>
      </c>
      <c r="B13" s="250" t="str">
        <f>Raw!M13</f>
        <v>Rectangle</v>
      </c>
      <c r="C13" s="250" t="str">
        <f>Display_All!Q13</f>
        <v>25 x 25</v>
      </c>
      <c r="D13" s="250" t="str">
        <f>Display_All!R13</f>
        <v/>
      </c>
      <c r="E13" s="363">
        <f>Calcs!B13</f>
        <v>625</v>
      </c>
      <c r="F13" s="264"/>
      <c r="G13" s="264"/>
      <c r="H13" s="264"/>
      <c r="I13" s="264"/>
      <c r="J13" s="264"/>
      <c r="K13" s="264"/>
      <c r="L13" s="264"/>
      <c r="M13" s="264"/>
      <c r="N13" s="264"/>
      <c r="O13" s="264"/>
      <c r="P13" s="264"/>
      <c r="Q13" s="264"/>
      <c r="R13" s="264"/>
      <c r="S13" s="264"/>
      <c r="T13" s="264"/>
      <c r="U13" s="264"/>
      <c r="V13" s="264"/>
      <c r="W13" s="264"/>
      <c r="X13" s="264"/>
    </row>
    <row r="14">
      <c r="A14" s="249" t="str">
        <f>Raw!A14</f>
        <v>13 / D7</v>
      </c>
      <c r="B14" s="250" t="str">
        <f>Raw!M14</f>
        <v>Circle</v>
      </c>
      <c r="C14" s="250">
        <f>Display_All!Q14</f>
        <v>25</v>
      </c>
      <c r="D14" s="250" t="str">
        <f>Display_All!R14</f>
        <v/>
      </c>
      <c r="E14" s="363">
        <f>Calcs!B14</f>
        <v>490.9</v>
      </c>
      <c r="F14" s="264"/>
      <c r="G14" s="264"/>
      <c r="H14" s="264"/>
      <c r="I14" s="264"/>
      <c r="J14" s="264"/>
      <c r="K14" s="264"/>
      <c r="L14" s="264"/>
      <c r="M14" s="264"/>
      <c r="N14" s="264"/>
      <c r="O14" s="264"/>
      <c r="P14" s="264"/>
      <c r="Q14" s="264"/>
      <c r="R14" s="264"/>
      <c r="S14" s="264"/>
      <c r="T14" s="264"/>
      <c r="U14" s="264"/>
      <c r="V14" s="264"/>
      <c r="W14" s="264"/>
      <c r="X14" s="264"/>
    </row>
    <row r="15">
      <c r="A15" s="249">
        <f>Raw!A15</f>
        <v>14</v>
      </c>
      <c r="B15" s="250" t="str">
        <f>Raw!M15</f>
        <v>Octagon</v>
      </c>
      <c r="C15" s="250">
        <f>Display_All!Q15</f>
        <v>25</v>
      </c>
      <c r="D15" s="250" t="str">
        <f>Display_All!R15</f>
        <v/>
      </c>
      <c r="E15" s="363">
        <f>Calcs!B15</f>
        <v>517.8</v>
      </c>
      <c r="F15" s="264"/>
      <c r="G15" s="264"/>
      <c r="H15" s="264"/>
      <c r="I15" s="264"/>
      <c r="J15" s="264"/>
      <c r="K15" s="264"/>
      <c r="L15" s="264"/>
      <c r="M15" s="264"/>
      <c r="N15" s="264"/>
      <c r="O15" s="264"/>
      <c r="P15" s="264"/>
      <c r="Q15" s="264"/>
      <c r="R15" s="264"/>
      <c r="S15" s="264"/>
      <c r="T15" s="264"/>
      <c r="U15" s="264"/>
      <c r="V15" s="264"/>
      <c r="W15" s="264"/>
      <c r="X15" s="264"/>
    </row>
    <row r="16">
      <c r="A16" s="249">
        <f>Raw!A16</f>
        <v>15</v>
      </c>
      <c r="B16" s="250" t="str">
        <f>Raw!M16</f>
        <v>Circle</v>
      </c>
      <c r="C16" s="250" t="str">
        <f>Display_All!Q16</f>
        <v>40 to 30</v>
      </c>
      <c r="D16" s="250" t="str">
        <f>Display_All!R16</f>
        <v>35 (E)</v>
      </c>
      <c r="E16" s="363" t="str">
        <f>Calcs!B16</f>
        <v>962.1 (E)</v>
      </c>
      <c r="F16" s="264"/>
      <c r="G16" s="264"/>
      <c r="H16" s="264"/>
      <c r="I16" s="264"/>
      <c r="J16" s="264"/>
      <c r="K16" s="264"/>
      <c r="L16" s="264"/>
      <c r="M16" s="264"/>
      <c r="N16" s="264"/>
      <c r="O16" s="264"/>
      <c r="P16" s="264"/>
      <c r="Q16" s="264"/>
      <c r="R16" s="264"/>
      <c r="S16" s="264"/>
      <c r="T16" s="264"/>
      <c r="U16" s="264"/>
      <c r="V16" s="264"/>
      <c r="W16" s="264"/>
      <c r="X16" s="264"/>
    </row>
    <row r="17">
      <c r="A17" s="249">
        <f>Raw!A17</f>
        <v>16</v>
      </c>
      <c r="B17" s="250" t="str">
        <f>Raw!M17</f>
        <v>Circle</v>
      </c>
      <c r="C17" s="250" t="str">
        <f>Display_All!Q17</f>
        <v>40 to 28</v>
      </c>
      <c r="D17" s="250" t="str">
        <f>Display_All!R17</f>
        <v>35 (E)</v>
      </c>
      <c r="E17" s="363" t="str">
        <f>Calcs!B17</f>
        <v>962.1 (E)</v>
      </c>
      <c r="F17" s="264"/>
      <c r="G17" s="264"/>
      <c r="H17" s="264"/>
      <c r="I17" s="264"/>
      <c r="J17" s="264"/>
      <c r="K17" s="264"/>
      <c r="L17" s="264"/>
      <c r="M17" s="264"/>
      <c r="N17" s="264"/>
      <c r="O17" s="264"/>
      <c r="P17" s="264"/>
      <c r="Q17" s="264"/>
      <c r="R17" s="264"/>
      <c r="S17" s="264"/>
      <c r="T17" s="264"/>
      <c r="U17" s="264"/>
      <c r="V17" s="264"/>
      <c r="W17" s="264"/>
      <c r="X17" s="264"/>
    </row>
    <row r="18">
      <c r="A18" s="249" t="str">
        <f>Raw!A18</f>
        <v>17 / D8</v>
      </c>
      <c r="B18" s="250" t="str">
        <f>Raw!M18</f>
        <v>Circle</v>
      </c>
      <c r="C18" s="250">
        <f>Display_All!Q18</f>
        <v>23</v>
      </c>
      <c r="D18" s="250" t="str">
        <f>Display_All!R18</f>
        <v/>
      </c>
      <c r="E18" s="363">
        <f>Calcs!B18</f>
        <v>415.5</v>
      </c>
      <c r="F18" s="264"/>
      <c r="G18" s="264"/>
      <c r="H18" s="264"/>
      <c r="I18" s="264"/>
      <c r="J18" s="264"/>
      <c r="K18" s="264"/>
      <c r="L18" s="264"/>
      <c r="M18" s="264"/>
      <c r="N18" s="264"/>
      <c r="O18" s="264"/>
      <c r="P18" s="264"/>
      <c r="Q18" s="264"/>
      <c r="R18" s="264"/>
      <c r="S18" s="264"/>
      <c r="T18" s="264"/>
      <c r="U18" s="264"/>
      <c r="V18" s="264"/>
      <c r="W18" s="264"/>
      <c r="X18" s="264"/>
    </row>
    <row r="19">
      <c r="A19" s="249" t="str">
        <f>Raw!A19</f>
        <v>18 / D9</v>
      </c>
      <c r="B19" s="250" t="str">
        <f>Raw!M19</f>
        <v>Circle</v>
      </c>
      <c r="C19" s="250" t="str">
        <f>Display_All!Q19</f>
        <v>25 to 22</v>
      </c>
      <c r="D19" s="250" t="str">
        <f>Display_All!R19</f>
        <v>21.5 (E)</v>
      </c>
      <c r="E19" s="363" t="str">
        <f>Calcs!B19</f>
        <v>363.1 (E)</v>
      </c>
      <c r="F19" s="264"/>
      <c r="G19" s="264"/>
      <c r="H19" s="264"/>
      <c r="I19" s="264"/>
      <c r="J19" s="264"/>
      <c r="K19" s="264"/>
      <c r="L19" s="264"/>
      <c r="M19" s="264"/>
      <c r="N19" s="264"/>
      <c r="O19" s="264"/>
      <c r="P19" s="264"/>
      <c r="Q19" s="264"/>
      <c r="R19" s="264"/>
      <c r="S19" s="264"/>
      <c r="T19" s="264"/>
      <c r="U19" s="264"/>
      <c r="V19" s="264"/>
      <c r="W19" s="264"/>
      <c r="X19" s="264"/>
    </row>
    <row r="20">
      <c r="A20" s="249">
        <f>Raw!A20</f>
        <v>19</v>
      </c>
      <c r="B20" s="250" t="str">
        <f>Raw!M20</f>
        <v>Circle</v>
      </c>
      <c r="C20" s="250">
        <f>Display_All!Q20</f>
        <v>20</v>
      </c>
      <c r="D20" s="250" t="str">
        <f>Display_All!R20</f>
        <v/>
      </c>
      <c r="E20" s="363">
        <f>Calcs!B20</f>
        <v>314.2</v>
      </c>
      <c r="F20" s="264"/>
      <c r="G20" s="264"/>
      <c r="H20" s="264"/>
      <c r="I20" s="264"/>
      <c r="J20" s="264"/>
      <c r="K20" s="264"/>
      <c r="L20" s="264"/>
      <c r="M20" s="264"/>
      <c r="N20" s="264"/>
      <c r="O20" s="264"/>
      <c r="P20" s="264"/>
      <c r="Q20" s="264"/>
      <c r="R20" s="264"/>
      <c r="S20" s="264"/>
      <c r="T20" s="264"/>
      <c r="U20" s="264"/>
      <c r="V20" s="264"/>
      <c r="W20" s="264"/>
      <c r="X20" s="264"/>
    </row>
    <row r="21">
      <c r="A21" s="249">
        <f>Raw!A21</f>
        <v>20</v>
      </c>
      <c r="B21" s="250" t="str">
        <f>Raw!M21</f>
        <v>Rectangle</v>
      </c>
      <c r="C21" s="250" t="str">
        <f>Display_All!Q21</f>
        <v>25 x 25</v>
      </c>
      <c r="D21" s="250" t="str">
        <f>Display_All!R21</f>
        <v/>
      </c>
      <c r="E21" s="363">
        <f>Calcs!B21</f>
        <v>625</v>
      </c>
      <c r="F21" s="264"/>
      <c r="G21" s="264"/>
      <c r="H21" s="264"/>
      <c r="I21" s="264"/>
      <c r="J21" s="264"/>
      <c r="K21" s="264"/>
      <c r="L21" s="264"/>
      <c r="M21" s="264"/>
      <c r="N21" s="264"/>
      <c r="O21" s="264"/>
      <c r="P21" s="264"/>
      <c r="Q21" s="264"/>
      <c r="R21" s="264"/>
      <c r="S21" s="264"/>
      <c r="T21" s="264"/>
      <c r="U21" s="264"/>
      <c r="V21" s="264"/>
      <c r="W21" s="264"/>
      <c r="X21" s="264"/>
    </row>
    <row r="22">
      <c r="A22" s="249" t="str">
        <f>Raw!A22</f>
        <v>21 / D10</v>
      </c>
      <c r="B22" s="250" t="str">
        <f>Raw!M22</f>
        <v>Circle</v>
      </c>
      <c r="C22" s="250">
        <f>Display_All!Q22</f>
        <v>23</v>
      </c>
      <c r="D22" s="250" t="str">
        <f>Display_All!R22</f>
        <v/>
      </c>
      <c r="E22" s="363">
        <f>Calcs!B22</f>
        <v>415.5</v>
      </c>
      <c r="F22" s="264"/>
      <c r="G22" s="264"/>
      <c r="H22" s="264"/>
      <c r="I22" s="264"/>
      <c r="J22" s="264"/>
      <c r="K22" s="264"/>
      <c r="L22" s="264"/>
      <c r="M22" s="264"/>
      <c r="N22" s="264"/>
      <c r="O22" s="264"/>
      <c r="P22" s="264"/>
      <c r="Q22" s="264"/>
      <c r="R22" s="264"/>
      <c r="S22" s="264"/>
      <c r="T22" s="264"/>
      <c r="U22" s="264"/>
      <c r="V22" s="264"/>
      <c r="W22" s="264"/>
      <c r="X22" s="264"/>
    </row>
    <row r="23">
      <c r="A23" s="249">
        <f>Raw!A23</f>
        <v>22</v>
      </c>
      <c r="B23" s="250" t="str">
        <f>Raw!M23</f>
        <v>Circle</v>
      </c>
      <c r="C23" s="250">
        <f>Display_All!Q23</f>
        <v>23</v>
      </c>
      <c r="D23" s="250" t="str">
        <f>Display_All!R23</f>
        <v/>
      </c>
      <c r="E23" s="363">
        <f>Calcs!B23</f>
        <v>415.5</v>
      </c>
      <c r="F23" s="264"/>
      <c r="G23" s="264"/>
      <c r="H23" s="264"/>
      <c r="I23" s="264"/>
      <c r="J23" s="264"/>
      <c r="K23" s="264"/>
      <c r="L23" s="264"/>
      <c r="M23" s="264"/>
      <c r="N23" s="264"/>
      <c r="O23" s="264"/>
      <c r="P23" s="264"/>
      <c r="Q23" s="264"/>
      <c r="R23" s="264"/>
      <c r="S23" s="264"/>
      <c r="T23" s="264"/>
      <c r="U23" s="264"/>
      <c r="V23" s="264"/>
      <c r="W23" s="264"/>
      <c r="X23" s="264"/>
    </row>
    <row r="24">
      <c r="A24" s="249">
        <f>Raw!A24</f>
        <v>23</v>
      </c>
      <c r="B24" s="250" t="str">
        <f>Raw!M24</f>
        <v>Hexagon</v>
      </c>
      <c r="C24" s="250">
        <f>Display_All!Q24</f>
        <v>25</v>
      </c>
      <c r="D24" s="250" t="str">
        <f>Display_All!R24</f>
        <v/>
      </c>
      <c r="E24" s="363">
        <f>Calcs!B24</f>
        <v>541.3</v>
      </c>
      <c r="F24" s="264"/>
      <c r="G24" s="264"/>
      <c r="H24" s="264"/>
      <c r="I24" s="264"/>
      <c r="J24" s="264"/>
      <c r="K24" s="264"/>
      <c r="L24" s="264"/>
      <c r="M24" s="264"/>
      <c r="N24" s="264"/>
      <c r="O24" s="264"/>
      <c r="P24" s="264"/>
      <c r="Q24" s="264"/>
      <c r="R24" s="264"/>
      <c r="S24" s="264"/>
      <c r="T24" s="264"/>
      <c r="U24" s="264"/>
      <c r="V24" s="264"/>
      <c r="W24" s="264"/>
      <c r="X24" s="264"/>
    </row>
    <row r="25">
      <c r="A25" s="249" t="str">
        <f>Raw!A25</f>
        <v>24 / D11</v>
      </c>
      <c r="B25" s="250" t="str">
        <f>Raw!M25</f>
        <v>Circle</v>
      </c>
      <c r="C25" s="250">
        <f>Display_All!Q25</f>
        <v>23</v>
      </c>
      <c r="D25" s="250" t="str">
        <f>Display_All!R25</f>
        <v/>
      </c>
      <c r="E25" s="363">
        <f>Calcs!B25</f>
        <v>415.5</v>
      </c>
      <c r="F25" s="264"/>
      <c r="G25" s="264"/>
      <c r="H25" s="264"/>
      <c r="I25" s="264"/>
      <c r="J25" s="264"/>
      <c r="K25" s="264"/>
      <c r="L25" s="264"/>
      <c r="M25" s="264"/>
      <c r="N25" s="264"/>
      <c r="O25" s="264"/>
      <c r="P25" s="264"/>
      <c r="Q25" s="264"/>
      <c r="R25" s="264"/>
      <c r="S25" s="264"/>
      <c r="T25" s="264"/>
      <c r="U25" s="264"/>
      <c r="V25" s="264"/>
      <c r="W25" s="264"/>
      <c r="X25" s="264"/>
    </row>
    <row r="26">
      <c r="A26" s="249" t="str">
        <f>Raw!A26</f>
        <v>25 / D12</v>
      </c>
      <c r="B26" s="250" t="str">
        <f>Raw!M26</f>
        <v>Circle</v>
      </c>
      <c r="C26" s="250">
        <f>Display_All!Q26</f>
        <v>23</v>
      </c>
      <c r="D26" s="250" t="str">
        <f>Display_All!R26</f>
        <v/>
      </c>
      <c r="E26" s="363">
        <f>Calcs!B26</f>
        <v>415.5</v>
      </c>
      <c r="F26" s="264"/>
      <c r="G26" s="264"/>
      <c r="H26" s="264"/>
      <c r="I26" s="264"/>
      <c r="J26" s="264"/>
      <c r="K26" s="264"/>
      <c r="L26" s="264"/>
      <c r="M26" s="264"/>
      <c r="N26" s="264"/>
      <c r="O26" s="264"/>
      <c r="P26" s="264"/>
      <c r="Q26" s="264"/>
      <c r="R26" s="264"/>
      <c r="S26" s="264"/>
      <c r="T26" s="264"/>
      <c r="U26" s="264"/>
      <c r="V26" s="264"/>
      <c r="W26" s="264"/>
      <c r="X26" s="264"/>
    </row>
    <row r="27">
      <c r="A27" s="249">
        <f>Raw!A27</f>
        <v>26</v>
      </c>
      <c r="B27" s="250" t="str">
        <f>Raw!M27</f>
        <v>Flat Circle</v>
      </c>
      <c r="C27" s="250" t="str">
        <f>Display_All!Q27</f>
        <v>27 to 23</v>
      </c>
      <c r="D27" s="250" t="str">
        <f>Display_All!R27</f>
        <v/>
      </c>
      <c r="E27" s="363">
        <f>Calcs!B27</f>
        <v>519.7069702</v>
      </c>
      <c r="F27" s="264"/>
      <c r="G27" s="264"/>
      <c r="H27" s="264"/>
      <c r="I27" s="264"/>
      <c r="J27" s="264"/>
      <c r="K27" s="264"/>
      <c r="L27" s="264"/>
      <c r="M27" s="264"/>
      <c r="N27" s="264"/>
      <c r="O27" s="264"/>
      <c r="P27" s="264"/>
      <c r="Q27" s="264"/>
      <c r="R27" s="264"/>
      <c r="S27" s="264"/>
      <c r="T27" s="264"/>
      <c r="U27" s="264"/>
      <c r="V27" s="264"/>
      <c r="W27" s="264"/>
      <c r="X27" s="264"/>
    </row>
    <row r="28">
      <c r="A28" s="249" t="str">
        <f>Raw!A28</f>
        <v>27 / D13</v>
      </c>
      <c r="B28" s="250" t="str">
        <f>Raw!M28</f>
        <v>Rectangle</v>
      </c>
      <c r="C28" s="250" t="str">
        <f>Display_All!Q28</f>
        <v>35 x 25</v>
      </c>
      <c r="D28" s="250">
        <f>Display_All!R28</f>
        <v>35</v>
      </c>
      <c r="E28" s="363">
        <f>Calcs!B28</f>
        <v>875</v>
      </c>
      <c r="F28" s="264"/>
      <c r="G28" s="264"/>
      <c r="H28" s="264"/>
      <c r="I28" s="264"/>
      <c r="J28" s="264"/>
      <c r="K28" s="264"/>
      <c r="L28" s="264"/>
      <c r="M28" s="264"/>
      <c r="N28" s="264"/>
      <c r="O28" s="264"/>
      <c r="P28" s="264"/>
      <c r="Q28" s="264"/>
      <c r="R28" s="264"/>
      <c r="S28" s="264"/>
      <c r="T28" s="264"/>
      <c r="U28" s="264"/>
      <c r="V28" s="264"/>
      <c r="W28" s="264"/>
      <c r="X28" s="264"/>
    </row>
    <row r="29">
      <c r="A29" s="249">
        <f>Raw!A29</f>
        <v>28</v>
      </c>
      <c r="B29" s="250" t="str">
        <f>Raw!M29</f>
        <v>Circle</v>
      </c>
      <c r="C29" s="250">
        <f>Display_All!Q29</f>
        <v>25</v>
      </c>
      <c r="D29" s="250" t="str">
        <f>Display_All!R29</f>
        <v/>
      </c>
      <c r="E29" s="363">
        <f>Calcs!B29</f>
        <v>490.9</v>
      </c>
      <c r="F29" s="264"/>
      <c r="G29" s="264"/>
      <c r="H29" s="264"/>
      <c r="I29" s="264"/>
      <c r="J29" s="264"/>
      <c r="K29" s="264"/>
      <c r="L29" s="264"/>
      <c r="M29" s="264"/>
      <c r="N29" s="264"/>
      <c r="O29" s="264"/>
      <c r="P29" s="264"/>
      <c r="Q29" s="264"/>
      <c r="R29" s="264"/>
      <c r="S29" s="264"/>
      <c r="T29" s="264"/>
      <c r="U29" s="264"/>
      <c r="V29" s="264"/>
      <c r="W29" s="264"/>
      <c r="X29" s="264"/>
    </row>
    <row r="30">
      <c r="A30" s="249">
        <f>Raw!A30</f>
        <v>29</v>
      </c>
      <c r="B30" s="250" t="str">
        <f>Raw!M30</f>
        <v>Circle</v>
      </c>
      <c r="C30" s="250">
        <f>Display_All!Q30</f>
        <v>30</v>
      </c>
      <c r="D30" s="250" t="str">
        <f>Display_All!R30</f>
        <v/>
      </c>
      <c r="E30" s="363">
        <f>Calcs!B30</f>
        <v>706.9</v>
      </c>
      <c r="F30" s="264"/>
      <c r="G30" s="264"/>
      <c r="H30" s="264"/>
      <c r="I30" s="264"/>
      <c r="J30" s="264"/>
      <c r="K30" s="264"/>
      <c r="L30" s="264"/>
      <c r="M30" s="264"/>
      <c r="N30" s="264"/>
      <c r="O30" s="264"/>
      <c r="P30" s="264"/>
      <c r="Q30" s="264"/>
      <c r="R30" s="264"/>
      <c r="S30" s="264"/>
      <c r="T30" s="264"/>
      <c r="U30" s="264"/>
      <c r="V30" s="264"/>
      <c r="W30" s="264"/>
      <c r="X30" s="264"/>
    </row>
    <row r="31">
      <c r="A31" s="249">
        <f>Raw!A31</f>
        <v>30</v>
      </c>
      <c r="B31" s="250" t="str">
        <f>Raw!M31</f>
        <v>Circle</v>
      </c>
      <c r="C31" s="250">
        <f>Display_All!Q31</f>
        <v>30</v>
      </c>
      <c r="D31" s="250" t="str">
        <f>Display_All!R31</f>
        <v/>
      </c>
      <c r="E31" s="363">
        <f>Calcs!B31</f>
        <v>706.9</v>
      </c>
      <c r="F31" s="264"/>
      <c r="G31" s="264"/>
      <c r="H31" s="264"/>
      <c r="I31" s="264"/>
      <c r="J31" s="264"/>
      <c r="K31" s="264"/>
      <c r="L31" s="264"/>
      <c r="M31" s="264"/>
      <c r="N31" s="264"/>
      <c r="O31" s="264"/>
      <c r="P31" s="264"/>
      <c r="Q31" s="264"/>
      <c r="R31" s="264"/>
      <c r="S31" s="264"/>
      <c r="T31" s="264"/>
      <c r="U31" s="264"/>
      <c r="V31" s="264"/>
      <c r="W31" s="264"/>
      <c r="X31" s="264"/>
    </row>
    <row r="32">
      <c r="A32" s="249">
        <f>Raw!A32</f>
        <v>31</v>
      </c>
      <c r="B32" s="250" t="str">
        <f>Raw!M32</f>
        <v>Circle</v>
      </c>
      <c r="C32" s="250">
        <f>Display_All!Q32</f>
        <v>30</v>
      </c>
      <c r="D32" s="250" t="str">
        <f>Display_All!R32</f>
        <v/>
      </c>
      <c r="E32" s="363">
        <f>Calcs!B32</f>
        <v>706.9</v>
      </c>
      <c r="F32" s="264"/>
      <c r="G32" s="264"/>
      <c r="H32" s="264"/>
      <c r="I32" s="264"/>
      <c r="J32" s="264"/>
      <c r="K32" s="264"/>
      <c r="L32" s="264"/>
      <c r="M32" s="264"/>
      <c r="N32" s="264"/>
      <c r="O32" s="264"/>
      <c r="P32" s="264"/>
      <c r="Q32" s="264"/>
      <c r="R32" s="264"/>
      <c r="S32" s="264"/>
      <c r="T32" s="264"/>
      <c r="U32" s="264"/>
      <c r="V32" s="264"/>
      <c r="W32" s="264"/>
      <c r="X32" s="264"/>
    </row>
    <row r="33">
      <c r="A33" s="249" t="str">
        <f>Raw!A33</f>
        <v>32 / D14</v>
      </c>
      <c r="B33" s="250" t="str">
        <f>Raw!M33</f>
        <v>Hexagon</v>
      </c>
      <c r="C33" s="250">
        <f>Display_All!Q33</f>
        <v>20</v>
      </c>
      <c r="D33" s="250" t="str">
        <f>Display_All!R33</f>
        <v/>
      </c>
      <c r="E33" s="363">
        <f>Calcs!B33</f>
        <v>346.4</v>
      </c>
      <c r="F33" s="264"/>
      <c r="G33" s="264"/>
      <c r="H33" s="264"/>
      <c r="I33" s="264"/>
      <c r="J33" s="264"/>
      <c r="K33" s="264"/>
      <c r="L33" s="264"/>
      <c r="M33" s="264"/>
      <c r="N33" s="264"/>
      <c r="O33" s="264"/>
      <c r="P33" s="264"/>
      <c r="Q33" s="264"/>
      <c r="R33" s="264"/>
      <c r="S33" s="264"/>
      <c r="T33" s="264"/>
      <c r="U33" s="264"/>
      <c r="V33" s="264"/>
      <c r="W33" s="264"/>
      <c r="X33" s="264"/>
    </row>
    <row r="34">
      <c r="A34" s="249">
        <f>Raw!A34</f>
        <v>33</v>
      </c>
      <c r="B34" s="250" t="str">
        <f>Raw!M34</f>
        <v>Circle</v>
      </c>
      <c r="C34" s="250">
        <f>Display_All!Q34</f>
        <v>25</v>
      </c>
      <c r="D34" s="250" t="str">
        <f>Display_All!R34</f>
        <v/>
      </c>
      <c r="E34" s="363">
        <f>Calcs!B34</f>
        <v>490.9</v>
      </c>
      <c r="F34" s="264"/>
      <c r="G34" s="264"/>
      <c r="H34" s="264"/>
      <c r="I34" s="264"/>
      <c r="J34" s="264"/>
      <c r="K34" s="264"/>
      <c r="L34" s="264"/>
      <c r="M34" s="264"/>
      <c r="N34" s="264"/>
      <c r="O34" s="264"/>
      <c r="P34" s="264"/>
      <c r="Q34" s="264"/>
      <c r="R34" s="264"/>
      <c r="S34" s="264"/>
      <c r="T34" s="264"/>
      <c r="U34" s="264"/>
      <c r="V34" s="264"/>
      <c r="W34" s="264"/>
      <c r="X34" s="264"/>
    </row>
    <row r="35">
      <c r="A35" s="249">
        <f>Raw!A35</f>
        <v>34</v>
      </c>
      <c r="B35" s="250" t="str">
        <f>Raw!M35</f>
        <v>Circle</v>
      </c>
      <c r="C35" s="250">
        <f>Display_All!Q35</f>
        <v>25</v>
      </c>
      <c r="D35" s="250" t="str">
        <f>Display_All!R35</f>
        <v/>
      </c>
      <c r="E35" s="363">
        <f>Calcs!B35</f>
        <v>490.9</v>
      </c>
      <c r="F35" s="264"/>
      <c r="G35" s="264"/>
      <c r="H35" s="264"/>
      <c r="I35" s="264"/>
      <c r="J35" s="264"/>
      <c r="K35" s="264"/>
      <c r="L35" s="264"/>
      <c r="M35" s="264"/>
      <c r="N35" s="264"/>
      <c r="O35" s="264"/>
      <c r="P35" s="264"/>
      <c r="Q35" s="264"/>
      <c r="R35" s="264"/>
      <c r="S35" s="264"/>
      <c r="T35" s="264"/>
      <c r="U35" s="264"/>
      <c r="V35" s="264"/>
      <c r="W35" s="264"/>
      <c r="X35" s="264"/>
    </row>
    <row r="36">
      <c r="A36" s="249">
        <f>Raw!A36</f>
        <v>35</v>
      </c>
      <c r="B36" s="250" t="str">
        <f>Raw!M36</f>
        <v>Circle</v>
      </c>
      <c r="C36" s="250">
        <f>Display_All!Q36</f>
        <v>25</v>
      </c>
      <c r="D36" s="250" t="str">
        <f>Display_All!R36</f>
        <v/>
      </c>
      <c r="E36" s="363">
        <f>Calcs!B36</f>
        <v>490.9</v>
      </c>
      <c r="F36" s="264"/>
      <c r="G36" s="264"/>
      <c r="H36" s="264"/>
      <c r="I36" s="264"/>
      <c r="J36" s="264"/>
      <c r="K36" s="264"/>
      <c r="L36" s="264"/>
      <c r="M36" s="264"/>
      <c r="N36" s="264"/>
      <c r="O36" s="264"/>
      <c r="P36" s="264"/>
      <c r="Q36" s="264"/>
      <c r="R36" s="264"/>
      <c r="S36" s="264"/>
      <c r="T36" s="264"/>
      <c r="U36" s="264"/>
      <c r="V36" s="264"/>
      <c r="W36" s="264"/>
      <c r="X36" s="264"/>
    </row>
    <row r="37">
      <c r="A37" s="249" t="str">
        <f>Raw!A37</f>
        <v>36 / D15</v>
      </c>
      <c r="B37" s="250" t="str">
        <f>Raw!M37</f>
        <v>Oval</v>
      </c>
      <c r="C37" s="250" t="str">
        <f>Display_All!Q37</f>
        <v>26 by 23</v>
      </c>
      <c r="D37" s="250" t="str">
        <f>Display_All!R37</f>
        <v/>
      </c>
      <c r="E37" s="363">
        <f>Calcs!B37</f>
        <v>469.7</v>
      </c>
      <c r="F37" s="264"/>
      <c r="G37" s="264"/>
      <c r="H37" s="264"/>
      <c r="I37" s="264"/>
      <c r="J37" s="264"/>
      <c r="K37" s="264"/>
      <c r="L37" s="264"/>
      <c r="M37" s="264"/>
      <c r="N37" s="264"/>
      <c r="O37" s="264"/>
      <c r="P37" s="264"/>
      <c r="Q37" s="264"/>
      <c r="R37" s="264"/>
      <c r="S37" s="264"/>
      <c r="T37" s="264"/>
      <c r="U37" s="264"/>
      <c r="V37" s="264"/>
      <c r="W37" s="264"/>
      <c r="X37" s="264"/>
    </row>
    <row r="38">
      <c r="A38" s="249">
        <f>Raw!A38</f>
        <v>37</v>
      </c>
      <c r="B38" s="250" t="str">
        <f>Raw!M38</f>
        <v>Circle</v>
      </c>
      <c r="C38" s="250">
        <f>Display_All!Q38</f>
        <v>25</v>
      </c>
      <c r="D38" s="250" t="str">
        <f>Display_All!R38</f>
        <v/>
      </c>
      <c r="E38" s="363">
        <f>Calcs!B38</f>
        <v>490.9</v>
      </c>
      <c r="F38" s="264"/>
      <c r="G38" s="264"/>
      <c r="H38" s="264"/>
      <c r="I38" s="264"/>
      <c r="J38" s="264"/>
      <c r="K38" s="264"/>
      <c r="L38" s="264"/>
      <c r="M38" s="264"/>
      <c r="N38" s="264"/>
      <c r="O38" s="264"/>
      <c r="P38" s="264"/>
      <c r="Q38" s="264"/>
      <c r="R38" s="264"/>
      <c r="S38" s="264"/>
      <c r="T38" s="264"/>
      <c r="U38" s="264"/>
      <c r="V38" s="264"/>
      <c r="W38" s="264"/>
      <c r="X38" s="264"/>
    </row>
    <row r="39">
      <c r="A39" s="249" t="str">
        <f>Raw!A39</f>
        <v>38 / D16</v>
      </c>
      <c r="B39" s="250" t="str">
        <f>Raw!M39</f>
        <v>Circle</v>
      </c>
      <c r="C39" s="250">
        <f>Display_All!Q39</f>
        <v>22</v>
      </c>
      <c r="D39" s="250" t="str">
        <f>Display_All!R39</f>
        <v/>
      </c>
      <c r="E39" s="363">
        <f>Calcs!B39</f>
        <v>380.1</v>
      </c>
      <c r="F39" s="264"/>
      <c r="G39" s="264"/>
      <c r="H39" s="264"/>
      <c r="I39" s="264"/>
      <c r="J39" s="264"/>
      <c r="K39" s="264"/>
      <c r="L39" s="264"/>
      <c r="M39" s="264"/>
      <c r="N39" s="264"/>
      <c r="O39" s="264"/>
      <c r="P39" s="264"/>
      <c r="Q39" s="264"/>
      <c r="R39" s="264"/>
      <c r="S39" s="264"/>
      <c r="T39" s="264"/>
      <c r="U39" s="264"/>
      <c r="V39" s="264"/>
      <c r="W39" s="264"/>
      <c r="X39" s="264"/>
    </row>
    <row r="40">
      <c r="A40" s="249" t="str">
        <f>Raw!A40</f>
        <v>39 / D17</v>
      </c>
      <c r="B40" s="250" t="str">
        <f>Raw!M40</f>
        <v>Oval</v>
      </c>
      <c r="C40" s="250" t="str">
        <f>Display_All!Q40</f>
        <v>26 by 24</v>
      </c>
      <c r="D40" s="250" t="str">
        <f>Display_All!R40</f>
        <v/>
      </c>
      <c r="E40" s="363">
        <f>Calcs!B40</f>
        <v>490.1</v>
      </c>
      <c r="F40" s="264"/>
      <c r="G40" s="264"/>
      <c r="H40" s="264"/>
      <c r="I40" s="264"/>
      <c r="J40" s="264"/>
      <c r="K40" s="264"/>
      <c r="L40" s="264"/>
      <c r="M40" s="264"/>
      <c r="N40" s="264"/>
      <c r="O40" s="264"/>
      <c r="P40" s="264"/>
      <c r="Q40" s="264"/>
      <c r="R40" s="264"/>
      <c r="S40" s="264"/>
      <c r="T40" s="264"/>
      <c r="U40" s="264"/>
      <c r="V40" s="264"/>
      <c r="W40" s="264"/>
      <c r="X40" s="264"/>
    </row>
    <row r="41">
      <c r="A41" s="249" t="str">
        <f>Raw!A41</f>
        <v>40 / D18</v>
      </c>
      <c r="B41" s="250" t="str">
        <f>Raw!M41</f>
        <v>Circle</v>
      </c>
      <c r="C41" s="250">
        <f>Display_All!Q41</f>
        <v>20</v>
      </c>
      <c r="D41" s="250" t="str">
        <f>Display_All!R41</f>
        <v/>
      </c>
      <c r="E41" s="363">
        <f>Calcs!B41</f>
        <v>314.2</v>
      </c>
      <c r="F41" s="264"/>
      <c r="G41" s="264"/>
      <c r="H41" s="264"/>
      <c r="I41" s="264"/>
      <c r="J41" s="264"/>
      <c r="K41" s="264"/>
      <c r="L41" s="264"/>
      <c r="M41" s="264"/>
      <c r="N41" s="264"/>
      <c r="O41" s="264"/>
      <c r="P41" s="264"/>
      <c r="Q41" s="264"/>
      <c r="R41" s="264"/>
      <c r="S41" s="264"/>
      <c r="T41" s="264"/>
      <c r="U41" s="264"/>
      <c r="V41" s="264"/>
      <c r="W41" s="264"/>
      <c r="X41" s="264"/>
    </row>
    <row r="42">
      <c r="A42" s="249" t="str">
        <f>Raw!A42</f>
        <v>41 / D19</v>
      </c>
      <c r="B42" s="250" t="str">
        <f>Raw!M42</f>
        <v>Circle</v>
      </c>
      <c r="C42" s="250">
        <f>Display_All!Q42</f>
        <v>20</v>
      </c>
      <c r="D42" s="250" t="str">
        <f>Display_All!R42</f>
        <v/>
      </c>
      <c r="E42" s="363">
        <f>Calcs!B42</f>
        <v>314.2</v>
      </c>
      <c r="F42" s="264"/>
      <c r="G42" s="264"/>
      <c r="H42" s="264"/>
      <c r="I42" s="264"/>
      <c r="J42" s="264"/>
      <c r="K42" s="264"/>
      <c r="L42" s="264"/>
      <c r="M42" s="264"/>
      <c r="N42" s="264"/>
      <c r="O42" s="264"/>
      <c r="P42" s="264"/>
      <c r="Q42" s="264"/>
      <c r="R42" s="264"/>
      <c r="S42" s="264"/>
      <c r="T42" s="264"/>
      <c r="U42" s="264"/>
      <c r="V42" s="264"/>
      <c r="W42" s="264"/>
      <c r="X42" s="264"/>
    </row>
    <row r="43">
      <c r="A43" s="249" t="str">
        <f>Raw!A43</f>
        <v>42 / D20</v>
      </c>
      <c r="B43" s="250" t="str">
        <f>Raw!M43</f>
        <v>Circle</v>
      </c>
      <c r="C43" s="250">
        <f>Display_All!Q43</f>
        <v>22</v>
      </c>
      <c r="D43" s="250" t="str">
        <f>Display_All!R43</f>
        <v/>
      </c>
      <c r="E43" s="363">
        <f>Calcs!B43</f>
        <v>380.1</v>
      </c>
      <c r="F43" s="264"/>
      <c r="G43" s="264"/>
      <c r="H43" s="264"/>
      <c r="I43" s="264"/>
      <c r="J43" s="264"/>
      <c r="K43" s="264"/>
      <c r="L43" s="264"/>
      <c r="M43" s="264"/>
      <c r="N43" s="264"/>
      <c r="O43" s="264"/>
      <c r="P43" s="264"/>
      <c r="Q43" s="264"/>
      <c r="R43" s="264"/>
      <c r="S43" s="264"/>
      <c r="T43" s="264"/>
      <c r="U43" s="264"/>
      <c r="V43" s="264"/>
      <c r="W43" s="264"/>
      <c r="X43" s="264"/>
    </row>
    <row r="44">
      <c r="A44" s="249" t="str">
        <f>Raw!A44</f>
        <v>43 / D21</v>
      </c>
      <c r="B44" s="250" t="str">
        <f>Raw!M44</f>
        <v>Circle</v>
      </c>
      <c r="C44" s="250" t="str">
        <f>Display_All!Q44</f>
        <v>28 to 23</v>
      </c>
      <c r="D44" s="250" t="str">
        <f>Display_All!R44</f>
        <v>28 (E)</v>
      </c>
      <c r="E44" s="363" t="str">
        <f>Calcs!B44</f>
        <v>615.8 (E)</v>
      </c>
      <c r="F44" s="264"/>
      <c r="G44" s="264"/>
      <c r="H44" s="264"/>
      <c r="I44" s="264"/>
      <c r="J44" s="264"/>
      <c r="K44" s="264"/>
      <c r="L44" s="264"/>
      <c r="M44" s="264"/>
      <c r="N44" s="264"/>
      <c r="O44" s="264"/>
      <c r="P44" s="264"/>
      <c r="Q44" s="264"/>
      <c r="R44" s="264"/>
      <c r="S44" s="264"/>
      <c r="T44" s="264"/>
      <c r="U44" s="264"/>
      <c r="V44" s="264"/>
      <c r="W44" s="264"/>
      <c r="X44" s="264"/>
    </row>
    <row r="45">
      <c r="A45" s="249" t="str">
        <f>Raw!A45</f>
        <v>44 / D22</v>
      </c>
      <c r="B45" s="250" t="str">
        <f>Raw!M45</f>
        <v>Oval</v>
      </c>
      <c r="C45" s="250" t="str">
        <f>Display_All!Q45</f>
        <v>24 by 22</v>
      </c>
      <c r="D45" s="250" t="str">
        <f>Display_All!R45</f>
        <v/>
      </c>
      <c r="E45" s="363">
        <f>Calcs!B45</f>
        <v>414.7</v>
      </c>
      <c r="F45" s="264"/>
      <c r="G45" s="264"/>
      <c r="H45" s="264"/>
      <c r="I45" s="264"/>
      <c r="J45" s="264"/>
      <c r="K45" s="264"/>
      <c r="L45" s="264"/>
      <c r="M45" s="264"/>
      <c r="N45" s="264"/>
      <c r="O45" s="264"/>
      <c r="P45" s="264"/>
      <c r="Q45" s="264"/>
      <c r="R45" s="264"/>
      <c r="S45" s="264"/>
      <c r="T45" s="264"/>
      <c r="U45" s="264"/>
      <c r="V45" s="264"/>
      <c r="W45" s="264"/>
      <c r="X45" s="264"/>
    </row>
    <row r="46">
      <c r="A46" s="249" t="str">
        <f>Raw!A46</f>
        <v>45 / D23</v>
      </c>
      <c r="B46" s="250" t="str">
        <f>Raw!M46</f>
        <v>Octagon</v>
      </c>
      <c r="C46" s="250">
        <f>Display_All!Q46</f>
        <v>28</v>
      </c>
      <c r="D46" s="250" t="str">
        <f>Display_All!R46</f>
        <v/>
      </c>
      <c r="E46" s="363">
        <f>Calcs!B46</f>
        <v>649.5</v>
      </c>
      <c r="F46" s="264"/>
      <c r="G46" s="264"/>
      <c r="H46" s="264"/>
      <c r="I46" s="264"/>
      <c r="J46" s="264"/>
      <c r="K46" s="264"/>
      <c r="L46" s="264"/>
      <c r="M46" s="264"/>
      <c r="N46" s="264"/>
      <c r="O46" s="264"/>
      <c r="P46" s="264"/>
      <c r="Q46" s="264"/>
      <c r="R46" s="264"/>
      <c r="S46" s="264"/>
      <c r="T46" s="264"/>
      <c r="U46" s="264"/>
      <c r="V46" s="264"/>
      <c r="W46" s="264"/>
      <c r="X46" s="264"/>
    </row>
    <row r="47">
      <c r="A47" s="249">
        <f>Raw!A47</f>
        <v>46</v>
      </c>
      <c r="B47" s="250" t="str">
        <f>Raw!M47</f>
        <v>Circle</v>
      </c>
      <c r="C47" s="250">
        <f>Display_All!Q47</f>
        <v>65</v>
      </c>
      <c r="D47" s="250" t="str">
        <f>Display_All!R47</f>
        <v/>
      </c>
      <c r="E47" s="363">
        <f>Calcs!B47</f>
        <v>3318.3</v>
      </c>
      <c r="F47" s="264"/>
      <c r="G47" s="264"/>
      <c r="H47" s="264"/>
      <c r="I47" s="264"/>
      <c r="J47" s="264"/>
      <c r="K47" s="264"/>
      <c r="L47" s="264"/>
      <c r="M47" s="264"/>
      <c r="N47" s="264"/>
      <c r="O47" s="264"/>
      <c r="P47" s="264"/>
      <c r="Q47" s="264"/>
      <c r="R47" s="264"/>
      <c r="S47" s="264"/>
      <c r="T47" s="264"/>
      <c r="U47" s="264"/>
      <c r="V47" s="264"/>
      <c r="W47" s="264"/>
      <c r="X47" s="264"/>
    </row>
    <row r="48">
      <c r="A48" s="249">
        <f>Raw!A48</f>
        <v>47</v>
      </c>
      <c r="B48" s="250" t="str">
        <f>Raw!M48</f>
        <v>Circle</v>
      </c>
      <c r="C48" s="250" t="str">
        <f>Display_All!Q48</f>
        <v>25 to 24</v>
      </c>
      <c r="D48" s="250" t="str">
        <f>Display_All!R48</f>
        <v>25 (E)</v>
      </c>
      <c r="E48" s="363" t="str">
        <f>Calcs!B48</f>
        <v>490.9 (E)</v>
      </c>
      <c r="F48" s="264"/>
      <c r="G48" s="264"/>
      <c r="H48" s="264"/>
      <c r="I48" s="264"/>
      <c r="J48" s="264"/>
      <c r="K48" s="264"/>
      <c r="L48" s="264"/>
      <c r="M48" s="264"/>
      <c r="N48" s="264"/>
      <c r="O48" s="264"/>
      <c r="P48" s="264"/>
      <c r="Q48" s="264"/>
      <c r="R48" s="264"/>
      <c r="S48" s="264"/>
      <c r="T48" s="264"/>
      <c r="U48" s="264"/>
      <c r="V48" s="264"/>
      <c r="W48" s="264"/>
      <c r="X48" s="264"/>
    </row>
    <row r="49">
      <c r="A49" s="249" t="str">
        <f>Raw!A49</f>
        <v>D24</v>
      </c>
      <c r="B49" s="250" t="str">
        <f>Raw!M49</f>
        <v>Octagon</v>
      </c>
      <c r="C49" s="250">
        <f>Display_All!Q49</f>
        <v>25</v>
      </c>
      <c r="D49" s="250" t="str">
        <f>Display_All!R49</f>
        <v/>
      </c>
      <c r="E49" s="363">
        <f>Calcs!B49</f>
        <v>517.8</v>
      </c>
      <c r="F49" s="264"/>
      <c r="G49" s="264"/>
      <c r="H49" s="264"/>
      <c r="I49" s="264"/>
      <c r="J49" s="264"/>
      <c r="K49" s="264"/>
      <c r="L49" s="264"/>
      <c r="M49" s="264"/>
      <c r="N49" s="264"/>
      <c r="O49" s="264"/>
      <c r="P49" s="264"/>
      <c r="Q49" s="264"/>
      <c r="R49" s="264"/>
      <c r="S49" s="264"/>
      <c r="T49" s="264"/>
      <c r="U49" s="264"/>
      <c r="V49" s="264"/>
      <c r="W49" s="264"/>
      <c r="X49" s="264"/>
    </row>
    <row r="50">
      <c r="A50" s="249" t="str">
        <f>Raw!A50</f>
        <v>D25</v>
      </c>
      <c r="B50" s="250" t="str">
        <f>Raw!M50</f>
        <v>Octagon</v>
      </c>
      <c r="C50" s="250">
        <f>Display_All!Q50</f>
        <v>25</v>
      </c>
      <c r="D50" s="250" t="str">
        <f>Display_All!R50</f>
        <v/>
      </c>
      <c r="E50" s="363">
        <f>Calcs!B50</f>
        <v>517.8</v>
      </c>
      <c r="F50" s="264"/>
      <c r="G50" s="264"/>
      <c r="H50" s="264"/>
      <c r="I50" s="264"/>
      <c r="J50" s="264"/>
      <c r="K50" s="264"/>
      <c r="L50" s="264"/>
      <c r="M50" s="264"/>
      <c r="N50" s="264"/>
      <c r="O50" s="264"/>
      <c r="P50" s="264"/>
      <c r="Q50" s="264"/>
      <c r="R50" s="264"/>
      <c r="S50" s="264"/>
      <c r="T50" s="264"/>
      <c r="U50" s="264"/>
      <c r="V50" s="264"/>
      <c r="W50" s="264"/>
      <c r="X50" s="264"/>
    </row>
    <row r="51">
      <c r="A51" s="249" t="str">
        <f>Raw!A51</f>
        <v>48 / D26</v>
      </c>
      <c r="B51" s="250" t="str">
        <f>Raw!M51</f>
        <v>Circle</v>
      </c>
      <c r="C51" s="250">
        <f>Display_All!Q51</f>
        <v>25</v>
      </c>
      <c r="D51" s="250" t="str">
        <f>Display_All!R51</f>
        <v/>
      </c>
      <c r="E51" s="363">
        <f>Calcs!B51</f>
        <v>490.9</v>
      </c>
      <c r="F51" s="264"/>
      <c r="G51" s="264"/>
      <c r="H51" s="264"/>
      <c r="I51" s="264"/>
      <c r="J51" s="264"/>
      <c r="K51" s="264"/>
      <c r="L51" s="264"/>
      <c r="M51" s="264"/>
      <c r="N51" s="264"/>
      <c r="O51" s="264"/>
      <c r="P51" s="264"/>
      <c r="Q51" s="264"/>
      <c r="R51" s="264"/>
      <c r="S51" s="264"/>
      <c r="T51" s="264"/>
      <c r="U51" s="264"/>
      <c r="V51" s="264"/>
      <c r="W51" s="264"/>
      <c r="X51" s="264"/>
    </row>
    <row r="52">
      <c r="A52" s="249">
        <f>Raw!A52</f>
        <v>49</v>
      </c>
      <c r="B52" s="250" t="str">
        <f>Raw!M52</f>
        <v>Circle</v>
      </c>
      <c r="C52" s="250">
        <f>Display_All!Q52</f>
        <v>25</v>
      </c>
      <c r="D52" s="250" t="str">
        <f>Display_All!R52</f>
        <v/>
      </c>
      <c r="E52" s="363">
        <f>Calcs!B52</f>
        <v>490.9</v>
      </c>
      <c r="F52" s="264"/>
      <c r="G52" s="264"/>
      <c r="H52" s="264"/>
      <c r="I52" s="264"/>
      <c r="J52" s="264"/>
      <c r="K52" s="264"/>
      <c r="L52" s="264"/>
      <c r="M52" s="264"/>
      <c r="N52" s="264"/>
      <c r="O52" s="264"/>
      <c r="P52" s="264"/>
      <c r="Q52" s="264"/>
      <c r="R52" s="264"/>
      <c r="S52" s="264"/>
      <c r="T52" s="264"/>
      <c r="U52" s="264"/>
      <c r="V52" s="264"/>
      <c r="W52" s="264"/>
      <c r="X52" s="264"/>
    </row>
    <row r="53">
      <c r="A53" s="249">
        <f>Raw!A53</f>
        <v>50</v>
      </c>
      <c r="B53" s="250" t="str">
        <f>Raw!M53</f>
        <v>Circle</v>
      </c>
      <c r="C53" s="250" t="str">
        <f>Display_All!Q53</f>
        <v>29 to 25.5</v>
      </c>
      <c r="D53" s="250">
        <f>Display_All!R53</f>
        <v>28.5</v>
      </c>
      <c r="E53" s="363">
        <f>Calcs!B53</f>
        <v>637.9</v>
      </c>
      <c r="F53" s="264"/>
      <c r="G53" s="264"/>
      <c r="H53" s="264"/>
      <c r="I53" s="264"/>
      <c r="J53" s="264"/>
      <c r="K53" s="264"/>
      <c r="L53" s="264"/>
      <c r="M53" s="264"/>
      <c r="N53" s="264"/>
      <c r="O53" s="264"/>
      <c r="P53" s="264"/>
      <c r="Q53" s="264"/>
      <c r="R53" s="264"/>
      <c r="S53" s="264"/>
      <c r="T53" s="264"/>
      <c r="U53" s="264"/>
      <c r="V53" s="264"/>
      <c r="W53" s="264"/>
      <c r="X53" s="264"/>
    </row>
    <row r="54">
      <c r="A54" s="249" t="str">
        <f>Raw!A54</f>
        <v>51 / D27</v>
      </c>
      <c r="B54" s="250" t="str">
        <f>Raw!M54</f>
        <v>Oval</v>
      </c>
      <c r="C54" s="250" t="str">
        <f>Display_All!Q54</f>
        <v>28 by 26</v>
      </c>
      <c r="D54" s="250" t="str">
        <f>Display_All!R54</f>
        <v/>
      </c>
      <c r="E54" s="363">
        <f>Calcs!B54</f>
        <v>571.8</v>
      </c>
      <c r="F54" s="264"/>
      <c r="G54" s="264"/>
      <c r="H54" s="264"/>
      <c r="I54" s="264"/>
      <c r="J54" s="264"/>
      <c r="K54" s="264"/>
      <c r="L54" s="264"/>
      <c r="M54" s="264"/>
      <c r="N54" s="264"/>
      <c r="O54" s="264"/>
      <c r="P54" s="264"/>
      <c r="Q54" s="264"/>
      <c r="R54" s="264"/>
      <c r="S54" s="264"/>
      <c r="T54" s="264"/>
      <c r="U54" s="264"/>
      <c r="V54" s="264"/>
      <c r="W54" s="264"/>
      <c r="X54" s="264"/>
    </row>
    <row r="55">
      <c r="A55" s="249">
        <f>Raw!A55</f>
        <v>52</v>
      </c>
      <c r="B55" s="250" t="str">
        <f>Raw!M55</f>
        <v>Oval</v>
      </c>
      <c r="C55" s="250" t="str">
        <f>Display_All!Q55</f>
        <v>29 by 27</v>
      </c>
      <c r="D55" s="250" t="str">
        <f>Display_All!R55</f>
        <v/>
      </c>
      <c r="E55" s="363">
        <f>Calcs!B55</f>
        <v>615</v>
      </c>
      <c r="F55" s="264"/>
      <c r="G55" s="264"/>
      <c r="H55" s="264"/>
      <c r="I55" s="264"/>
      <c r="J55" s="264"/>
      <c r="K55" s="264"/>
      <c r="L55" s="264"/>
      <c r="M55" s="264"/>
      <c r="N55" s="264"/>
      <c r="O55" s="264"/>
      <c r="P55" s="264"/>
      <c r="Q55" s="264"/>
      <c r="R55" s="264"/>
      <c r="S55" s="264"/>
      <c r="T55" s="264"/>
      <c r="U55" s="264"/>
      <c r="V55" s="264"/>
      <c r="W55" s="264"/>
      <c r="X55" s="264"/>
    </row>
    <row r="56">
      <c r="A56" s="249">
        <f>Raw!A56</f>
        <v>53</v>
      </c>
      <c r="B56" s="250" t="str">
        <f>Raw!M56</f>
        <v>Circle</v>
      </c>
      <c r="C56" s="250">
        <f>Display_All!Q56</f>
        <v>28</v>
      </c>
      <c r="D56" s="250" t="str">
        <f>Display_All!R56</f>
        <v/>
      </c>
      <c r="E56" s="363">
        <f>Calcs!B56</f>
        <v>615.8</v>
      </c>
      <c r="F56" s="264"/>
      <c r="G56" s="264"/>
      <c r="H56" s="264"/>
      <c r="I56" s="264"/>
      <c r="J56" s="264"/>
      <c r="K56" s="264"/>
      <c r="L56" s="264"/>
      <c r="M56" s="264"/>
      <c r="N56" s="264"/>
      <c r="O56" s="264"/>
      <c r="P56" s="264"/>
      <c r="Q56" s="264"/>
      <c r="R56" s="264"/>
      <c r="S56" s="264"/>
      <c r="T56" s="264"/>
      <c r="U56" s="264"/>
      <c r="V56" s="264"/>
      <c r="W56" s="264"/>
      <c r="X56" s="264"/>
    </row>
    <row r="57">
      <c r="A57" s="249">
        <f>Raw!A57</f>
        <v>54</v>
      </c>
      <c r="B57" s="250" t="str">
        <f>Raw!M57</f>
        <v>Oval</v>
      </c>
      <c r="C57" s="250" t="str">
        <f>Display_All!Q57</f>
        <v>29 by 27</v>
      </c>
      <c r="D57" s="250" t="str">
        <f>Display_All!R57</f>
        <v/>
      </c>
      <c r="E57" s="363">
        <f>Calcs!B57</f>
        <v>615</v>
      </c>
      <c r="F57" s="264"/>
      <c r="G57" s="264"/>
      <c r="H57" s="264"/>
      <c r="I57" s="264"/>
      <c r="J57" s="264"/>
      <c r="K57" s="264"/>
      <c r="L57" s="264"/>
      <c r="M57" s="264"/>
      <c r="N57" s="264"/>
      <c r="O57" s="264"/>
      <c r="P57" s="264"/>
      <c r="Q57" s="264"/>
      <c r="R57" s="264"/>
      <c r="S57" s="264"/>
      <c r="T57" s="264"/>
      <c r="U57" s="264"/>
      <c r="V57" s="264"/>
      <c r="W57" s="264"/>
      <c r="X57" s="264"/>
    </row>
    <row r="58">
      <c r="A58" s="249">
        <f>Raw!A58</f>
        <v>55</v>
      </c>
      <c r="B58" s="250" t="str">
        <f>Raw!M58</f>
        <v>Circle</v>
      </c>
      <c r="C58" s="250">
        <f>Display_All!Q58</f>
        <v>28</v>
      </c>
      <c r="D58" s="250" t="str">
        <f>Display_All!R58</f>
        <v/>
      </c>
      <c r="E58" s="363">
        <f>Calcs!B58</f>
        <v>615.8</v>
      </c>
      <c r="F58" s="264"/>
      <c r="G58" s="264"/>
      <c r="H58" s="264"/>
      <c r="I58" s="264"/>
      <c r="J58" s="264"/>
      <c r="K58" s="264"/>
      <c r="L58" s="264"/>
      <c r="M58" s="264"/>
      <c r="N58" s="264"/>
      <c r="O58" s="264"/>
      <c r="P58" s="264"/>
      <c r="Q58" s="264"/>
      <c r="R58" s="264"/>
      <c r="S58" s="264"/>
      <c r="T58" s="264"/>
      <c r="U58" s="264"/>
      <c r="V58" s="264"/>
      <c r="W58" s="264"/>
      <c r="X58" s="264"/>
    </row>
    <row r="59">
      <c r="A59" s="249">
        <f>Raw!A59</f>
        <v>56</v>
      </c>
      <c r="B59" s="250" t="str">
        <f>Raw!M59</f>
        <v>Circle</v>
      </c>
      <c r="C59" s="250" t="str">
        <f>Display_All!Q59</f>
        <v>36 to 24</v>
      </c>
      <c r="D59" s="250" t="str">
        <f>Display_All!R59</f>
        <v>32 (E)</v>
      </c>
      <c r="E59" s="363" t="str">
        <f>Calcs!B59</f>
        <v>804.2 (E)</v>
      </c>
      <c r="F59" s="264"/>
      <c r="G59" s="264"/>
      <c r="H59" s="264"/>
      <c r="I59" s="264"/>
      <c r="J59" s="264"/>
      <c r="K59" s="264"/>
      <c r="L59" s="264"/>
      <c r="M59" s="264"/>
      <c r="N59" s="264"/>
      <c r="O59" s="264"/>
      <c r="P59" s="264"/>
      <c r="Q59" s="264"/>
      <c r="R59" s="264"/>
      <c r="S59" s="264"/>
      <c r="T59" s="264"/>
      <c r="U59" s="264"/>
      <c r="V59" s="264"/>
      <c r="W59" s="264"/>
      <c r="X59" s="264"/>
    </row>
    <row r="60">
      <c r="A60" s="249">
        <f>Raw!A60</f>
        <v>57</v>
      </c>
      <c r="B60" s="250" t="str">
        <f>Raw!M60</f>
        <v>Oval</v>
      </c>
      <c r="C60" s="250" t="str">
        <f>Display_All!Q60</f>
        <v>29 by 20</v>
      </c>
      <c r="D60" s="250" t="str">
        <f>Display_All!R60</f>
        <v>24 (E)</v>
      </c>
      <c r="E60" s="363" t="str">
        <f>Calcs!B60</f>
        <v>455.5 (E)</v>
      </c>
      <c r="F60" s="264"/>
      <c r="G60" s="264"/>
      <c r="H60" s="264"/>
      <c r="I60" s="264"/>
      <c r="J60" s="264"/>
      <c r="K60" s="264"/>
      <c r="L60" s="264"/>
      <c r="M60" s="264"/>
      <c r="N60" s="264"/>
      <c r="O60" s="264"/>
      <c r="P60" s="264"/>
      <c r="Q60" s="264"/>
      <c r="R60" s="264"/>
      <c r="S60" s="264"/>
      <c r="T60" s="264"/>
      <c r="U60" s="264"/>
      <c r="V60" s="264"/>
      <c r="W60" s="264"/>
      <c r="X60" s="264"/>
    </row>
    <row r="61">
      <c r="A61" s="249">
        <f>Raw!A61</f>
        <v>58</v>
      </c>
      <c r="B61" s="250" t="str">
        <f>Raw!M61</f>
        <v>Oval</v>
      </c>
      <c r="C61" s="250" t="str">
        <f>Display_All!Q61</f>
        <v>29 by 20</v>
      </c>
      <c r="D61" s="250" t="str">
        <f>Display_All!R61</f>
        <v>24 (E)</v>
      </c>
      <c r="E61" s="363" t="str">
        <f>Calcs!B61</f>
        <v>455.5 (E)</v>
      </c>
      <c r="F61" s="264"/>
      <c r="G61" s="264"/>
      <c r="H61" s="264"/>
      <c r="I61" s="264"/>
      <c r="J61" s="264"/>
      <c r="K61" s="264"/>
      <c r="L61" s="264"/>
      <c r="M61" s="264"/>
      <c r="N61" s="264"/>
      <c r="O61" s="264"/>
      <c r="P61" s="264"/>
      <c r="Q61" s="264"/>
      <c r="R61" s="264"/>
      <c r="S61" s="264"/>
      <c r="T61" s="264"/>
      <c r="U61" s="264"/>
      <c r="V61" s="264"/>
      <c r="W61" s="264"/>
      <c r="X61" s="264"/>
    </row>
    <row r="62">
      <c r="A62" s="249">
        <f>Raw!A62</f>
        <v>59</v>
      </c>
      <c r="B62" s="250" t="str">
        <f>Raw!M62</f>
        <v>Circle</v>
      </c>
      <c r="C62" s="250" t="str">
        <f>Display_All!Q62</f>
        <v>NR to 20</v>
      </c>
      <c r="D62" s="250" t="str">
        <f>Display_All!R62</f>
        <v>23 (E)</v>
      </c>
      <c r="E62" s="363" t="str">
        <f>Calcs!B62</f>
        <v>415.5 (E)</v>
      </c>
      <c r="F62" s="264"/>
      <c r="G62" s="264"/>
      <c r="H62" s="264"/>
      <c r="I62" s="264"/>
      <c r="J62" s="264"/>
      <c r="K62" s="264"/>
      <c r="L62" s="264"/>
      <c r="M62" s="264"/>
      <c r="N62" s="264"/>
      <c r="O62" s="264"/>
      <c r="P62" s="264"/>
      <c r="Q62" s="264"/>
      <c r="R62" s="264"/>
      <c r="S62" s="264"/>
      <c r="T62" s="264"/>
      <c r="U62" s="264"/>
      <c r="V62" s="264"/>
      <c r="W62" s="264"/>
      <c r="X62" s="264"/>
    </row>
    <row r="63" hidden="1">
      <c r="A63" s="249" t="str">
        <f>Raw!A63</f>
        <v>T1</v>
      </c>
      <c r="B63" s="250" t="str">
        <f>Raw!M63</f>
        <v>Circle</v>
      </c>
      <c r="C63" s="250" t="str">
        <f>if(B63="Rectangle",concatenate(Raw!U63," x ",Raw!V63),if(B63="Oval",concatenate(Raw!U63," by ",Raw!V63),if(isnumber(Raw!V63),concatenate(Raw!U63," to ",Raw!V63),Raw!U63)))</f>
        <v>NR to 20</v>
      </c>
      <c r="D63" s="250" t="str">
        <f>if(AND(Raw!Z63="Y",isnumber(Raw!X63)),concatenate(Raw!X63," (E)"),Raw!X63)</f>
        <v>23 (E)</v>
      </c>
      <c r="E63" s="363" t="str">
        <f>Calcs!B63</f>
        <v>415.5 (E)</v>
      </c>
      <c r="F63" s="264"/>
      <c r="G63" s="264"/>
      <c r="H63" s="264"/>
      <c r="I63" s="264"/>
      <c r="J63" s="264"/>
      <c r="K63" s="264"/>
      <c r="L63" s="264"/>
      <c r="M63" s="264"/>
      <c r="N63" s="264"/>
      <c r="O63" s="264"/>
      <c r="P63" s="264"/>
      <c r="Q63" s="264"/>
      <c r="R63" s="264"/>
      <c r="S63" s="264"/>
      <c r="T63" s="264"/>
      <c r="U63" s="264"/>
      <c r="V63" s="264"/>
      <c r="W63" s="264"/>
      <c r="X63" s="264"/>
    </row>
    <row r="64">
      <c r="A64" s="249" t="str">
        <f>Raw!A64</f>
        <v>60 / D28</v>
      </c>
      <c r="B64" s="250" t="str">
        <f>Raw!M64</f>
        <v>Circle</v>
      </c>
      <c r="C64" s="250">
        <f>Display_All!Q64</f>
        <v>34</v>
      </c>
      <c r="D64" s="250" t="str">
        <f>Display_All!R64</f>
        <v/>
      </c>
      <c r="E64" s="363">
        <f>Calcs!B64</f>
        <v>907.9</v>
      </c>
      <c r="F64" s="264"/>
      <c r="G64" s="264"/>
      <c r="H64" s="264"/>
      <c r="I64" s="264"/>
      <c r="J64" s="264"/>
      <c r="K64" s="264"/>
      <c r="L64" s="264"/>
      <c r="M64" s="264"/>
      <c r="N64" s="264"/>
      <c r="O64" s="264"/>
      <c r="P64" s="264"/>
      <c r="Q64" s="264"/>
      <c r="R64" s="264"/>
      <c r="S64" s="264"/>
      <c r="T64" s="264"/>
      <c r="U64" s="264"/>
      <c r="V64" s="264"/>
      <c r="W64" s="264"/>
      <c r="X64" s="264"/>
    </row>
    <row r="65">
      <c r="A65" s="249" t="str">
        <f>Raw!A65</f>
        <v>61 / D29</v>
      </c>
      <c r="B65" s="250" t="str">
        <f>Raw!M65</f>
        <v>Circle</v>
      </c>
      <c r="C65" s="250">
        <f>Display_All!Q65</f>
        <v>29</v>
      </c>
      <c r="D65" s="250" t="str">
        <f>Display_All!R65</f>
        <v/>
      </c>
      <c r="E65" s="363">
        <f>Calcs!B65</f>
        <v>660.5</v>
      </c>
      <c r="F65" s="264"/>
      <c r="G65" s="264"/>
      <c r="H65" s="264"/>
      <c r="I65" s="264"/>
      <c r="J65" s="264"/>
      <c r="K65" s="264"/>
      <c r="L65" s="264"/>
      <c r="M65" s="264"/>
      <c r="N65" s="264"/>
      <c r="O65" s="264"/>
      <c r="P65" s="264"/>
      <c r="Q65" s="264"/>
      <c r="R65" s="264"/>
      <c r="S65" s="264"/>
      <c r="T65" s="264"/>
      <c r="U65" s="264"/>
      <c r="V65" s="264"/>
      <c r="W65" s="264"/>
      <c r="X65" s="264"/>
    </row>
    <row r="66">
      <c r="A66" s="249">
        <f>Raw!A66</f>
        <v>62</v>
      </c>
      <c r="B66" s="250" t="str">
        <f>Raw!M66</f>
        <v>Circle</v>
      </c>
      <c r="C66" s="250" t="str">
        <f>Display_All!Q66</f>
        <v>29 to 25.5</v>
      </c>
      <c r="D66" s="250">
        <f>Display_All!R66</f>
        <v>28</v>
      </c>
      <c r="E66" s="363">
        <f>Calcs!B66</f>
        <v>615.8</v>
      </c>
      <c r="F66" s="264"/>
      <c r="G66" s="264"/>
      <c r="H66" s="264"/>
      <c r="I66" s="264"/>
      <c r="J66" s="264"/>
      <c r="K66" s="264"/>
      <c r="L66" s="264"/>
      <c r="M66" s="264"/>
      <c r="N66" s="264"/>
      <c r="O66" s="264"/>
      <c r="P66" s="264"/>
      <c r="Q66" s="264"/>
      <c r="R66" s="264"/>
      <c r="S66" s="264"/>
      <c r="T66" s="264"/>
      <c r="U66" s="264"/>
      <c r="V66" s="264"/>
      <c r="W66" s="264"/>
      <c r="X66" s="264"/>
    </row>
    <row r="67">
      <c r="A67" s="249">
        <f>Raw!A67</f>
        <v>63</v>
      </c>
      <c r="B67" s="250" t="str">
        <f>Raw!M67</f>
        <v>Circle</v>
      </c>
      <c r="C67" s="250">
        <f>Display_All!Q67</f>
        <v>26</v>
      </c>
      <c r="D67" s="250" t="str">
        <f>Display_All!R67</f>
        <v/>
      </c>
      <c r="E67" s="363">
        <f>Calcs!B67</f>
        <v>530.9</v>
      </c>
      <c r="F67" s="264"/>
      <c r="G67" s="264"/>
      <c r="H67" s="264"/>
      <c r="I67" s="264"/>
      <c r="J67" s="264"/>
      <c r="K67" s="264"/>
      <c r="L67" s="264"/>
      <c r="M67" s="264"/>
      <c r="N67" s="264"/>
      <c r="O67" s="264"/>
      <c r="P67" s="264"/>
      <c r="Q67" s="264"/>
      <c r="R67" s="264"/>
      <c r="S67" s="264"/>
      <c r="T67" s="264"/>
      <c r="U67" s="264"/>
      <c r="V67" s="264"/>
      <c r="W67" s="264"/>
      <c r="X67" s="264"/>
    </row>
    <row r="68">
      <c r="A68" s="249">
        <f>Raw!A68</f>
        <v>64</v>
      </c>
      <c r="B68" s="250" t="str">
        <f>Raw!M68</f>
        <v>Circle</v>
      </c>
      <c r="C68" s="250">
        <f>Display_All!Q68</f>
        <v>28</v>
      </c>
      <c r="D68" s="250" t="str">
        <f>Display_All!R68</f>
        <v/>
      </c>
      <c r="E68" s="363">
        <f>Calcs!B68</f>
        <v>615.8</v>
      </c>
      <c r="F68" s="264"/>
      <c r="G68" s="264"/>
      <c r="H68" s="264"/>
      <c r="I68" s="264"/>
      <c r="J68" s="264"/>
      <c r="K68" s="264"/>
      <c r="L68" s="264"/>
      <c r="M68" s="264"/>
      <c r="N68" s="264"/>
      <c r="O68" s="264"/>
      <c r="P68" s="264"/>
      <c r="Q68" s="264"/>
      <c r="R68" s="264"/>
      <c r="S68" s="264"/>
      <c r="T68" s="264"/>
      <c r="U68" s="264"/>
      <c r="V68" s="264"/>
      <c r="W68" s="264"/>
      <c r="X68" s="264"/>
    </row>
    <row r="69">
      <c r="A69" s="249">
        <f>Raw!A69</f>
        <v>65</v>
      </c>
      <c r="B69" s="250" t="str">
        <f>Raw!M69</f>
        <v>Circle</v>
      </c>
      <c r="C69" s="250" t="str">
        <f>Display_All!Q69</f>
        <v>30 to 22</v>
      </c>
      <c r="D69" s="250" t="str">
        <f>Display_All!R69</f>
        <v>28 (E)</v>
      </c>
      <c r="E69" s="363" t="str">
        <f>Calcs!B69</f>
        <v>615.8 (E)</v>
      </c>
      <c r="F69" s="264"/>
      <c r="G69" s="264"/>
      <c r="H69" s="264"/>
      <c r="I69" s="264"/>
      <c r="J69" s="264"/>
      <c r="K69" s="264"/>
      <c r="L69" s="264"/>
      <c r="M69" s="264"/>
      <c r="N69" s="264"/>
      <c r="O69" s="264"/>
      <c r="P69" s="264"/>
      <c r="Q69" s="264"/>
      <c r="R69" s="264"/>
      <c r="S69" s="264"/>
      <c r="T69" s="264"/>
      <c r="U69" s="264"/>
      <c r="V69" s="264"/>
      <c r="W69" s="264"/>
      <c r="X69" s="264"/>
    </row>
    <row r="70">
      <c r="A70" s="249">
        <f>Raw!A70</f>
        <v>66</v>
      </c>
      <c r="B70" s="250" t="str">
        <f>Raw!M70</f>
        <v>Circle</v>
      </c>
      <c r="C70" s="250" t="str">
        <f>Display_All!Q70</f>
        <v>30 to 20</v>
      </c>
      <c r="D70" s="250">
        <f>Display_All!R70</f>
        <v>25</v>
      </c>
      <c r="E70" s="363">
        <f>Calcs!B70</f>
        <v>490.9</v>
      </c>
      <c r="F70" s="264"/>
      <c r="G70" s="264"/>
      <c r="H70" s="264"/>
      <c r="I70" s="264"/>
      <c r="J70" s="264"/>
      <c r="K70" s="264"/>
      <c r="L70" s="264"/>
      <c r="M70" s="264"/>
      <c r="N70" s="264"/>
      <c r="O70" s="264"/>
      <c r="P70" s="264"/>
      <c r="Q70" s="264"/>
      <c r="R70" s="264"/>
      <c r="S70" s="264"/>
      <c r="T70" s="264"/>
      <c r="U70" s="264"/>
      <c r="V70" s="264"/>
      <c r="W70" s="264"/>
      <c r="X70" s="264"/>
    </row>
    <row r="71">
      <c r="A71" s="249">
        <f>Raw!A71</f>
        <v>67</v>
      </c>
      <c r="B71" s="250" t="str">
        <f>Raw!M71</f>
        <v>Circle</v>
      </c>
      <c r="C71" s="250" t="str">
        <f>Display_All!Q71</f>
        <v>30 to 20</v>
      </c>
      <c r="D71" s="250">
        <f>Display_All!R71</f>
        <v>25</v>
      </c>
      <c r="E71" s="363">
        <f>Calcs!B71</f>
        <v>490.9</v>
      </c>
      <c r="F71" s="264"/>
      <c r="G71" s="264"/>
      <c r="H71" s="264"/>
      <c r="I71" s="264"/>
      <c r="J71" s="264"/>
      <c r="K71" s="264"/>
      <c r="L71" s="264"/>
      <c r="M71" s="264"/>
      <c r="N71" s="264"/>
      <c r="O71" s="264"/>
      <c r="P71" s="264"/>
      <c r="Q71" s="264"/>
      <c r="R71" s="264"/>
      <c r="S71" s="264"/>
      <c r="T71" s="264"/>
      <c r="U71" s="264"/>
      <c r="V71" s="264"/>
      <c r="W71" s="264"/>
      <c r="X71" s="264"/>
    </row>
    <row r="72">
      <c r="A72" s="249">
        <f>Raw!A72</f>
        <v>68</v>
      </c>
      <c r="B72" s="250" t="str">
        <f>Raw!M72</f>
        <v>Circle</v>
      </c>
      <c r="C72" s="250" t="str">
        <f>Display_All!Q72</f>
        <v>30 to 20</v>
      </c>
      <c r="D72" s="250">
        <f>Display_All!R72</f>
        <v>25</v>
      </c>
      <c r="E72" s="363">
        <f>Calcs!B72</f>
        <v>490.9</v>
      </c>
      <c r="F72" s="264"/>
      <c r="G72" s="264"/>
      <c r="H72" s="264"/>
      <c r="I72" s="264"/>
      <c r="J72" s="264"/>
      <c r="K72" s="264"/>
      <c r="L72" s="264"/>
      <c r="M72" s="264"/>
      <c r="N72" s="264"/>
      <c r="O72" s="264"/>
      <c r="P72" s="264"/>
      <c r="Q72" s="264"/>
      <c r="R72" s="264"/>
      <c r="S72" s="264"/>
      <c r="T72" s="264"/>
      <c r="U72" s="264"/>
      <c r="V72" s="264"/>
      <c r="W72" s="264"/>
      <c r="X72" s="264"/>
    </row>
    <row r="73" hidden="1">
      <c r="A73" s="249">
        <f>Raw!A73</f>
        <v>69</v>
      </c>
      <c r="B73" s="250" t="str">
        <f>Raw!M73</f>
        <v>Circle</v>
      </c>
      <c r="C73" s="250" t="str">
        <f>if(B73="Rectangle",concatenate(Raw!U73," x ",Raw!V73),if(B73="Oval",concatenate(Raw!U73," by ",Raw!V73),if(isnumber(Raw!V73),concatenate(Raw!U73," to ",Raw!V73),Raw!U73)))</f>
        <v>40 to 20</v>
      </c>
      <c r="D73" s="250">
        <f>if(AND(Raw!Z73="Y",isnumber(Raw!X73)),concatenate(Raw!X73," (E)"),Raw!X73)</f>
        <v>35</v>
      </c>
      <c r="E73" s="363">
        <f>Calcs!B73</f>
        <v>962.1</v>
      </c>
      <c r="F73" s="264"/>
      <c r="G73" s="264"/>
      <c r="H73" s="264"/>
      <c r="I73" s="264"/>
      <c r="J73" s="264"/>
      <c r="K73" s="264"/>
      <c r="L73" s="264"/>
      <c r="M73" s="264"/>
      <c r="N73" s="264"/>
      <c r="O73" s="264"/>
      <c r="P73" s="264"/>
      <c r="Q73" s="264"/>
      <c r="R73" s="264"/>
      <c r="S73" s="264"/>
      <c r="T73" s="264"/>
      <c r="U73" s="264"/>
      <c r="V73" s="264"/>
      <c r="W73" s="264"/>
      <c r="X73" s="264"/>
    </row>
    <row r="74">
      <c r="A74" s="249" t="str">
        <f>Raw!A74</f>
        <v>70 / D30</v>
      </c>
      <c r="B74" s="250" t="str">
        <f>Raw!M74</f>
        <v>Cut-teardrop</v>
      </c>
      <c r="C74" s="250" t="str">
        <f>Display_All!Q74</f>
        <v>33 to 26</v>
      </c>
      <c r="D74" s="250" t="str">
        <f>Display_All!R74</f>
        <v/>
      </c>
      <c r="E74" s="363">
        <f>Calcs!B74</f>
        <v>785.4645792</v>
      </c>
      <c r="F74" s="264"/>
      <c r="G74" s="264"/>
      <c r="H74" s="264"/>
      <c r="I74" s="264"/>
      <c r="J74" s="264"/>
      <c r="K74" s="264"/>
      <c r="L74" s="264"/>
      <c r="M74" s="264"/>
      <c r="N74" s="264"/>
      <c r="O74" s="264"/>
      <c r="P74" s="264"/>
      <c r="Q74" s="264"/>
      <c r="R74" s="264"/>
      <c r="S74" s="264"/>
      <c r="T74" s="264"/>
      <c r="U74" s="264"/>
      <c r="V74" s="264"/>
      <c r="W74" s="264"/>
      <c r="X74" s="264"/>
    </row>
    <row r="75">
      <c r="A75" s="249">
        <f>Raw!A75</f>
        <v>71</v>
      </c>
      <c r="B75" s="250" t="str">
        <f>Raw!M75</f>
        <v>Circle</v>
      </c>
      <c r="C75" s="250">
        <f>Display_All!Q75</f>
        <v>25</v>
      </c>
      <c r="D75" s="250" t="str">
        <f>Display_All!R75</f>
        <v/>
      </c>
      <c r="E75" s="363">
        <f>Calcs!B75</f>
        <v>490.9</v>
      </c>
      <c r="F75" s="264"/>
      <c r="G75" s="264"/>
      <c r="H75" s="264"/>
      <c r="I75" s="264"/>
      <c r="J75" s="264"/>
      <c r="K75" s="264"/>
      <c r="L75" s="264"/>
      <c r="M75" s="264"/>
      <c r="N75" s="264"/>
      <c r="O75" s="264"/>
      <c r="P75" s="264"/>
      <c r="Q75" s="264"/>
      <c r="R75" s="264"/>
      <c r="S75" s="264"/>
      <c r="T75" s="264"/>
      <c r="U75" s="264"/>
      <c r="V75" s="264"/>
      <c r="W75" s="264"/>
      <c r="X75" s="264"/>
    </row>
    <row r="76">
      <c r="A76" s="249">
        <f>Raw!A76</f>
        <v>72</v>
      </c>
      <c r="B76" s="250" t="str">
        <f>Raw!M76</f>
        <v>Circle</v>
      </c>
      <c r="C76" s="250">
        <f>Display_All!Q76</f>
        <v>25</v>
      </c>
      <c r="D76" s="250" t="str">
        <f>Display_All!R76</f>
        <v/>
      </c>
      <c r="E76" s="363">
        <f>Calcs!B76</f>
        <v>490.9</v>
      </c>
      <c r="F76" s="264"/>
      <c r="G76" s="264"/>
      <c r="H76" s="264"/>
      <c r="I76" s="264"/>
      <c r="J76" s="264"/>
      <c r="K76" s="264"/>
      <c r="L76" s="264"/>
      <c r="M76" s="264"/>
      <c r="N76" s="264"/>
      <c r="O76" s="264"/>
      <c r="P76" s="264"/>
      <c r="Q76" s="264"/>
      <c r="R76" s="264"/>
      <c r="S76" s="264"/>
      <c r="T76" s="264"/>
      <c r="U76" s="264"/>
      <c r="V76" s="264"/>
      <c r="W76" s="264"/>
      <c r="X76" s="264"/>
    </row>
    <row r="77">
      <c r="A77" s="249">
        <f>Raw!A77</f>
        <v>73</v>
      </c>
      <c r="B77" s="250" t="str">
        <f>Raw!M77</f>
        <v>Circle</v>
      </c>
      <c r="C77" s="250">
        <f>Display_All!Q77</f>
        <v>25</v>
      </c>
      <c r="D77" s="250" t="str">
        <f>Display_All!R77</f>
        <v/>
      </c>
      <c r="E77" s="363">
        <f>Calcs!B77</f>
        <v>490.9</v>
      </c>
      <c r="F77" s="264"/>
      <c r="G77" s="264"/>
      <c r="H77" s="264"/>
      <c r="I77" s="264"/>
      <c r="J77" s="264"/>
      <c r="K77" s="264"/>
      <c r="L77" s="264"/>
      <c r="M77" s="264"/>
      <c r="N77" s="264"/>
      <c r="O77" s="264"/>
      <c r="P77" s="264"/>
      <c r="Q77" s="264"/>
      <c r="R77" s="264"/>
      <c r="S77" s="264"/>
      <c r="T77" s="264"/>
      <c r="U77" s="264"/>
      <c r="V77" s="264"/>
      <c r="W77" s="264"/>
      <c r="X77" s="264"/>
    </row>
    <row r="78">
      <c r="A78" s="249">
        <f>Raw!A78</f>
        <v>74</v>
      </c>
      <c r="B78" s="250" t="str">
        <f>Raw!M78</f>
        <v>Circle</v>
      </c>
      <c r="C78" s="250">
        <f>Display_All!Q78</f>
        <v>23.5</v>
      </c>
      <c r="D78" s="250" t="str">
        <f>Display_All!R78</f>
        <v/>
      </c>
      <c r="E78" s="363">
        <f>Calcs!B78</f>
        <v>433.7</v>
      </c>
      <c r="F78" s="264"/>
      <c r="G78" s="264"/>
      <c r="H78" s="264"/>
      <c r="I78" s="264"/>
      <c r="J78" s="264"/>
      <c r="K78" s="264"/>
      <c r="L78" s="264"/>
      <c r="M78" s="264"/>
      <c r="N78" s="264"/>
      <c r="O78" s="264"/>
      <c r="P78" s="264"/>
      <c r="Q78" s="264"/>
      <c r="R78" s="264"/>
      <c r="S78" s="264"/>
      <c r="T78" s="264"/>
      <c r="U78" s="264"/>
      <c r="V78" s="264"/>
      <c r="W78" s="264"/>
      <c r="X78" s="264"/>
    </row>
    <row r="79">
      <c r="A79" s="249">
        <f>Raw!A79</f>
        <v>75</v>
      </c>
      <c r="B79" s="250" t="str">
        <f>Raw!M79</f>
        <v>Circle</v>
      </c>
      <c r="C79" s="250" t="str">
        <f>Display_All!Q79</f>
        <v>30 to 22</v>
      </c>
      <c r="D79" s="250" t="str">
        <f>Display_All!R79</f>
        <v>25 (E)</v>
      </c>
      <c r="E79" s="363" t="str">
        <f>Calcs!B79</f>
        <v>490.9 (E)</v>
      </c>
      <c r="F79" s="264"/>
      <c r="G79" s="264"/>
      <c r="H79" s="264"/>
      <c r="I79" s="264"/>
      <c r="J79" s="264"/>
      <c r="K79" s="264"/>
      <c r="L79" s="264"/>
      <c r="M79" s="264"/>
      <c r="N79" s="264"/>
      <c r="O79" s="264"/>
      <c r="P79" s="264"/>
      <c r="Q79" s="264"/>
      <c r="R79" s="264"/>
      <c r="S79" s="264"/>
      <c r="T79" s="264"/>
      <c r="U79" s="264"/>
      <c r="V79" s="264"/>
      <c r="W79" s="264"/>
      <c r="X79" s="264"/>
    </row>
    <row r="80">
      <c r="A80" s="249">
        <f>Raw!A80</f>
        <v>76</v>
      </c>
      <c r="B80" s="250" t="str">
        <f>Raw!M80</f>
        <v>Circle</v>
      </c>
      <c r="C80" s="250" t="str">
        <f>Display_All!Q80</f>
        <v>29 to 25.5</v>
      </c>
      <c r="D80" s="250">
        <f>Display_All!R80</f>
        <v>28</v>
      </c>
      <c r="E80" s="363">
        <f>Calcs!B80</f>
        <v>615.8</v>
      </c>
      <c r="F80" s="264"/>
      <c r="G80" s="264"/>
      <c r="H80" s="264"/>
      <c r="I80" s="264"/>
      <c r="J80" s="264"/>
      <c r="K80" s="264"/>
      <c r="L80" s="264"/>
      <c r="M80" s="264"/>
      <c r="N80" s="264"/>
      <c r="O80" s="264"/>
      <c r="P80" s="264"/>
      <c r="Q80" s="264"/>
      <c r="R80" s="264"/>
      <c r="S80" s="264"/>
      <c r="T80" s="264"/>
      <c r="U80" s="264"/>
      <c r="V80" s="264"/>
      <c r="W80" s="264"/>
      <c r="X80" s="264"/>
    </row>
    <row r="81">
      <c r="A81" s="249">
        <f>Raw!A81</f>
        <v>77</v>
      </c>
      <c r="B81" s="250" t="str">
        <f>Raw!M81</f>
        <v>Circle</v>
      </c>
      <c r="C81" s="250" t="str">
        <f>Display_All!Q81</f>
        <v>36 to 19</v>
      </c>
      <c r="D81" s="250">
        <f>Display_All!R81</f>
        <v>33</v>
      </c>
      <c r="E81" s="363">
        <f>Calcs!B81</f>
        <v>855.3</v>
      </c>
      <c r="F81" s="264"/>
      <c r="G81" s="264"/>
      <c r="H81" s="264"/>
      <c r="I81" s="264"/>
      <c r="J81" s="264"/>
      <c r="K81" s="264"/>
      <c r="L81" s="264"/>
      <c r="M81" s="264"/>
      <c r="N81" s="264"/>
      <c r="O81" s="264"/>
      <c r="P81" s="264"/>
      <c r="Q81" s="264"/>
      <c r="R81" s="264"/>
      <c r="S81" s="264"/>
      <c r="T81" s="264"/>
      <c r="U81" s="264"/>
      <c r="V81" s="264"/>
      <c r="W81" s="264"/>
      <c r="X81" s="264"/>
    </row>
    <row r="82">
      <c r="A82" s="249">
        <f>Raw!A82</f>
        <v>78</v>
      </c>
      <c r="B82" s="250" t="str">
        <f>Raw!M82</f>
        <v>Circle</v>
      </c>
      <c r="C82" s="250">
        <f>Display_All!Q82</f>
        <v>26</v>
      </c>
      <c r="D82" s="250" t="str">
        <f>Display_All!R82</f>
        <v/>
      </c>
      <c r="E82" s="363">
        <f>Calcs!B82</f>
        <v>530.9</v>
      </c>
      <c r="F82" s="264"/>
      <c r="G82" s="264"/>
      <c r="H82" s="264"/>
      <c r="I82" s="264"/>
      <c r="J82" s="264"/>
      <c r="K82" s="264"/>
      <c r="L82" s="264"/>
      <c r="M82" s="264"/>
      <c r="N82" s="264"/>
      <c r="O82" s="264"/>
      <c r="P82" s="264"/>
      <c r="Q82" s="264"/>
      <c r="R82" s="264"/>
      <c r="S82" s="264"/>
      <c r="T82" s="264"/>
      <c r="U82" s="264"/>
      <c r="V82" s="264"/>
      <c r="W82" s="264"/>
      <c r="X82" s="264"/>
    </row>
    <row r="83">
      <c r="A83" s="249">
        <f>Raw!A83</f>
        <v>79</v>
      </c>
      <c r="B83" s="250" t="str">
        <f>Raw!M83</f>
        <v>Circle</v>
      </c>
      <c r="C83" s="250">
        <f>Display_All!Q83</f>
        <v>27</v>
      </c>
      <c r="D83" s="250" t="str">
        <f>Display_All!R83</f>
        <v/>
      </c>
      <c r="E83" s="363">
        <f>Calcs!B83</f>
        <v>572.6</v>
      </c>
      <c r="F83" s="264"/>
      <c r="G83" s="264"/>
      <c r="H83" s="264"/>
      <c r="I83" s="264"/>
      <c r="J83" s="264"/>
      <c r="K83" s="264"/>
      <c r="L83" s="264"/>
      <c r="M83" s="264"/>
      <c r="N83" s="264"/>
      <c r="O83" s="264"/>
      <c r="P83" s="264"/>
      <c r="Q83" s="264"/>
      <c r="R83" s="264"/>
      <c r="S83" s="264"/>
      <c r="T83" s="264"/>
      <c r="U83" s="264"/>
      <c r="V83" s="264"/>
      <c r="W83" s="264"/>
      <c r="X83" s="264"/>
    </row>
    <row r="84">
      <c r="A84" s="249">
        <f>Raw!A84</f>
        <v>80</v>
      </c>
      <c r="B84" s="250" t="str">
        <f>Raw!M84</f>
        <v>Circle</v>
      </c>
      <c r="C84" s="250">
        <f>Display_All!Q84</f>
        <v>27</v>
      </c>
      <c r="D84" s="250" t="str">
        <f>Display_All!R84</f>
        <v/>
      </c>
      <c r="E84" s="363">
        <f>Calcs!B84</f>
        <v>572.6</v>
      </c>
      <c r="F84" s="264"/>
      <c r="G84" s="264"/>
      <c r="H84" s="264"/>
      <c r="I84" s="264"/>
      <c r="J84" s="264"/>
      <c r="K84" s="264"/>
      <c r="L84" s="264"/>
      <c r="M84" s="264"/>
      <c r="N84" s="264"/>
      <c r="O84" s="264"/>
      <c r="P84" s="264"/>
      <c r="Q84" s="264"/>
      <c r="R84" s="264"/>
      <c r="S84" s="264"/>
      <c r="T84" s="264"/>
      <c r="U84" s="264"/>
      <c r="V84" s="264"/>
      <c r="W84" s="264"/>
      <c r="X84" s="264"/>
    </row>
    <row r="85">
      <c r="A85" s="249">
        <f>Raw!A85</f>
        <v>81</v>
      </c>
      <c r="B85" s="250" t="str">
        <f>Raw!M85</f>
        <v>Circle</v>
      </c>
      <c r="C85" s="250">
        <f>Display_All!Q85</f>
        <v>30</v>
      </c>
      <c r="D85" s="250" t="str">
        <f>Display_All!R85</f>
        <v/>
      </c>
      <c r="E85" s="363">
        <f>Calcs!B85</f>
        <v>706.9</v>
      </c>
      <c r="F85" s="264"/>
      <c r="G85" s="264"/>
      <c r="H85" s="264"/>
      <c r="I85" s="264"/>
      <c r="J85" s="264"/>
      <c r="K85" s="264"/>
      <c r="L85" s="264"/>
      <c r="M85" s="264"/>
      <c r="N85" s="264"/>
      <c r="O85" s="264"/>
      <c r="P85" s="264"/>
      <c r="Q85" s="264"/>
      <c r="R85" s="264"/>
      <c r="S85" s="264"/>
      <c r="T85" s="264"/>
      <c r="U85" s="264"/>
      <c r="V85" s="264"/>
      <c r="W85" s="264"/>
      <c r="X85" s="264"/>
    </row>
    <row r="86">
      <c r="A86" s="249">
        <f>Raw!A86</f>
        <v>82</v>
      </c>
      <c r="B86" s="250" t="str">
        <f>Raw!M86</f>
        <v>Circle to Oval</v>
      </c>
      <c r="C86" s="250" t="str">
        <f>Display_All!Q86</f>
        <v>30 to 20</v>
      </c>
      <c r="D86" s="250">
        <f>Display_All!R86</f>
        <v>25</v>
      </c>
      <c r="E86" s="363">
        <f>Calcs!B86</f>
        <v>490.9</v>
      </c>
      <c r="F86" s="264"/>
      <c r="G86" s="264"/>
      <c r="H86" s="264"/>
      <c r="I86" s="264"/>
      <c r="J86" s="264"/>
      <c r="K86" s="264"/>
      <c r="L86" s="264"/>
      <c r="M86" s="264"/>
      <c r="N86" s="264"/>
      <c r="O86" s="264"/>
      <c r="P86" s="264"/>
      <c r="Q86" s="264"/>
      <c r="R86" s="264"/>
      <c r="S86" s="264"/>
      <c r="T86" s="264"/>
      <c r="U86" s="264"/>
      <c r="V86" s="264"/>
      <c r="W86" s="264"/>
      <c r="X86" s="264"/>
    </row>
    <row r="87">
      <c r="A87" s="249">
        <f>Raw!A87</f>
        <v>83</v>
      </c>
      <c r="B87" s="250" t="str">
        <f>Raw!M87</f>
        <v>Circle to Oval</v>
      </c>
      <c r="C87" s="250" t="str">
        <f>Display_All!Q87</f>
        <v>30 to 20</v>
      </c>
      <c r="D87" s="250">
        <f>Display_All!R87</f>
        <v>25</v>
      </c>
      <c r="E87" s="363">
        <f>Calcs!B87</f>
        <v>490.9</v>
      </c>
      <c r="F87" s="264"/>
      <c r="G87" s="264"/>
      <c r="H87" s="264"/>
      <c r="I87" s="264"/>
      <c r="J87" s="264"/>
      <c r="K87" s="264"/>
      <c r="L87" s="264"/>
      <c r="M87" s="264"/>
      <c r="N87" s="264"/>
      <c r="O87" s="264"/>
      <c r="P87" s="264"/>
      <c r="Q87" s="264"/>
      <c r="R87" s="264"/>
      <c r="S87" s="264"/>
      <c r="T87" s="264"/>
      <c r="U87" s="264"/>
      <c r="V87" s="264"/>
      <c r="W87" s="264"/>
      <c r="X87" s="264"/>
    </row>
    <row r="88">
      <c r="A88" s="249">
        <f>Raw!A88</f>
        <v>84</v>
      </c>
      <c r="B88" s="250" t="str">
        <f>Raw!M88</f>
        <v>Circle to Oval</v>
      </c>
      <c r="C88" s="250" t="str">
        <f>Display_All!Q88</f>
        <v>30 to 20</v>
      </c>
      <c r="D88" s="250">
        <f>Display_All!R88</f>
        <v>25</v>
      </c>
      <c r="E88" s="363">
        <f>Calcs!B88</f>
        <v>490.9</v>
      </c>
      <c r="F88" s="264"/>
      <c r="G88" s="264"/>
      <c r="H88" s="264"/>
      <c r="I88" s="264"/>
      <c r="J88" s="264"/>
      <c r="K88" s="264"/>
      <c r="L88" s="264"/>
      <c r="M88" s="264"/>
      <c r="N88" s="264"/>
      <c r="O88" s="264"/>
      <c r="P88" s="264"/>
      <c r="Q88" s="264"/>
      <c r="R88" s="264"/>
      <c r="S88" s="264"/>
      <c r="T88" s="264"/>
      <c r="U88" s="264"/>
      <c r="V88" s="264"/>
      <c r="W88" s="264"/>
      <c r="X88" s="264"/>
    </row>
    <row r="89">
      <c r="A89" s="249" t="str">
        <f>Raw!A89</f>
        <v>85 / D31</v>
      </c>
      <c r="B89" s="250" t="str">
        <f>Raw!M89</f>
        <v>Circle</v>
      </c>
      <c r="C89" s="250">
        <f>Display_All!Q89</f>
        <v>28</v>
      </c>
      <c r="D89" s="250" t="str">
        <f>Display_All!R89</f>
        <v/>
      </c>
      <c r="E89" s="363">
        <f>Calcs!B89</f>
        <v>615.8</v>
      </c>
      <c r="F89" s="264"/>
      <c r="G89" s="264"/>
      <c r="H89" s="264"/>
      <c r="I89" s="264"/>
      <c r="J89" s="264"/>
      <c r="K89" s="264"/>
      <c r="L89" s="264"/>
      <c r="M89" s="264"/>
      <c r="N89" s="264"/>
      <c r="O89" s="264"/>
      <c r="P89" s="264"/>
      <c r="Q89" s="264"/>
      <c r="R89" s="264"/>
      <c r="S89" s="264"/>
      <c r="T89" s="264"/>
      <c r="U89" s="264"/>
      <c r="V89" s="264"/>
      <c r="W89" s="264"/>
      <c r="X89" s="264"/>
    </row>
    <row r="90">
      <c r="A90" s="249">
        <f>Raw!A90</f>
        <v>86</v>
      </c>
      <c r="B90" s="250" t="str">
        <f>Raw!M90</f>
        <v>Circle to Oval</v>
      </c>
      <c r="C90" s="250" t="str">
        <f>Display_All!Q90</f>
        <v>30 to 20</v>
      </c>
      <c r="D90" s="250">
        <f>Display_All!R90</f>
        <v>25</v>
      </c>
      <c r="E90" s="363">
        <f>Calcs!B90</f>
        <v>490.9</v>
      </c>
      <c r="F90" s="264"/>
      <c r="G90" s="264"/>
      <c r="H90" s="264"/>
      <c r="I90" s="264"/>
      <c r="J90" s="264"/>
      <c r="K90" s="264"/>
      <c r="L90" s="264"/>
      <c r="M90" s="264"/>
      <c r="N90" s="264"/>
      <c r="O90" s="264"/>
      <c r="P90" s="264"/>
      <c r="Q90" s="264"/>
      <c r="R90" s="264"/>
      <c r="S90" s="264"/>
      <c r="T90" s="264"/>
      <c r="U90" s="264"/>
      <c r="V90" s="264"/>
      <c r="W90" s="264"/>
      <c r="X90" s="264"/>
    </row>
    <row r="91">
      <c r="A91" s="249" t="str">
        <f>Raw!A91</f>
        <v>87 / D32</v>
      </c>
      <c r="B91" s="250" t="str">
        <f>Raw!M91</f>
        <v>Circle to Oval</v>
      </c>
      <c r="C91" s="250" t="str">
        <f>Display_All!Q91</f>
        <v>30 to 20</v>
      </c>
      <c r="D91" s="250">
        <f>Display_All!R91</f>
        <v>25</v>
      </c>
      <c r="E91" s="363">
        <f>Calcs!B91</f>
        <v>490.9</v>
      </c>
      <c r="F91" s="264"/>
      <c r="G91" s="264"/>
      <c r="H91" s="264"/>
      <c r="I91" s="264"/>
      <c r="J91" s="264"/>
      <c r="K91" s="264"/>
      <c r="L91" s="264"/>
      <c r="M91" s="264"/>
      <c r="N91" s="264"/>
      <c r="O91" s="264"/>
      <c r="P91" s="264"/>
      <c r="Q91" s="264"/>
      <c r="R91" s="264"/>
      <c r="S91" s="264"/>
      <c r="T91" s="264"/>
      <c r="U91" s="264"/>
      <c r="V91" s="264"/>
      <c r="W91" s="264"/>
      <c r="X91" s="264"/>
    </row>
    <row r="92">
      <c r="A92" s="249" t="str">
        <f>Raw!A92</f>
        <v>88 / D33</v>
      </c>
      <c r="B92" s="250" t="str">
        <f>Raw!M92</f>
        <v>Circle</v>
      </c>
      <c r="C92" s="250">
        <f>Display_All!Q92</f>
        <v>28</v>
      </c>
      <c r="D92" s="250" t="str">
        <f>Display_All!R92</f>
        <v/>
      </c>
      <c r="E92" s="363">
        <f>Calcs!B92</f>
        <v>615.8</v>
      </c>
      <c r="F92" s="264"/>
      <c r="G92" s="264"/>
      <c r="H92" s="264"/>
      <c r="I92" s="264"/>
      <c r="J92" s="264"/>
      <c r="K92" s="264"/>
      <c r="L92" s="264"/>
      <c r="M92" s="264"/>
      <c r="N92" s="264"/>
      <c r="O92" s="264"/>
      <c r="P92" s="264"/>
      <c r="Q92" s="264"/>
      <c r="R92" s="264"/>
      <c r="S92" s="264"/>
      <c r="T92" s="264"/>
      <c r="U92" s="264"/>
      <c r="V92" s="264"/>
      <c r="W92" s="264"/>
      <c r="X92" s="264"/>
    </row>
    <row r="93">
      <c r="A93" s="249" t="str">
        <f>Raw!A93</f>
        <v>89 / D34</v>
      </c>
      <c r="B93" s="250" t="str">
        <f>Raw!M93</f>
        <v>Circle</v>
      </c>
      <c r="C93" s="250">
        <f>Display_All!Q93</f>
        <v>28</v>
      </c>
      <c r="D93" s="250" t="str">
        <f>Display_All!R93</f>
        <v/>
      </c>
      <c r="E93" s="363">
        <f>Calcs!B93</f>
        <v>615.8</v>
      </c>
      <c r="F93" s="264"/>
      <c r="G93" s="264"/>
      <c r="H93" s="264"/>
      <c r="I93" s="264"/>
      <c r="J93" s="264"/>
      <c r="K93" s="264"/>
      <c r="L93" s="264"/>
      <c r="M93" s="264"/>
      <c r="N93" s="264"/>
      <c r="O93" s="264"/>
      <c r="P93" s="264"/>
      <c r="Q93" s="264"/>
      <c r="R93" s="264"/>
      <c r="S93" s="264"/>
      <c r="T93" s="264"/>
      <c r="U93" s="264"/>
      <c r="V93" s="264"/>
      <c r="W93" s="264"/>
      <c r="X93" s="264"/>
    </row>
    <row r="94">
      <c r="A94" s="249" t="str">
        <f>Raw!A94</f>
        <v>90 / D35</v>
      </c>
      <c r="B94" s="250" t="str">
        <f>Raw!M94</f>
        <v>Circle</v>
      </c>
      <c r="C94" s="250">
        <f>Display_All!Q94</f>
        <v>28</v>
      </c>
      <c r="D94" s="250" t="str">
        <f>Display_All!R94</f>
        <v/>
      </c>
      <c r="E94" s="363">
        <f>Calcs!B94</f>
        <v>615.8</v>
      </c>
      <c r="F94" s="264"/>
      <c r="G94" s="264"/>
      <c r="H94" s="264"/>
      <c r="I94" s="264"/>
      <c r="J94" s="264"/>
      <c r="K94" s="264"/>
      <c r="L94" s="264"/>
      <c r="M94" s="264"/>
      <c r="N94" s="264"/>
      <c r="O94" s="264"/>
      <c r="P94" s="264"/>
      <c r="Q94" s="264"/>
      <c r="R94" s="264"/>
      <c r="S94" s="264"/>
      <c r="T94" s="264"/>
      <c r="U94" s="264"/>
      <c r="V94" s="264"/>
      <c r="W94" s="264"/>
      <c r="X94" s="264"/>
    </row>
    <row r="95">
      <c r="A95" s="249" t="str">
        <f>Raw!A95</f>
        <v>91 / D36</v>
      </c>
      <c r="B95" s="250" t="str">
        <f>Raw!M95</f>
        <v>Circle</v>
      </c>
      <c r="C95" s="250">
        <f>Display_All!Q95</f>
        <v>25</v>
      </c>
      <c r="D95" s="250" t="str">
        <f>Display_All!R95</f>
        <v/>
      </c>
      <c r="E95" s="363">
        <f>Calcs!B95</f>
        <v>490.9</v>
      </c>
      <c r="F95" s="264"/>
      <c r="G95" s="264"/>
      <c r="H95" s="264"/>
      <c r="I95" s="264"/>
      <c r="J95" s="264"/>
      <c r="K95" s="264"/>
      <c r="L95" s="264"/>
      <c r="M95" s="264"/>
      <c r="N95" s="264"/>
      <c r="O95" s="264"/>
      <c r="P95" s="264"/>
      <c r="Q95" s="264"/>
      <c r="R95" s="264"/>
      <c r="S95" s="264"/>
      <c r="T95" s="264"/>
      <c r="U95" s="264"/>
      <c r="V95" s="264"/>
      <c r="W95" s="264"/>
      <c r="X95" s="264"/>
    </row>
    <row r="96">
      <c r="A96" s="249">
        <f>Raw!A96</f>
        <v>92</v>
      </c>
      <c r="B96" s="250" t="str">
        <f>Raw!M96</f>
        <v>Circle</v>
      </c>
      <c r="C96" s="250">
        <f>Display_All!Q96</f>
        <v>25</v>
      </c>
      <c r="D96" s="250" t="str">
        <f>Display_All!R96</f>
        <v/>
      </c>
      <c r="E96" s="363">
        <f>Calcs!B96</f>
        <v>490.9</v>
      </c>
      <c r="F96" s="264"/>
      <c r="G96" s="264"/>
      <c r="H96" s="264"/>
      <c r="I96" s="264"/>
      <c r="J96" s="264"/>
      <c r="K96" s="264"/>
      <c r="L96" s="264"/>
      <c r="M96" s="264"/>
      <c r="N96" s="264"/>
      <c r="O96" s="264"/>
      <c r="P96" s="264"/>
      <c r="Q96" s="264"/>
      <c r="R96" s="264"/>
      <c r="S96" s="264"/>
      <c r="T96" s="264"/>
      <c r="U96" s="264"/>
      <c r="V96" s="264"/>
      <c r="W96" s="264"/>
      <c r="X96" s="264"/>
    </row>
    <row r="97">
      <c r="A97" s="249">
        <f>Raw!A97</f>
        <v>93</v>
      </c>
      <c r="B97" s="250" t="str">
        <f>Raw!M97</f>
        <v>Oval to Circle</v>
      </c>
      <c r="C97" s="250" t="str">
        <f>Display_All!Q97</f>
        <v>35 to 30</v>
      </c>
      <c r="D97" s="250" t="str">
        <f>Display_All!R97</f>
        <v>28.5 (E)</v>
      </c>
      <c r="E97" s="363" t="str">
        <f>Calcs!B97</f>
        <v>637.9 (E)</v>
      </c>
      <c r="F97" s="264"/>
      <c r="G97" s="264"/>
      <c r="H97" s="264"/>
      <c r="I97" s="264"/>
      <c r="J97" s="264"/>
      <c r="K97" s="264"/>
      <c r="L97" s="264"/>
      <c r="M97" s="264"/>
      <c r="N97" s="264"/>
      <c r="O97" s="264"/>
      <c r="P97" s="264"/>
      <c r="Q97" s="264"/>
      <c r="R97" s="264"/>
      <c r="S97" s="264"/>
      <c r="T97" s="264"/>
      <c r="U97" s="264"/>
      <c r="V97" s="264"/>
      <c r="W97" s="264"/>
      <c r="X97" s="264"/>
    </row>
    <row r="98">
      <c r="A98" s="364" t="str">
        <f>Raw!A98</f>
        <v>94 / D37</v>
      </c>
      <c r="B98" s="365" t="str">
        <f>Raw!M98</f>
        <v>Circle</v>
      </c>
      <c r="C98" s="365">
        <f>Display_All!Q98</f>
        <v>25</v>
      </c>
      <c r="D98" s="365" t="str">
        <f>Display_All!R98</f>
        <v/>
      </c>
      <c r="E98" s="366">
        <f>Calcs!B98</f>
        <v>490.9</v>
      </c>
      <c r="F98" s="264"/>
      <c r="G98" s="264"/>
      <c r="H98" s="264"/>
      <c r="I98" s="264"/>
      <c r="J98" s="264"/>
      <c r="K98" s="264"/>
      <c r="L98" s="264"/>
      <c r="M98" s="264"/>
      <c r="N98" s="264"/>
      <c r="O98" s="264"/>
      <c r="P98" s="264"/>
      <c r="Q98" s="264"/>
      <c r="R98" s="264"/>
      <c r="S98" s="264"/>
      <c r="T98" s="264"/>
      <c r="U98" s="264"/>
      <c r="V98" s="264"/>
      <c r="W98" s="264"/>
      <c r="X98" s="264"/>
    </row>
    <row r="99">
      <c r="A99" s="249" t="str">
        <f>Raw!A99</f>
        <v>95 / D38</v>
      </c>
      <c r="B99" s="250" t="str">
        <f>Raw!M99</f>
        <v>Circle</v>
      </c>
      <c r="C99" s="250">
        <f>Display_All!Q99</f>
        <v>25</v>
      </c>
      <c r="D99" s="250" t="str">
        <f>Display_All!R99</f>
        <v/>
      </c>
      <c r="E99" s="363">
        <f>Calcs!B99</f>
        <v>490.9</v>
      </c>
      <c r="F99" s="264"/>
      <c r="G99" s="264"/>
      <c r="H99" s="264"/>
      <c r="I99" s="264"/>
      <c r="J99" s="264"/>
      <c r="K99" s="264"/>
      <c r="L99" s="264"/>
      <c r="M99" s="264"/>
      <c r="N99" s="264"/>
      <c r="O99" s="264"/>
      <c r="P99" s="264"/>
      <c r="Q99" s="264"/>
      <c r="R99" s="264"/>
      <c r="S99" s="264"/>
      <c r="T99" s="264"/>
      <c r="U99" s="264"/>
      <c r="V99" s="264"/>
      <c r="W99" s="264"/>
      <c r="X99" s="264"/>
    </row>
    <row r="100">
      <c r="A100" s="249" t="str">
        <f>Raw!A100</f>
        <v>96 / D39</v>
      </c>
      <c r="B100" s="250" t="str">
        <f>Raw!M100</f>
        <v>Circle</v>
      </c>
      <c r="C100" s="250">
        <f>Display_All!Q100</f>
        <v>23</v>
      </c>
      <c r="D100" s="250">
        <f>Display_All!R100</f>
        <v>22</v>
      </c>
      <c r="E100" s="363">
        <f>Calcs!B100</f>
        <v>380.1</v>
      </c>
      <c r="F100" s="264"/>
      <c r="G100" s="264"/>
      <c r="H100" s="264"/>
      <c r="I100" s="264"/>
      <c r="J100" s="264"/>
      <c r="K100" s="264"/>
      <c r="L100" s="264"/>
      <c r="M100" s="264"/>
      <c r="N100" s="264"/>
      <c r="O100" s="264"/>
      <c r="P100" s="264"/>
      <c r="Q100" s="264"/>
      <c r="R100" s="264"/>
      <c r="S100" s="264"/>
      <c r="T100" s="264"/>
      <c r="U100" s="264"/>
      <c r="V100" s="264"/>
      <c r="W100" s="264"/>
      <c r="X100" s="264"/>
    </row>
    <row r="101">
      <c r="A101" s="249">
        <f>Raw!A101</f>
        <v>97</v>
      </c>
      <c r="B101" s="250" t="str">
        <f>Raw!M101</f>
        <v>Circle</v>
      </c>
      <c r="C101" s="250">
        <f>Display_All!Q101</f>
        <v>29</v>
      </c>
      <c r="D101" s="250">
        <f>Display_All!R101</f>
        <v>29</v>
      </c>
      <c r="E101" s="363">
        <f>Calcs!B101</f>
        <v>660.5</v>
      </c>
      <c r="F101" s="264"/>
      <c r="G101" s="264"/>
      <c r="H101" s="264"/>
      <c r="I101" s="264"/>
      <c r="J101" s="264"/>
      <c r="K101" s="264"/>
      <c r="L101" s="264"/>
      <c r="M101" s="264"/>
      <c r="N101" s="264"/>
      <c r="O101" s="264"/>
      <c r="P101" s="264"/>
      <c r="Q101" s="264"/>
      <c r="R101" s="264"/>
      <c r="S101" s="264"/>
      <c r="T101" s="264"/>
      <c r="U101" s="264"/>
      <c r="V101" s="264"/>
      <c r="W101" s="264"/>
      <c r="X101" s="264"/>
    </row>
    <row r="102">
      <c r="A102" s="249" t="str">
        <f>Raw!A102</f>
        <v>98 / D40</v>
      </c>
      <c r="B102" s="250" t="str">
        <f>Raw!M102</f>
        <v>Oval</v>
      </c>
      <c r="C102" s="250" t="str">
        <f>Display_All!Q102</f>
        <v>28 by 40</v>
      </c>
      <c r="D102" s="250">
        <f>Display_All!R102</f>
        <v>28</v>
      </c>
      <c r="E102" s="363">
        <f>Calcs!B102</f>
        <v>879.6</v>
      </c>
      <c r="F102" s="264"/>
      <c r="G102" s="264"/>
      <c r="H102" s="264"/>
      <c r="I102" s="264"/>
      <c r="J102" s="264"/>
      <c r="K102" s="264"/>
      <c r="L102" s="264"/>
      <c r="M102" s="264"/>
      <c r="N102" s="264"/>
      <c r="O102" s="264"/>
      <c r="P102" s="264"/>
      <c r="Q102" s="264"/>
      <c r="R102" s="264"/>
      <c r="S102" s="264"/>
      <c r="T102" s="264"/>
      <c r="U102" s="264"/>
      <c r="V102" s="264"/>
      <c r="W102" s="264"/>
      <c r="X102" s="264"/>
    </row>
    <row r="103">
      <c r="A103" s="249">
        <f>Raw!A103</f>
        <v>99</v>
      </c>
      <c r="B103" s="250" t="str">
        <f>Raw!M103</f>
        <v>Circle</v>
      </c>
      <c r="C103" s="250">
        <f>Display_All!Q103</f>
        <v>23</v>
      </c>
      <c r="D103" s="250">
        <f>Display_All!R103</f>
        <v>23</v>
      </c>
      <c r="E103" s="363">
        <f>Calcs!B103</f>
        <v>415.5</v>
      </c>
      <c r="F103" s="264"/>
      <c r="G103" s="264"/>
      <c r="H103" s="264"/>
      <c r="I103" s="264"/>
      <c r="J103" s="264"/>
      <c r="K103" s="264"/>
      <c r="L103" s="264"/>
      <c r="M103" s="264"/>
      <c r="N103" s="264"/>
      <c r="O103" s="264"/>
      <c r="P103" s="264"/>
      <c r="Q103" s="264"/>
      <c r="R103" s="264"/>
      <c r="S103" s="264"/>
      <c r="T103" s="264"/>
      <c r="U103" s="264"/>
      <c r="V103" s="264"/>
      <c r="W103" s="264"/>
      <c r="X103" s="264"/>
    </row>
    <row r="104">
      <c r="A104" s="265">
        <f>Raw!A104</f>
        <v>100</v>
      </c>
      <c r="B104" s="266" t="str">
        <f>Raw!M104</f>
        <v/>
      </c>
      <c r="C104" s="266" t="str">
        <f>Display_All!Q104</f>
        <v/>
      </c>
      <c r="D104" s="266" t="str">
        <f>Display_All!R104</f>
        <v/>
      </c>
      <c r="E104" s="367" t="str">
        <f>Calcs!B104</f>
        <v>ERROR</v>
      </c>
      <c r="F104" s="264"/>
      <c r="G104" s="264"/>
      <c r="H104" s="264"/>
      <c r="I104" s="264"/>
      <c r="J104" s="264"/>
      <c r="K104" s="264"/>
      <c r="L104" s="264"/>
      <c r="M104" s="264"/>
      <c r="N104" s="264"/>
      <c r="O104" s="264"/>
      <c r="P104" s="264"/>
      <c r="Q104" s="264"/>
      <c r="R104" s="264"/>
      <c r="S104" s="264"/>
      <c r="T104" s="264"/>
      <c r="U104" s="264"/>
      <c r="V104" s="264"/>
      <c r="W104" s="264"/>
      <c r="X104" s="264"/>
    </row>
    <row r="10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row>
    <row r="106">
      <c r="A106" s="264"/>
      <c r="B106" s="264"/>
      <c r="C106" s="264"/>
      <c r="D106" s="264"/>
      <c r="E106" s="264"/>
      <c r="F106" s="264"/>
      <c r="G106" s="264"/>
      <c r="H106" s="264"/>
      <c r="I106" s="264"/>
      <c r="J106" s="264"/>
      <c r="K106" s="264"/>
      <c r="L106" s="264"/>
      <c r="M106" s="264"/>
      <c r="N106" s="264"/>
      <c r="O106" s="264"/>
      <c r="P106" s="264"/>
      <c r="Q106" s="264"/>
      <c r="R106" s="264"/>
      <c r="S106" s="264"/>
      <c r="T106" s="264"/>
      <c r="U106" s="264"/>
      <c r="V106" s="264"/>
      <c r="W106" s="264"/>
      <c r="X106" s="264"/>
    </row>
    <row r="107">
      <c r="A107" s="264"/>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row>
    <row r="108">
      <c r="A108" s="264"/>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row>
    <row r="109">
      <c r="A109" s="264"/>
      <c r="B109" s="264"/>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row>
    <row r="110">
      <c r="A110" s="264"/>
      <c r="B110" s="264"/>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row>
    <row r="111">
      <c r="A111" s="264"/>
      <c r="B111" s="264"/>
      <c r="C111" s="264"/>
      <c r="D111" s="264"/>
      <c r="E111" s="264"/>
      <c r="F111" s="264"/>
      <c r="G111" s="264"/>
      <c r="H111" s="264"/>
      <c r="I111" s="264"/>
      <c r="J111" s="264"/>
      <c r="K111" s="264"/>
      <c r="L111" s="264"/>
      <c r="M111" s="264"/>
      <c r="N111" s="264"/>
      <c r="O111" s="264"/>
      <c r="P111" s="264"/>
      <c r="Q111" s="264"/>
      <c r="R111" s="264"/>
      <c r="S111" s="264"/>
      <c r="T111" s="264"/>
      <c r="U111" s="264"/>
      <c r="V111" s="264"/>
      <c r="W111" s="264"/>
      <c r="X111" s="264"/>
    </row>
    <row r="112">
      <c r="A112" s="264"/>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c r="A113" s="264"/>
      <c r="B113" s="264"/>
      <c r="C113" s="264"/>
      <c r="D113" s="264"/>
      <c r="E113" s="264"/>
      <c r="F113" s="264"/>
      <c r="G113" s="264"/>
      <c r="H113" s="264"/>
      <c r="I113" s="264"/>
      <c r="J113" s="264"/>
      <c r="K113" s="264"/>
      <c r="L113" s="264"/>
      <c r="M113" s="264"/>
      <c r="N113" s="264"/>
      <c r="O113" s="264"/>
      <c r="P113" s="264"/>
      <c r="Q113" s="264"/>
      <c r="R113" s="264"/>
      <c r="S113" s="264"/>
      <c r="T113" s="264"/>
      <c r="U113" s="264"/>
      <c r="V113" s="264"/>
      <c r="W113" s="264"/>
      <c r="X113" s="264"/>
    </row>
    <row r="114">
      <c r="A114" s="264"/>
      <c r="B114" s="264"/>
      <c r="C114" s="264"/>
      <c r="D114" s="264"/>
      <c r="E114" s="264"/>
      <c r="F114" s="264"/>
      <c r="G114" s="264"/>
      <c r="H114" s="264"/>
      <c r="I114" s="264"/>
      <c r="J114" s="264"/>
      <c r="K114" s="264"/>
      <c r="L114" s="264"/>
      <c r="M114" s="264"/>
      <c r="N114" s="264"/>
      <c r="O114" s="264"/>
      <c r="P114" s="264"/>
      <c r="Q114" s="264"/>
      <c r="R114" s="264"/>
      <c r="S114" s="264"/>
      <c r="T114" s="264"/>
      <c r="U114" s="264"/>
      <c r="V114" s="264"/>
      <c r="W114" s="264"/>
      <c r="X114" s="264"/>
    </row>
    <row r="115">
      <c r="A115" s="264"/>
      <c r="B115" s="264"/>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row>
    <row r="116">
      <c r="A116" s="264"/>
      <c r="B116" s="264"/>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row>
    <row r="117">
      <c r="A117" s="264"/>
      <c r="B117" s="264"/>
      <c r="C117" s="264"/>
      <c r="D117" s="264"/>
      <c r="E117" s="264"/>
      <c r="F117" s="264"/>
      <c r="G117" s="264"/>
      <c r="H117" s="264"/>
      <c r="I117" s="264"/>
      <c r="J117" s="264"/>
      <c r="K117" s="264"/>
      <c r="L117" s="264"/>
      <c r="M117" s="264"/>
      <c r="N117" s="264"/>
      <c r="O117" s="264"/>
      <c r="P117" s="264"/>
      <c r="Q117" s="264"/>
      <c r="R117" s="264"/>
      <c r="S117" s="264"/>
      <c r="T117" s="264"/>
      <c r="U117" s="264"/>
      <c r="V117" s="264"/>
      <c r="W117" s="264"/>
      <c r="X117" s="264"/>
    </row>
    <row r="118">
      <c r="A118" s="264"/>
      <c r="B118" s="264"/>
      <c r="C118" s="264"/>
      <c r="D118" s="264"/>
      <c r="E118" s="264"/>
      <c r="F118" s="264"/>
      <c r="G118" s="264"/>
      <c r="H118" s="264"/>
      <c r="I118" s="264"/>
      <c r="J118" s="264"/>
      <c r="K118" s="264"/>
      <c r="L118" s="264"/>
      <c r="M118" s="264"/>
      <c r="N118" s="264"/>
      <c r="O118" s="264"/>
      <c r="P118" s="264"/>
      <c r="Q118" s="264"/>
      <c r="R118" s="264"/>
      <c r="S118" s="264"/>
      <c r="T118" s="264"/>
      <c r="U118" s="264"/>
      <c r="V118" s="264"/>
      <c r="W118" s="264"/>
      <c r="X118" s="264"/>
    </row>
    <row r="119">
      <c r="A119" s="264"/>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264"/>
    </row>
    <row r="120">
      <c r="A120" s="264"/>
      <c r="B120" s="264"/>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264"/>
    </row>
    <row r="121">
      <c r="A121" s="264"/>
      <c r="B121" s="264"/>
      <c r="C121" s="264"/>
      <c r="D121" s="264"/>
      <c r="E121" s="264"/>
      <c r="F121" s="264"/>
      <c r="G121" s="264"/>
      <c r="H121" s="264"/>
      <c r="I121" s="264"/>
      <c r="J121" s="264"/>
      <c r="K121" s="264"/>
      <c r="L121" s="264"/>
      <c r="M121" s="264"/>
      <c r="N121" s="264"/>
      <c r="O121" s="264"/>
      <c r="P121" s="264"/>
      <c r="Q121" s="264"/>
      <c r="R121" s="264"/>
      <c r="S121" s="264"/>
      <c r="T121" s="264"/>
      <c r="U121" s="264"/>
      <c r="V121" s="264"/>
      <c r="W121" s="264"/>
      <c r="X121" s="264"/>
    </row>
    <row r="122">
      <c r="A122" s="264"/>
      <c r="B122" s="264"/>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row>
    <row r="123">
      <c r="A123" s="264"/>
      <c r="B123" s="264"/>
      <c r="C123" s="264"/>
      <c r="D123" s="264"/>
      <c r="E123" s="264"/>
      <c r="F123" s="264"/>
      <c r="G123" s="264"/>
      <c r="H123" s="264"/>
      <c r="I123" s="264"/>
      <c r="J123" s="264"/>
      <c r="K123" s="264"/>
      <c r="L123" s="264"/>
      <c r="M123" s="264"/>
      <c r="N123" s="264"/>
      <c r="O123" s="264"/>
      <c r="P123" s="264"/>
      <c r="Q123" s="264"/>
      <c r="R123" s="264"/>
      <c r="S123" s="264"/>
      <c r="T123" s="264"/>
      <c r="U123" s="264"/>
      <c r="V123" s="264"/>
      <c r="W123" s="264"/>
      <c r="X123" s="264"/>
    </row>
    <row r="124">
      <c r="A124" s="264"/>
      <c r="B124" s="264"/>
      <c r="C124" s="264"/>
      <c r="D124" s="264"/>
      <c r="E124" s="264"/>
      <c r="F124" s="264"/>
      <c r="G124" s="264"/>
      <c r="H124" s="264"/>
      <c r="I124" s="264"/>
      <c r="J124" s="264"/>
      <c r="K124" s="264"/>
      <c r="L124" s="264"/>
      <c r="M124" s="264"/>
      <c r="N124" s="264"/>
      <c r="O124" s="264"/>
      <c r="P124" s="264"/>
      <c r="Q124" s="264"/>
      <c r="R124" s="264"/>
      <c r="S124" s="264"/>
      <c r="T124" s="264"/>
      <c r="U124" s="264"/>
      <c r="V124" s="264"/>
      <c r="W124" s="264"/>
      <c r="X124" s="264"/>
    </row>
    <row r="125">
      <c r="A125" s="264"/>
      <c r="B125" s="264"/>
      <c r="C125" s="264"/>
      <c r="D125" s="264"/>
      <c r="E125" s="264"/>
      <c r="F125" s="264"/>
      <c r="G125" s="264"/>
      <c r="H125" s="264"/>
      <c r="I125" s="264"/>
      <c r="J125" s="264"/>
      <c r="K125" s="264"/>
      <c r="L125" s="264"/>
      <c r="M125" s="264"/>
      <c r="N125" s="264"/>
      <c r="O125" s="264"/>
      <c r="P125" s="264"/>
      <c r="Q125" s="264"/>
      <c r="R125" s="264"/>
      <c r="S125" s="264"/>
      <c r="T125" s="264"/>
      <c r="U125" s="264"/>
      <c r="V125" s="264"/>
      <c r="W125" s="264"/>
      <c r="X125" s="264"/>
    </row>
    <row r="126">
      <c r="A126" s="264"/>
      <c r="B126" s="264"/>
      <c r="C126" s="264"/>
      <c r="D126" s="264"/>
      <c r="E126" s="264"/>
      <c r="F126" s="264"/>
      <c r="G126" s="264"/>
      <c r="H126" s="264"/>
      <c r="I126" s="264"/>
      <c r="J126" s="264"/>
      <c r="K126" s="264"/>
      <c r="L126" s="264"/>
      <c r="M126" s="264"/>
      <c r="N126" s="264"/>
      <c r="O126" s="264"/>
      <c r="P126" s="264"/>
      <c r="Q126" s="264"/>
      <c r="R126" s="264"/>
      <c r="S126" s="264"/>
      <c r="T126" s="264"/>
      <c r="U126" s="264"/>
      <c r="V126" s="264"/>
      <c r="W126" s="264"/>
      <c r="X126" s="264"/>
    </row>
    <row r="127">
      <c r="A127" s="264"/>
      <c r="B127" s="264"/>
      <c r="C127" s="264"/>
      <c r="D127" s="264"/>
      <c r="E127" s="264"/>
      <c r="F127" s="264"/>
      <c r="G127" s="264"/>
      <c r="H127" s="264"/>
      <c r="I127" s="264"/>
      <c r="J127" s="264"/>
      <c r="K127" s="264"/>
      <c r="L127" s="264"/>
      <c r="M127" s="264"/>
      <c r="N127" s="264"/>
      <c r="O127" s="264"/>
      <c r="P127" s="264"/>
      <c r="Q127" s="264"/>
      <c r="R127" s="264"/>
      <c r="S127" s="264"/>
      <c r="T127" s="264"/>
      <c r="U127" s="264"/>
      <c r="V127" s="264"/>
      <c r="W127" s="264"/>
      <c r="X127" s="264"/>
    </row>
    <row r="128">
      <c r="A128" s="264"/>
      <c r="B128" s="264"/>
      <c r="C128" s="264"/>
      <c r="D128" s="264"/>
      <c r="E128" s="264"/>
      <c r="F128" s="264"/>
      <c r="G128" s="264"/>
      <c r="H128" s="264"/>
      <c r="I128" s="264"/>
      <c r="J128" s="264"/>
      <c r="K128" s="264"/>
      <c r="L128" s="264"/>
      <c r="M128" s="264"/>
      <c r="N128" s="264"/>
      <c r="O128" s="264"/>
      <c r="P128" s="264"/>
      <c r="Q128" s="264"/>
      <c r="R128" s="264"/>
      <c r="S128" s="264"/>
      <c r="T128" s="264"/>
      <c r="U128" s="264"/>
      <c r="V128" s="264"/>
      <c r="W128" s="264"/>
      <c r="X128" s="264"/>
    </row>
    <row r="129">
      <c r="A129" s="264"/>
      <c r="B129" s="264"/>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row>
    <row r="130">
      <c r="A130" s="264"/>
      <c r="B130" s="264"/>
      <c r="C130" s="264"/>
      <c r="D130" s="264"/>
      <c r="E130" s="264"/>
      <c r="F130" s="264"/>
      <c r="G130" s="264"/>
      <c r="H130" s="264"/>
      <c r="I130" s="264"/>
      <c r="J130" s="264"/>
      <c r="K130" s="264"/>
      <c r="L130" s="264"/>
      <c r="M130" s="264"/>
      <c r="N130" s="264"/>
      <c r="O130" s="264"/>
      <c r="P130" s="264"/>
      <c r="Q130" s="264"/>
      <c r="R130" s="264"/>
      <c r="S130" s="264"/>
      <c r="T130" s="264"/>
      <c r="U130" s="264"/>
      <c r="V130" s="264"/>
      <c r="W130" s="264"/>
      <c r="X130" s="264"/>
    </row>
    <row r="131">
      <c r="A131" s="264"/>
      <c r="B131" s="264"/>
      <c r="C131" s="264"/>
      <c r="D131" s="264"/>
      <c r="E131" s="264"/>
      <c r="F131" s="264"/>
      <c r="G131" s="264"/>
      <c r="H131" s="264"/>
      <c r="I131" s="264"/>
      <c r="J131" s="264"/>
      <c r="K131" s="264"/>
      <c r="L131" s="264"/>
      <c r="M131" s="264"/>
      <c r="N131" s="264"/>
      <c r="O131" s="264"/>
      <c r="P131" s="264"/>
      <c r="Q131" s="264"/>
      <c r="R131" s="264"/>
      <c r="S131" s="264"/>
      <c r="T131" s="264"/>
      <c r="U131" s="264"/>
      <c r="V131" s="264"/>
      <c r="W131" s="264"/>
      <c r="X131" s="264"/>
    </row>
    <row r="132">
      <c r="A132" s="264"/>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row>
    <row r="133">
      <c r="A133" s="264"/>
      <c r="B133" s="264"/>
      <c r="C133" s="264"/>
      <c r="D133" s="264"/>
      <c r="E133" s="264"/>
      <c r="F133" s="264"/>
      <c r="G133" s="264"/>
      <c r="H133" s="264"/>
      <c r="I133" s="264"/>
      <c r="J133" s="264"/>
      <c r="K133" s="264"/>
      <c r="L133" s="264"/>
      <c r="M133" s="264"/>
      <c r="N133" s="264"/>
      <c r="O133" s="264"/>
      <c r="P133" s="264"/>
      <c r="Q133" s="264"/>
      <c r="R133" s="264"/>
      <c r="S133" s="264"/>
      <c r="T133" s="264"/>
      <c r="U133" s="264"/>
      <c r="V133" s="264"/>
      <c r="W133" s="264"/>
      <c r="X133" s="264"/>
    </row>
    <row r="134">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row>
    <row r="135">
      <c r="A135" s="264"/>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row>
    <row r="136">
      <c r="A136" s="264"/>
      <c r="B136" s="264"/>
      <c r="C136" s="264"/>
      <c r="D136" s="264"/>
      <c r="E136" s="264"/>
      <c r="F136" s="264"/>
      <c r="G136" s="264"/>
      <c r="H136" s="264"/>
      <c r="I136" s="264"/>
      <c r="J136" s="264"/>
      <c r="K136" s="264"/>
      <c r="L136" s="264"/>
      <c r="M136" s="264"/>
      <c r="N136" s="264"/>
      <c r="O136" s="264"/>
      <c r="P136" s="264"/>
      <c r="Q136" s="264"/>
      <c r="R136" s="264"/>
      <c r="S136" s="264"/>
      <c r="T136" s="264"/>
      <c r="U136" s="264"/>
      <c r="V136" s="264"/>
      <c r="W136" s="264"/>
      <c r="X136" s="264"/>
    </row>
    <row r="137">
      <c r="A137" s="264"/>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row>
    <row r="138">
      <c r="A138" s="264"/>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row>
    <row r="139">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row>
    <row r="140">
      <c r="A140" s="264"/>
      <c r="B140" s="264"/>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row>
    <row r="141">
      <c r="A141" s="264"/>
      <c r="B141" s="264"/>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row>
    <row r="142">
      <c r="A142" s="264"/>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row>
    <row r="143">
      <c r="A143" s="264"/>
      <c r="B143" s="264"/>
      <c r="C143" s="264"/>
      <c r="D143" s="264"/>
      <c r="E143" s="264"/>
      <c r="F143" s="264"/>
      <c r="G143" s="264"/>
      <c r="H143" s="264"/>
      <c r="I143" s="264"/>
      <c r="J143" s="264"/>
      <c r="K143" s="264"/>
      <c r="L143" s="264"/>
      <c r="M143" s="264"/>
      <c r="N143" s="264"/>
      <c r="O143" s="264"/>
      <c r="P143" s="264"/>
      <c r="Q143" s="264"/>
      <c r="R143" s="264"/>
      <c r="S143" s="264"/>
      <c r="T143" s="264"/>
      <c r="U143" s="264"/>
      <c r="V143" s="264"/>
      <c r="W143" s="264"/>
      <c r="X143" s="264"/>
    </row>
    <row r="144">
      <c r="A144" s="264"/>
      <c r="B144" s="264"/>
      <c r="C144" s="264"/>
      <c r="D144" s="264"/>
      <c r="E144" s="264"/>
      <c r="F144" s="264"/>
      <c r="G144" s="264"/>
      <c r="H144" s="264"/>
      <c r="I144" s="264"/>
      <c r="J144" s="264"/>
      <c r="K144" s="264"/>
      <c r="L144" s="264"/>
      <c r="M144" s="264"/>
      <c r="N144" s="264"/>
      <c r="O144" s="264"/>
      <c r="P144" s="264"/>
      <c r="Q144" s="264"/>
      <c r="R144" s="264"/>
      <c r="S144" s="264"/>
      <c r="T144" s="264"/>
      <c r="U144" s="264"/>
      <c r="V144" s="264"/>
      <c r="W144" s="264"/>
      <c r="X144" s="264"/>
    </row>
    <row r="145">
      <c r="A145" s="264"/>
      <c r="B145" s="264"/>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row>
    <row r="146">
      <c r="A146" s="264"/>
      <c r="B146" s="264"/>
      <c r="C146" s="264"/>
      <c r="D146" s="264"/>
      <c r="E146" s="264"/>
      <c r="F146" s="264"/>
      <c r="G146" s="264"/>
      <c r="H146" s="264"/>
      <c r="I146" s="264"/>
      <c r="J146" s="264"/>
      <c r="K146" s="264"/>
      <c r="L146" s="264"/>
      <c r="M146" s="264"/>
      <c r="N146" s="264"/>
      <c r="O146" s="264"/>
      <c r="P146" s="264"/>
      <c r="Q146" s="264"/>
      <c r="R146" s="264"/>
      <c r="S146" s="264"/>
      <c r="T146" s="264"/>
      <c r="U146" s="264"/>
      <c r="V146" s="264"/>
      <c r="W146" s="264"/>
      <c r="X146" s="264"/>
    </row>
    <row r="147">
      <c r="A147" s="264"/>
      <c r="B147" s="264"/>
      <c r="C147" s="264"/>
      <c r="D147" s="264"/>
      <c r="E147" s="264"/>
      <c r="F147" s="264"/>
      <c r="G147" s="264"/>
      <c r="H147" s="264"/>
      <c r="I147" s="264"/>
      <c r="J147" s="264"/>
      <c r="K147" s="264"/>
      <c r="L147" s="264"/>
      <c r="M147" s="264"/>
      <c r="N147" s="264"/>
      <c r="O147" s="264"/>
      <c r="P147" s="264"/>
      <c r="Q147" s="264"/>
      <c r="R147" s="264"/>
      <c r="S147" s="264"/>
      <c r="T147" s="264"/>
      <c r="U147" s="264"/>
      <c r="V147" s="264"/>
      <c r="W147" s="264"/>
      <c r="X147" s="264"/>
    </row>
    <row r="148">
      <c r="A148" s="264"/>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row>
    <row r="149">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row>
    <row r="150">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row>
    <row r="15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row>
    <row r="152">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row>
    <row r="153">
      <c r="A153" s="264"/>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row>
    <row r="154">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row>
    <row r="155">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row>
    <row r="156">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row>
    <row r="157">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row>
    <row r="158">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row>
    <row r="159">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row>
    <row r="160">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row>
    <row r="16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row>
    <row r="162">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row>
    <row r="163">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row>
    <row r="164">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row>
    <row r="165">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row>
    <row r="166">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row>
    <row r="167">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row>
    <row r="168">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row>
    <row r="169">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row>
    <row r="170">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row>
    <row r="17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row>
    <row r="172">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row>
    <row r="173">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row>
    <row r="174">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row>
    <row r="175">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row>
    <row r="176">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row>
    <row r="177">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row>
    <row r="178">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row>
    <row r="179">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row>
    <row r="180">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row>
    <row r="18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row>
    <row r="182">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row>
    <row r="183">
      <c r="A183" s="264"/>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row>
    <row r="184">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row>
    <row r="185">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row>
    <row r="186">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row>
    <row r="187">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row>
    <row r="188">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row>
    <row r="189">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row>
    <row r="190">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row>
    <row r="19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row>
    <row r="192">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row>
    <row r="193">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row>
    <row r="194">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row>
    <row r="195">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row>
    <row r="196">
      <c r="A196" s="264"/>
      <c r="B196" s="264"/>
      <c r="C196" s="264"/>
      <c r="D196" s="264"/>
      <c r="E196" s="264"/>
      <c r="F196" s="264"/>
      <c r="G196" s="264"/>
      <c r="H196" s="264"/>
      <c r="I196" s="264"/>
      <c r="J196" s="264"/>
      <c r="K196" s="264"/>
      <c r="L196" s="264"/>
      <c r="M196" s="264"/>
      <c r="N196" s="264"/>
      <c r="O196" s="264"/>
      <c r="P196" s="264"/>
      <c r="Q196" s="264"/>
      <c r="R196" s="264"/>
      <c r="S196" s="264"/>
      <c r="T196" s="264"/>
      <c r="U196" s="264"/>
      <c r="V196" s="264"/>
      <c r="W196" s="264"/>
      <c r="X196" s="264"/>
    </row>
    <row r="197">
      <c r="A197" s="264"/>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row>
    <row r="198">
      <c r="A198" s="264"/>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row>
    <row r="199">
      <c r="A199" s="264"/>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row>
    <row r="200">
      <c r="A200" s="264"/>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row>
    <row r="201">
      <c r="A201" s="264"/>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row>
    <row r="202">
      <c r="A202" s="264"/>
      <c r="B202" s="264"/>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row>
    <row r="203">
      <c r="A203" s="264"/>
      <c r="B203" s="264"/>
      <c r="C203" s="264"/>
      <c r="D203" s="264"/>
      <c r="E203" s="264"/>
      <c r="F203" s="264"/>
      <c r="G203" s="264"/>
      <c r="H203" s="264"/>
      <c r="I203" s="264"/>
      <c r="J203" s="264"/>
      <c r="K203" s="264"/>
      <c r="L203" s="264"/>
      <c r="M203" s="264"/>
      <c r="N203" s="264"/>
      <c r="O203" s="264"/>
      <c r="P203" s="264"/>
      <c r="Q203" s="264"/>
      <c r="R203" s="264"/>
      <c r="S203" s="264"/>
      <c r="T203" s="264"/>
      <c r="U203" s="264"/>
      <c r="V203" s="264"/>
      <c r="W203" s="264"/>
      <c r="X203" s="264"/>
    </row>
    <row r="204">
      <c r="A204" s="264"/>
      <c r="B204" s="264"/>
      <c r="C204" s="264"/>
      <c r="D204" s="264"/>
      <c r="E204" s="264"/>
      <c r="F204" s="264"/>
      <c r="G204" s="264"/>
      <c r="H204" s="264"/>
      <c r="I204" s="264"/>
      <c r="J204" s="264"/>
      <c r="K204" s="264"/>
      <c r="L204" s="264"/>
      <c r="M204" s="264"/>
      <c r="N204" s="264"/>
      <c r="O204" s="264"/>
      <c r="P204" s="264"/>
      <c r="Q204" s="264"/>
      <c r="R204" s="264"/>
      <c r="S204" s="264"/>
      <c r="T204" s="264"/>
      <c r="U204" s="264"/>
      <c r="V204" s="264"/>
      <c r="W204" s="264"/>
      <c r="X204" s="264"/>
    </row>
    <row r="205">
      <c r="A205" s="264"/>
      <c r="B205" s="264"/>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row>
    <row r="206">
      <c r="A206" s="264"/>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row>
    <row r="207">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row>
    <row r="208">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row>
    <row r="209">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row>
    <row r="210">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row>
    <row r="21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row>
    <row r="212">
      <c r="A212" s="264"/>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row>
    <row r="213">
      <c r="A213" s="264"/>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row>
    <row r="214">
      <c r="A214" s="264"/>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row>
    <row r="215">
      <c r="A215" s="264"/>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row>
    <row r="216">
      <c r="A216" s="264"/>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row>
    <row r="217">
      <c r="A217" s="264"/>
      <c r="B217" s="264"/>
      <c r="C217" s="264"/>
      <c r="D217" s="264"/>
      <c r="E217" s="264"/>
      <c r="F217" s="264"/>
      <c r="G217" s="264"/>
      <c r="H217" s="264"/>
      <c r="I217" s="264"/>
      <c r="J217" s="264"/>
      <c r="K217" s="264"/>
      <c r="L217" s="264"/>
      <c r="M217" s="264"/>
      <c r="N217" s="264"/>
      <c r="O217" s="264"/>
      <c r="P217" s="264"/>
      <c r="Q217" s="264"/>
      <c r="R217" s="264"/>
      <c r="S217" s="264"/>
      <c r="T217" s="264"/>
      <c r="U217" s="264"/>
      <c r="V217" s="264"/>
      <c r="W217" s="264"/>
      <c r="X217" s="264"/>
    </row>
    <row r="218">
      <c r="A218" s="264"/>
      <c r="B218" s="264"/>
      <c r="C218" s="264"/>
      <c r="D218" s="264"/>
      <c r="E218" s="264"/>
      <c r="F218" s="264"/>
      <c r="G218" s="264"/>
      <c r="H218" s="264"/>
      <c r="I218" s="264"/>
      <c r="J218" s="264"/>
      <c r="K218" s="264"/>
      <c r="L218" s="264"/>
      <c r="M218" s="264"/>
      <c r="N218" s="264"/>
      <c r="O218" s="264"/>
      <c r="P218" s="264"/>
      <c r="Q218" s="264"/>
      <c r="R218" s="264"/>
      <c r="S218" s="264"/>
      <c r="T218" s="264"/>
      <c r="U218" s="264"/>
      <c r="V218" s="264"/>
      <c r="W218" s="264"/>
      <c r="X218" s="264"/>
    </row>
    <row r="219">
      <c r="A219" s="264"/>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row>
    <row r="220">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row>
    <row r="22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row>
    <row r="222">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row>
    <row r="223">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row>
    <row r="224">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row>
    <row r="225">
      <c r="A225" s="264"/>
      <c r="B225" s="264"/>
      <c r="C225" s="264"/>
      <c r="D225" s="264"/>
      <c r="E225" s="264"/>
      <c r="F225" s="264"/>
      <c r="G225" s="264"/>
      <c r="H225" s="264"/>
      <c r="I225" s="264"/>
      <c r="J225" s="264"/>
      <c r="K225" s="264"/>
      <c r="L225" s="264"/>
      <c r="M225" s="264"/>
      <c r="N225" s="264"/>
      <c r="O225" s="264"/>
      <c r="P225" s="264"/>
      <c r="Q225" s="264"/>
      <c r="R225" s="264"/>
      <c r="S225" s="264"/>
      <c r="T225" s="264"/>
      <c r="U225" s="264"/>
      <c r="V225" s="264"/>
      <c r="W225" s="264"/>
      <c r="X225" s="264"/>
    </row>
    <row r="226">
      <c r="A226" s="264"/>
      <c r="B226" s="264"/>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row>
    <row r="227">
      <c r="A227" s="264"/>
      <c r="B227" s="264"/>
      <c r="C227" s="264"/>
      <c r="D227" s="264"/>
      <c r="E227" s="264"/>
      <c r="F227" s="264"/>
      <c r="G227" s="264"/>
      <c r="H227" s="264"/>
      <c r="I227" s="264"/>
      <c r="J227" s="264"/>
      <c r="K227" s="264"/>
      <c r="L227" s="264"/>
      <c r="M227" s="264"/>
      <c r="N227" s="264"/>
      <c r="O227" s="264"/>
      <c r="P227" s="264"/>
      <c r="Q227" s="264"/>
      <c r="R227" s="264"/>
      <c r="S227" s="264"/>
      <c r="T227" s="264"/>
      <c r="U227" s="264"/>
      <c r="V227" s="264"/>
      <c r="W227" s="264"/>
      <c r="X227" s="264"/>
    </row>
    <row r="228">
      <c r="A228" s="264"/>
      <c r="B228" s="264"/>
      <c r="C228" s="264"/>
      <c r="D228" s="264"/>
      <c r="E228" s="264"/>
      <c r="F228" s="264"/>
      <c r="G228" s="264"/>
      <c r="H228" s="264"/>
      <c r="I228" s="264"/>
      <c r="J228" s="264"/>
      <c r="K228" s="264"/>
      <c r="L228" s="264"/>
      <c r="M228" s="264"/>
      <c r="N228" s="264"/>
      <c r="O228" s="264"/>
      <c r="P228" s="264"/>
      <c r="Q228" s="264"/>
      <c r="R228" s="264"/>
      <c r="S228" s="264"/>
      <c r="T228" s="264"/>
      <c r="U228" s="264"/>
      <c r="V228" s="264"/>
      <c r="W228" s="264"/>
      <c r="X228" s="264"/>
    </row>
    <row r="229">
      <c r="A229" s="264"/>
      <c r="B229" s="264"/>
      <c r="C229" s="264"/>
      <c r="D229" s="264"/>
      <c r="E229" s="264"/>
      <c r="F229" s="264"/>
      <c r="G229" s="264"/>
      <c r="H229" s="264"/>
      <c r="I229" s="264"/>
      <c r="J229" s="264"/>
      <c r="K229" s="264"/>
      <c r="L229" s="264"/>
      <c r="M229" s="264"/>
      <c r="N229" s="264"/>
      <c r="O229" s="264"/>
      <c r="P229" s="264"/>
      <c r="Q229" s="264"/>
      <c r="R229" s="264"/>
      <c r="S229" s="264"/>
      <c r="T229" s="264"/>
      <c r="U229" s="264"/>
      <c r="V229" s="264"/>
      <c r="W229" s="264"/>
      <c r="X229" s="264"/>
    </row>
    <row r="230">
      <c r="A230" s="264"/>
      <c r="B230" s="264"/>
      <c r="C230" s="264"/>
      <c r="D230" s="264"/>
      <c r="E230" s="264"/>
      <c r="F230" s="264"/>
      <c r="G230" s="264"/>
      <c r="H230" s="264"/>
      <c r="I230" s="264"/>
      <c r="J230" s="264"/>
      <c r="K230" s="264"/>
      <c r="L230" s="264"/>
      <c r="M230" s="264"/>
      <c r="N230" s="264"/>
      <c r="O230" s="264"/>
      <c r="P230" s="264"/>
      <c r="Q230" s="264"/>
      <c r="R230" s="264"/>
      <c r="S230" s="264"/>
      <c r="T230" s="264"/>
      <c r="U230" s="264"/>
      <c r="V230" s="264"/>
      <c r="W230" s="264"/>
      <c r="X230" s="264"/>
    </row>
    <row r="231">
      <c r="A231" s="264"/>
      <c r="B231" s="264"/>
      <c r="C231" s="264"/>
      <c r="D231" s="264"/>
      <c r="E231" s="264"/>
      <c r="F231" s="264"/>
      <c r="G231" s="264"/>
      <c r="H231" s="264"/>
      <c r="I231" s="264"/>
      <c r="J231" s="264"/>
      <c r="K231" s="264"/>
      <c r="L231" s="264"/>
      <c r="M231" s="264"/>
      <c r="N231" s="264"/>
      <c r="O231" s="264"/>
      <c r="P231" s="264"/>
      <c r="Q231" s="264"/>
      <c r="R231" s="264"/>
      <c r="S231" s="264"/>
      <c r="T231" s="264"/>
      <c r="U231" s="264"/>
      <c r="V231" s="264"/>
      <c r="W231" s="264"/>
      <c r="X231" s="264"/>
    </row>
    <row r="232">
      <c r="A232" s="264"/>
      <c r="B232" s="264"/>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row>
    <row r="233">
      <c r="A233" s="264"/>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row>
    <row r="234">
      <c r="A234" s="264"/>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row>
    <row r="235">
      <c r="A235" s="264"/>
      <c r="B235" s="264"/>
      <c r="C235" s="264"/>
      <c r="D235" s="264"/>
      <c r="E235" s="264"/>
      <c r="F235" s="264"/>
      <c r="G235" s="264"/>
      <c r="H235" s="264"/>
      <c r="I235" s="264"/>
      <c r="J235" s="264"/>
      <c r="K235" s="264"/>
      <c r="L235" s="264"/>
      <c r="M235" s="264"/>
      <c r="N235" s="264"/>
      <c r="O235" s="264"/>
      <c r="P235" s="264"/>
      <c r="Q235" s="264"/>
      <c r="R235" s="264"/>
      <c r="S235" s="264"/>
      <c r="T235" s="264"/>
      <c r="U235" s="264"/>
      <c r="V235" s="264"/>
      <c r="W235" s="264"/>
      <c r="X235" s="264"/>
    </row>
    <row r="236">
      <c r="A236" s="264"/>
      <c r="B236" s="264"/>
      <c r="C236" s="264"/>
      <c r="D236" s="264"/>
      <c r="E236" s="264"/>
      <c r="F236" s="264"/>
      <c r="G236" s="264"/>
      <c r="H236" s="264"/>
      <c r="I236" s="264"/>
      <c r="J236" s="264"/>
      <c r="K236" s="264"/>
      <c r="L236" s="264"/>
      <c r="M236" s="264"/>
      <c r="N236" s="264"/>
      <c r="O236" s="264"/>
      <c r="P236" s="264"/>
      <c r="Q236" s="264"/>
      <c r="R236" s="264"/>
      <c r="S236" s="264"/>
      <c r="T236" s="264"/>
      <c r="U236" s="264"/>
      <c r="V236" s="264"/>
      <c r="W236" s="264"/>
      <c r="X236" s="264"/>
    </row>
    <row r="237">
      <c r="A237" s="264"/>
      <c r="B237" s="264"/>
      <c r="C237" s="264"/>
      <c r="D237" s="264"/>
      <c r="E237" s="264"/>
      <c r="F237" s="264"/>
      <c r="G237" s="264"/>
      <c r="H237" s="264"/>
      <c r="I237" s="264"/>
      <c r="J237" s="264"/>
      <c r="K237" s="264"/>
      <c r="L237" s="264"/>
      <c r="M237" s="264"/>
      <c r="N237" s="264"/>
      <c r="O237" s="264"/>
      <c r="P237" s="264"/>
      <c r="Q237" s="264"/>
      <c r="R237" s="264"/>
      <c r="S237" s="264"/>
      <c r="T237" s="264"/>
      <c r="U237" s="264"/>
      <c r="V237" s="264"/>
      <c r="W237" s="264"/>
      <c r="X237" s="264"/>
    </row>
    <row r="238">
      <c r="A238" s="264"/>
      <c r="B238" s="264"/>
      <c r="C238" s="264"/>
      <c r="D238" s="264"/>
      <c r="E238" s="264"/>
      <c r="F238" s="264"/>
      <c r="G238" s="264"/>
      <c r="H238" s="264"/>
      <c r="I238" s="264"/>
      <c r="J238" s="264"/>
      <c r="K238" s="264"/>
      <c r="L238" s="264"/>
      <c r="M238" s="264"/>
      <c r="N238" s="264"/>
      <c r="O238" s="264"/>
      <c r="P238" s="264"/>
      <c r="Q238" s="264"/>
      <c r="R238" s="264"/>
      <c r="S238" s="264"/>
      <c r="T238" s="264"/>
      <c r="U238" s="264"/>
      <c r="V238" s="264"/>
      <c r="W238" s="264"/>
      <c r="X238" s="264"/>
    </row>
    <row r="239">
      <c r="A239" s="264"/>
      <c r="B239" s="264"/>
      <c r="C239" s="264"/>
      <c r="D239" s="264"/>
      <c r="E239" s="264"/>
      <c r="F239" s="264"/>
      <c r="G239" s="264"/>
      <c r="H239" s="264"/>
      <c r="I239" s="264"/>
      <c r="J239" s="264"/>
      <c r="K239" s="264"/>
      <c r="L239" s="264"/>
      <c r="M239" s="264"/>
      <c r="N239" s="264"/>
      <c r="O239" s="264"/>
      <c r="P239" s="264"/>
      <c r="Q239" s="264"/>
      <c r="R239" s="264"/>
      <c r="S239" s="264"/>
      <c r="T239" s="264"/>
      <c r="U239" s="264"/>
      <c r="V239" s="264"/>
      <c r="W239" s="264"/>
      <c r="X239" s="264"/>
    </row>
    <row r="240">
      <c r="A240" s="264"/>
      <c r="B240" s="264"/>
      <c r="C240" s="264"/>
      <c r="D240" s="264"/>
      <c r="E240" s="264"/>
      <c r="F240" s="264"/>
      <c r="G240" s="264"/>
      <c r="H240" s="264"/>
      <c r="I240" s="264"/>
      <c r="J240" s="264"/>
      <c r="K240" s="264"/>
      <c r="L240" s="264"/>
      <c r="M240" s="264"/>
      <c r="N240" s="264"/>
      <c r="O240" s="264"/>
      <c r="P240" s="264"/>
      <c r="Q240" s="264"/>
      <c r="R240" s="264"/>
      <c r="S240" s="264"/>
      <c r="T240" s="264"/>
      <c r="U240" s="264"/>
      <c r="V240" s="264"/>
      <c r="W240" s="264"/>
      <c r="X240" s="264"/>
    </row>
    <row r="241">
      <c r="A241" s="264"/>
      <c r="B241" s="264"/>
      <c r="C241" s="264"/>
      <c r="D241" s="264"/>
      <c r="E241" s="264"/>
      <c r="F241" s="264"/>
      <c r="G241" s="264"/>
      <c r="H241" s="264"/>
      <c r="I241" s="264"/>
      <c r="J241" s="264"/>
      <c r="K241" s="264"/>
      <c r="L241" s="264"/>
      <c r="M241" s="264"/>
      <c r="N241" s="264"/>
      <c r="O241" s="264"/>
      <c r="P241" s="264"/>
      <c r="Q241" s="264"/>
      <c r="R241" s="264"/>
      <c r="S241" s="264"/>
      <c r="T241" s="264"/>
      <c r="U241" s="264"/>
      <c r="V241" s="264"/>
      <c r="W241" s="264"/>
      <c r="X241" s="264"/>
    </row>
    <row r="242">
      <c r="A242" s="264"/>
      <c r="B242" s="264"/>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row>
    <row r="243">
      <c r="A243" s="264"/>
      <c r="B243" s="264"/>
      <c r="C243" s="264"/>
      <c r="D243" s="264"/>
      <c r="E243" s="264"/>
      <c r="F243" s="264"/>
      <c r="G243" s="264"/>
      <c r="H243" s="264"/>
      <c r="I243" s="264"/>
      <c r="J243" s="264"/>
      <c r="K243" s="264"/>
      <c r="L243" s="264"/>
      <c r="M243" s="264"/>
      <c r="N243" s="264"/>
      <c r="O243" s="264"/>
      <c r="P243" s="264"/>
      <c r="Q243" s="264"/>
      <c r="R243" s="264"/>
      <c r="S243" s="264"/>
      <c r="T243" s="264"/>
      <c r="U243" s="264"/>
      <c r="V243" s="264"/>
      <c r="W243" s="264"/>
      <c r="X243" s="264"/>
    </row>
    <row r="244">
      <c r="A244" s="264"/>
      <c r="B244" s="264"/>
      <c r="C244" s="264"/>
      <c r="D244" s="264"/>
      <c r="E244" s="264"/>
      <c r="F244" s="264"/>
      <c r="G244" s="264"/>
      <c r="H244" s="264"/>
      <c r="I244" s="264"/>
      <c r="J244" s="264"/>
      <c r="K244" s="264"/>
      <c r="L244" s="264"/>
      <c r="M244" s="264"/>
      <c r="N244" s="264"/>
      <c r="O244" s="264"/>
      <c r="P244" s="264"/>
      <c r="Q244" s="264"/>
      <c r="R244" s="264"/>
      <c r="S244" s="264"/>
      <c r="T244" s="264"/>
      <c r="U244" s="264"/>
      <c r="V244" s="264"/>
      <c r="W244" s="264"/>
      <c r="X244" s="264"/>
    </row>
    <row r="245">
      <c r="A245" s="264"/>
      <c r="B245" s="264"/>
      <c r="C245" s="264"/>
      <c r="D245" s="264"/>
      <c r="E245" s="264"/>
      <c r="F245" s="264"/>
      <c r="G245" s="264"/>
      <c r="H245" s="264"/>
      <c r="I245" s="264"/>
      <c r="J245" s="264"/>
      <c r="K245" s="264"/>
      <c r="L245" s="264"/>
      <c r="M245" s="264"/>
      <c r="N245" s="264"/>
      <c r="O245" s="264"/>
      <c r="P245" s="264"/>
      <c r="Q245" s="264"/>
      <c r="R245" s="264"/>
      <c r="S245" s="264"/>
      <c r="T245" s="264"/>
      <c r="U245" s="264"/>
      <c r="V245" s="264"/>
      <c r="W245" s="264"/>
      <c r="X245" s="264"/>
    </row>
    <row r="246">
      <c r="A246" s="264"/>
      <c r="B246" s="264"/>
      <c r="C246" s="264"/>
      <c r="D246" s="264"/>
      <c r="E246" s="264"/>
      <c r="F246" s="264"/>
      <c r="G246" s="264"/>
      <c r="H246" s="264"/>
      <c r="I246" s="264"/>
      <c r="J246" s="264"/>
      <c r="K246" s="264"/>
      <c r="L246" s="264"/>
      <c r="M246" s="264"/>
      <c r="N246" s="264"/>
      <c r="O246" s="264"/>
      <c r="P246" s="264"/>
      <c r="Q246" s="264"/>
      <c r="R246" s="264"/>
      <c r="S246" s="264"/>
      <c r="T246" s="264"/>
      <c r="U246" s="264"/>
      <c r="V246" s="264"/>
      <c r="W246" s="264"/>
      <c r="X246" s="264"/>
    </row>
    <row r="247">
      <c r="A247" s="264"/>
      <c r="B247" s="264"/>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row>
    <row r="248">
      <c r="A248" s="264"/>
      <c r="B248" s="264"/>
      <c r="C248" s="264"/>
      <c r="D248" s="264"/>
      <c r="E248" s="264"/>
      <c r="F248" s="264"/>
      <c r="G248" s="264"/>
      <c r="H248" s="264"/>
      <c r="I248" s="264"/>
      <c r="J248" s="264"/>
      <c r="K248" s="264"/>
      <c r="L248" s="264"/>
      <c r="M248" s="264"/>
      <c r="N248" s="264"/>
      <c r="O248" s="264"/>
      <c r="P248" s="264"/>
      <c r="Q248" s="264"/>
      <c r="R248" s="264"/>
      <c r="S248" s="264"/>
      <c r="T248" s="264"/>
      <c r="U248" s="264"/>
      <c r="V248" s="264"/>
      <c r="W248" s="264"/>
      <c r="X248" s="264"/>
    </row>
    <row r="249">
      <c r="A249" s="264"/>
      <c r="B249" s="264"/>
      <c r="C249" s="264"/>
      <c r="D249" s="264"/>
      <c r="E249" s="264"/>
      <c r="F249" s="264"/>
      <c r="G249" s="264"/>
      <c r="H249" s="264"/>
      <c r="I249" s="264"/>
      <c r="J249" s="264"/>
      <c r="K249" s="264"/>
      <c r="L249" s="264"/>
      <c r="M249" s="264"/>
      <c r="N249" s="264"/>
      <c r="O249" s="264"/>
      <c r="P249" s="264"/>
      <c r="Q249" s="264"/>
      <c r="R249" s="264"/>
      <c r="S249" s="264"/>
      <c r="T249" s="264"/>
      <c r="U249" s="264"/>
      <c r="V249" s="264"/>
      <c r="W249" s="264"/>
      <c r="X249" s="264"/>
    </row>
    <row r="250">
      <c r="A250" s="264"/>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row>
    <row r="251">
      <c r="A251" s="264"/>
      <c r="B251" s="264"/>
      <c r="C251" s="264"/>
      <c r="D251" s="264"/>
      <c r="E251" s="264"/>
      <c r="F251" s="264"/>
      <c r="G251" s="264"/>
      <c r="H251" s="264"/>
      <c r="I251" s="264"/>
      <c r="J251" s="264"/>
      <c r="K251" s="264"/>
      <c r="L251" s="264"/>
      <c r="M251" s="264"/>
      <c r="N251" s="264"/>
      <c r="O251" s="264"/>
      <c r="P251" s="264"/>
      <c r="Q251" s="264"/>
      <c r="R251" s="264"/>
      <c r="S251" s="264"/>
      <c r="T251" s="264"/>
      <c r="U251" s="264"/>
      <c r="V251" s="264"/>
      <c r="W251" s="264"/>
      <c r="X251" s="264"/>
    </row>
    <row r="252">
      <c r="A252" s="264"/>
      <c r="B252" s="264"/>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row>
    <row r="253">
      <c r="A253" s="264"/>
      <c r="B253" s="264"/>
      <c r="C253" s="264"/>
      <c r="D253" s="264"/>
      <c r="E253" s="264"/>
      <c r="F253" s="264"/>
      <c r="G253" s="264"/>
      <c r="H253" s="264"/>
      <c r="I253" s="264"/>
      <c r="J253" s="264"/>
      <c r="K253" s="264"/>
      <c r="L253" s="264"/>
      <c r="M253" s="264"/>
      <c r="N253" s="264"/>
      <c r="O253" s="264"/>
      <c r="P253" s="264"/>
      <c r="Q253" s="264"/>
      <c r="R253" s="264"/>
      <c r="S253" s="264"/>
      <c r="T253" s="264"/>
      <c r="U253" s="264"/>
      <c r="V253" s="264"/>
      <c r="W253" s="264"/>
      <c r="X253" s="264"/>
    </row>
    <row r="254">
      <c r="A254" s="264"/>
      <c r="B254" s="264"/>
      <c r="C254" s="264"/>
      <c r="D254" s="264"/>
      <c r="E254" s="264"/>
      <c r="F254" s="264"/>
      <c r="G254" s="264"/>
      <c r="H254" s="264"/>
      <c r="I254" s="264"/>
      <c r="J254" s="264"/>
      <c r="K254" s="264"/>
      <c r="L254" s="264"/>
      <c r="M254" s="264"/>
      <c r="N254" s="264"/>
      <c r="O254" s="264"/>
      <c r="P254" s="264"/>
      <c r="Q254" s="264"/>
      <c r="R254" s="264"/>
      <c r="S254" s="264"/>
      <c r="T254" s="264"/>
      <c r="U254" s="264"/>
      <c r="V254" s="264"/>
      <c r="W254" s="264"/>
      <c r="X254" s="264"/>
    </row>
    <row r="255">
      <c r="A255" s="264"/>
      <c r="B255" s="264"/>
      <c r="C255" s="264"/>
      <c r="D255" s="264"/>
      <c r="E255" s="264"/>
      <c r="F255" s="264"/>
      <c r="G255" s="264"/>
      <c r="H255" s="264"/>
      <c r="I255" s="264"/>
      <c r="J255" s="264"/>
      <c r="K255" s="264"/>
      <c r="L255" s="264"/>
      <c r="M255" s="264"/>
      <c r="N255" s="264"/>
      <c r="O255" s="264"/>
      <c r="P255" s="264"/>
      <c r="Q255" s="264"/>
      <c r="R255" s="264"/>
      <c r="S255" s="264"/>
      <c r="T255" s="264"/>
      <c r="U255" s="264"/>
      <c r="V255" s="264"/>
      <c r="W255" s="264"/>
      <c r="X255" s="264"/>
    </row>
    <row r="256">
      <c r="A256" s="264"/>
      <c r="B256" s="264"/>
      <c r="C256" s="264"/>
      <c r="D256" s="264"/>
      <c r="E256" s="264"/>
      <c r="F256" s="264"/>
      <c r="G256" s="264"/>
      <c r="H256" s="264"/>
      <c r="I256" s="264"/>
      <c r="J256" s="264"/>
      <c r="K256" s="264"/>
      <c r="L256" s="264"/>
      <c r="M256" s="264"/>
      <c r="N256" s="264"/>
      <c r="O256" s="264"/>
      <c r="P256" s="264"/>
      <c r="Q256" s="264"/>
      <c r="R256" s="264"/>
      <c r="S256" s="264"/>
      <c r="T256" s="264"/>
      <c r="U256" s="264"/>
      <c r="V256" s="264"/>
      <c r="W256" s="264"/>
      <c r="X256" s="264"/>
    </row>
    <row r="257">
      <c r="A257" s="264"/>
      <c r="B257" s="264"/>
      <c r="C257" s="264"/>
      <c r="D257" s="264"/>
      <c r="E257" s="264"/>
      <c r="F257" s="264"/>
      <c r="G257" s="264"/>
      <c r="H257" s="264"/>
      <c r="I257" s="264"/>
      <c r="J257" s="264"/>
      <c r="K257" s="264"/>
      <c r="L257" s="264"/>
      <c r="M257" s="264"/>
      <c r="N257" s="264"/>
      <c r="O257" s="264"/>
      <c r="P257" s="264"/>
      <c r="Q257" s="264"/>
      <c r="R257" s="264"/>
      <c r="S257" s="264"/>
      <c r="T257" s="264"/>
      <c r="U257" s="264"/>
      <c r="V257" s="264"/>
      <c r="W257" s="264"/>
      <c r="X257" s="264"/>
    </row>
    <row r="258">
      <c r="A258" s="264"/>
      <c r="B258" s="264"/>
      <c r="C258" s="264"/>
      <c r="D258" s="264"/>
      <c r="E258" s="264"/>
      <c r="F258" s="264"/>
      <c r="G258" s="264"/>
      <c r="H258" s="264"/>
      <c r="I258" s="264"/>
      <c r="J258" s="264"/>
      <c r="K258" s="264"/>
      <c r="L258" s="264"/>
      <c r="M258" s="264"/>
      <c r="N258" s="264"/>
      <c r="O258" s="264"/>
      <c r="P258" s="264"/>
      <c r="Q258" s="264"/>
      <c r="R258" s="264"/>
      <c r="S258" s="264"/>
      <c r="T258" s="264"/>
      <c r="U258" s="264"/>
      <c r="V258" s="264"/>
      <c r="W258" s="264"/>
      <c r="X258" s="264"/>
    </row>
    <row r="259">
      <c r="A259" s="264"/>
      <c r="B259" s="264"/>
      <c r="C259" s="264"/>
      <c r="D259" s="264"/>
      <c r="E259" s="264"/>
      <c r="F259" s="264"/>
      <c r="G259" s="264"/>
      <c r="H259" s="264"/>
      <c r="I259" s="264"/>
      <c r="J259" s="264"/>
      <c r="K259" s="264"/>
      <c r="L259" s="264"/>
      <c r="M259" s="264"/>
      <c r="N259" s="264"/>
      <c r="O259" s="264"/>
      <c r="P259" s="264"/>
      <c r="Q259" s="264"/>
      <c r="R259" s="264"/>
      <c r="S259" s="264"/>
      <c r="T259" s="264"/>
      <c r="U259" s="264"/>
      <c r="V259" s="264"/>
      <c r="W259" s="264"/>
      <c r="X259" s="264"/>
    </row>
    <row r="260">
      <c r="A260" s="264"/>
      <c r="B260" s="264"/>
      <c r="C260" s="264"/>
      <c r="D260" s="264"/>
      <c r="E260" s="264"/>
      <c r="F260" s="264"/>
      <c r="G260" s="264"/>
      <c r="H260" s="264"/>
      <c r="I260" s="264"/>
      <c r="J260" s="264"/>
      <c r="K260" s="264"/>
      <c r="L260" s="264"/>
      <c r="M260" s="264"/>
      <c r="N260" s="264"/>
      <c r="O260" s="264"/>
      <c r="P260" s="264"/>
      <c r="Q260" s="264"/>
      <c r="R260" s="264"/>
      <c r="S260" s="264"/>
      <c r="T260" s="264"/>
      <c r="U260" s="264"/>
      <c r="V260" s="264"/>
      <c r="W260" s="264"/>
      <c r="X260" s="264"/>
    </row>
    <row r="261">
      <c r="A261" s="264"/>
      <c r="B261" s="264"/>
      <c r="C261" s="264"/>
      <c r="D261" s="264"/>
      <c r="E261" s="264"/>
      <c r="F261" s="264"/>
      <c r="G261" s="264"/>
      <c r="H261" s="264"/>
      <c r="I261" s="264"/>
      <c r="J261" s="264"/>
      <c r="K261" s="264"/>
      <c r="L261" s="264"/>
      <c r="M261" s="264"/>
      <c r="N261" s="264"/>
      <c r="O261" s="264"/>
      <c r="P261" s="264"/>
      <c r="Q261" s="264"/>
      <c r="R261" s="264"/>
      <c r="S261" s="264"/>
      <c r="T261" s="264"/>
      <c r="U261" s="264"/>
      <c r="V261" s="264"/>
      <c r="W261" s="264"/>
      <c r="X261" s="264"/>
    </row>
    <row r="262">
      <c r="A262" s="264"/>
      <c r="B262" s="264"/>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row>
    <row r="263">
      <c r="A263" s="264"/>
      <c r="B263" s="264"/>
      <c r="C263" s="264"/>
      <c r="D263" s="264"/>
      <c r="E263" s="264"/>
      <c r="F263" s="264"/>
      <c r="G263" s="264"/>
      <c r="H263" s="264"/>
      <c r="I263" s="264"/>
      <c r="J263" s="264"/>
      <c r="K263" s="264"/>
      <c r="L263" s="264"/>
      <c r="M263" s="264"/>
      <c r="N263" s="264"/>
      <c r="O263" s="264"/>
      <c r="P263" s="264"/>
      <c r="Q263" s="264"/>
      <c r="R263" s="264"/>
      <c r="S263" s="264"/>
      <c r="T263" s="264"/>
      <c r="U263" s="264"/>
      <c r="V263" s="264"/>
      <c r="W263" s="264"/>
      <c r="X263" s="264"/>
    </row>
    <row r="264">
      <c r="A264" s="264"/>
      <c r="B264" s="264"/>
      <c r="C264" s="264"/>
      <c r="D264" s="264"/>
      <c r="E264" s="264"/>
      <c r="F264" s="264"/>
      <c r="G264" s="264"/>
      <c r="H264" s="264"/>
      <c r="I264" s="264"/>
      <c r="J264" s="264"/>
      <c r="K264" s="264"/>
      <c r="L264" s="264"/>
      <c r="M264" s="264"/>
      <c r="N264" s="264"/>
      <c r="O264" s="264"/>
      <c r="P264" s="264"/>
      <c r="Q264" s="264"/>
      <c r="R264" s="264"/>
      <c r="S264" s="264"/>
      <c r="T264" s="264"/>
      <c r="U264" s="264"/>
      <c r="V264" s="264"/>
      <c r="W264" s="264"/>
      <c r="X264" s="264"/>
    </row>
    <row r="265">
      <c r="A265" s="264"/>
      <c r="B265" s="264"/>
      <c r="C265" s="264"/>
      <c r="D265" s="264"/>
      <c r="E265" s="264"/>
      <c r="F265" s="264"/>
      <c r="G265" s="264"/>
      <c r="H265" s="264"/>
      <c r="I265" s="264"/>
      <c r="J265" s="264"/>
      <c r="K265" s="264"/>
      <c r="L265" s="264"/>
      <c r="M265" s="264"/>
      <c r="N265" s="264"/>
      <c r="O265" s="264"/>
      <c r="P265" s="264"/>
      <c r="Q265" s="264"/>
      <c r="R265" s="264"/>
      <c r="S265" s="264"/>
      <c r="T265" s="264"/>
      <c r="U265" s="264"/>
      <c r="V265" s="264"/>
      <c r="W265" s="264"/>
      <c r="X265" s="264"/>
    </row>
    <row r="266">
      <c r="A266" s="264"/>
      <c r="B266" s="264"/>
      <c r="C266" s="264"/>
      <c r="D266" s="264"/>
      <c r="E266" s="264"/>
      <c r="F266" s="264"/>
      <c r="G266" s="264"/>
      <c r="H266" s="264"/>
      <c r="I266" s="264"/>
      <c r="J266" s="264"/>
      <c r="K266" s="264"/>
      <c r="L266" s="264"/>
      <c r="M266" s="264"/>
      <c r="N266" s="264"/>
      <c r="O266" s="264"/>
      <c r="P266" s="264"/>
      <c r="Q266" s="264"/>
      <c r="R266" s="264"/>
      <c r="S266" s="264"/>
      <c r="T266" s="264"/>
      <c r="U266" s="264"/>
      <c r="V266" s="264"/>
      <c r="W266" s="264"/>
      <c r="X266" s="264"/>
    </row>
    <row r="267">
      <c r="A267" s="264"/>
      <c r="B267" s="264"/>
      <c r="C267" s="264"/>
      <c r="D267" s="264"/>
      <c r="E267" s="264"/>
      <c r="F267" s="264"/>
      <c r="G267" s="264"/>
      <c r="H267" s="264"/>
      <c r="I267" s="264"/>
      <c r="J267" s="264"/>
      <c r="K267" s="264"/>
      <c r="L267" s="264"/>
      <c r="M267" s="264"/>
      <c r="N267" s="264"/>
      <c r="O267" s="264"/>
      <c r="P267" s="264"/>
      <c r="Q267" s="264"/>
      <c r="R267" s="264"/>
      <c r="S267" s="264"/>
      <c r="T267" s="264"/>
      <c r="U267" s="264"/>
      <c r="V267" s="264"/>
      <c r="W267" s="264"/>
      <c r="X267" s="264"/>
    </row>
    <row r="268">
      <c r="A268" s="264"/>
      <c r="B268" s="264"/>
      <c r="C268" s="264"/>
      <c r="D268" s="264"/>
      <c r="E268" s="264"/>
      <c r="F268" s="264"/>
      <c r="G268" s="264"/>
      <c r="H268" s="264"/>
      <c r="I268" s="264"/>
      <c r="J268" s="264"/>
      <c r="K268" s="264"/>
      <c r="L268" s="264"/>
      <c r="M268" s="264"/>
      <c r="N268" s="264"/>
      <c r="O268" s="264"/>
      <c r="P268" s="264"/>
      <c r="Q268" s="264"/>
      <c r="R268" s="264"/>
      <c r="S268" s="264"/>
      <c r="T268" s="264"/>
      <c r="U268" s="264"/>
      <c r="V268" s="264"/>
      <c r="W268" s="264"/>
      <c r="X268" s="264"/>
    </row>
    <row r="269">
      <c r="A269" s="264"/>
      <c r="B269" s="264"/>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row>
    <row r="270">
      <c r="A270" s="264"/>
      <c r="B270" s="264"/>
      <c r="C270" s="264"/>
      <c r="D270" s="264"/>
      <c r="E270" s="264"/>
      <c r="F270" s="264"/>
      <c r="G270" s="264"/>
      <c r="H270" s="264"/>
      <c r="I270" s="264"/>
      <c r="J270" s="264"/>
      <c r="K270" s="264"/>
      <c r="L270" s="264"/>
      <c r="M270" s="264"/>
      <c r="N270" s="264"/>
      <c r="O270" s="264"/>
      <c r="P270" s="264"/>
      <c r="Q270" s="264"/>
      <c r="R270" s="264"/>
      <c r="S270" s="264"/>
      <c r="T270" s="264"/>
      <c r="U270" s="264"/>
      <c r="V270" s="264"/>
      <c r="W270" s="264"/>
      <c r="X270" s="264"/>
    </row>
    <row r="271">
      <c r="A271" s="264"/>
      <c r="B271" s="264"/>
      <c r="C271" s="264"/>
      <c r="D271" s="264"/>
      <c r="E271" s="264"/>
      <c r="F271" s="264"/>
      <c r="G271" s="264"/>
      <c r="H271" s="264"/>
      <c r="I271" s="264"/>
      <c r="J271" s="264"/>
      <c r="K271" s="264"/>
      <c r="L271" s="264"/>
      <c r="M271" s="264"/>
      <c r="N271" s="264"/>
      <c r="O271" s="264"/>
      <c r="P271" s="264"/>
      <c r="Q271" s="264"/>
      <c r="R271" s="264"/>
      <c r="S271" s="264"/>
      <c r="T271" s="264"/>
      <c r="U271" s="264"/>
      <c r="V271" s="264"/>
      <c r="W271" s="264"/>
      <c r="X271" s="264"/>
    </row>
    <row r="272">
      <c r="A272" s="264"/>
      <c r="B272" s="264"/>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row>
    <row r="273">
      <c r="A273" s="264"/>
      <c r="B273" s="264"/>
      <c r="C273" s="264"/>
      <c r="D273" s="264"/>
      <c r="E273" s="264"/>
      <c r="F273" s="264"/>
      <c r="G273" s="264"/>
      <c r="H273" s="264"/>
      <c r="I273" s="264"/>
      <c r="J273" s="264"/>
      <c r="K273" s="264"/>
      <c r="L273" s="264"/>
      <c r="M273" s="264"/>
      <c r="N273" s="264"/>
      <c r="O273" s="264"/>
      <c r="P273" s="264"/>
      <c r="Q273" s="264"/>
      <c r="R273" s="264"/>
      <c r="S273" s="264"/>
      <c r="T273" s="264"/>
      <c r="U273" s="264"/>
      <c r="V273" s="264"/>
      <c r="W273" s="264"/>
      <c r="X273" s="264"/>
    </row>
    <row r="274">
      <c r="A274" s="264"/>
      <c r="B274" s="264"/>
      <c r="C274" s="264"/>
      <c r="D274" s="264"/>
      <c r="E274" s="264"/>
      <c r="F274" s="264"/>
      <c r="G274" s="264"/>
      <c r="H274" s="264"/>
      <c r="I274" s="264"/>
      <c r="J274" s="264"/>
      <c r="K274" s="264"/>
      <c r="L274" s="264"/>
      <c r="M274" s="264"/>
      <c r="N274" s="264"/>
      <c r="O274" s="264"/>
      <c r="P274" s="264"/>
      <c r="Q274" s="264"/>
      <c r="R274" s="264"/>
      <c r="S274" s="264"/>
      <c r="T274" s="264"/>
      <c r="U274" s="264"/>
      <c r="V274" s="264"/>
      <c r="W274" s="264"/>
      <c r="X274" s="264"/>
    </row>
    <row r="275">
      <c r="A275" s="264"/>
      <c r="B275" s="264"/>
      <c r="C275" s="264"/>
      <c r="D275" s="264"/>
      <c r="E275" s="264"/>
      <c r="F275" s="264"/>
      <c r="G275" s="264"/>
      <c r="H275" s="264"/>
      <c r="I275" s="264"/>
      <c r="J275" s="264"/>
      <c r="K275" s="264"/>
      <c r="L275" s="264"/>
      <c r="M275" s="264"/>
      <c r="N275" s="264"/>
      <c r="O275" s="264"/>
      <c r="P275" s="264"/>
      <c r="Q275" s="264"/>
      <c r="R275" s="264"/>
      <c r="S275" s="264"/>
      <c r="T275" s="264"/>
      <c r="U275" s="264"/>
      <c r="V275" s="264"/>
      <c r="W275" s="264"/>
      <c r="X275" s="264"/>
    </row>
    <row r="276">
      <c r="A276" s="264"/>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row>
    <row r="277">
      <c r="A277" s="264"/>
      <c r="B277" s="264"/>
      <c r="C277" s="264"/>
      <c r="D277" s="264"/>
      <c r="E277" s="264"/>
      <c r="F277" s="264"/>
      <c r="G277" s="264"/>
      <c r="H277" s="264"/>
      <c r="I277" s="264"/>
      <c r="J277" s="264"/>
      <c r="K277" s="264"/>
      <c r="L277" s="264"/>
      <c r="M277" s="264"/>
      <c r="N277" s="264"/>
      <c r="O277" s="264"/>
      <c r="P277" s="264"/>
      <c r="Q277" s="264"/>
      <c r="R277" s="264"/>
      <c r="S277" s="264"/>
      <c r="T277" s="264"/>
      <c r="U277" s="264"/>
      <c r="V277" s="264"/>
      <c r="W277" s="264"/>
      <c r="X277" s="264"/>
    </row>
    <row r="278">
      <c r="A278" s="264"/>
      <c r="B278" s="264"/>
      <c r="C278" s="264"/>
      <c r="D278" s="264"/>
      <c r="E278" s="264"/>
      <c r="F278" s="264"/>
      <c r="G278" s="264"/>
      <c r="H278" s="264"/>
      <c r="I278" s="264"/>
      <c r="J278" s="264"/>
      <c r="K278" s="264"/>
      <c r="L278" s="264"/>
      <c r="M278" s="264"/>
      <c r="N278" s="264"/>
      <c r="O278" s="264"/>
      <c r="P278" s="264"/>
      <c r="Q278" s="264"/>
      <c r="R278" s="264"/>
      <c r="S278" s="264"/>
      <c r="T278" s="264"/>
      <c r="U278" s="264"/>
      <c r="V278" s="264"/>
      <c r="W278" s="264"/>
      <c r="X278" s="264"/>
    </row>
    <row r="279">
      <c r="A279" s="264"/>
      <c r="B279" s="264"/>
      <c r="C279" s="264"/>
      <c r="D279" s="264"/>
      <c r="E279" s="264"/>
      <c r="F279" s="264"/>
      <c r="G279" s="264"/>
      <c r="H279" s="264"/>
      <c r="I279" s="264"/>
      <c r="J279" s="264"/>
      <c r="K279" s="264"/>
      <c r="L279" s="264"/>
      <c r="M279" s="264"/>
      <c r="N279" s="264"/>
      <c r="O279" s="264"/>
      <c r="P279" s="264"/>
      <c r="Q279" s="264"/>
      <c r="R279" s="264"/>
      <c r="S279" s="264"/>
      <c r="T279" s="264"/>
      <c r="U279" s="264"/>
      <c r="V279" s="264"/>
      <c r="W279" s="264"/>
      <c r="X279" s="264"/>
    </row>
    <row r="280">
      <c r="A280" s="264"/>
      <c r="B280" s="264"/>
      <c r="C280" s="264"/>
      <c r="D280" s="264"/>
      <c r="E280" s="264"/>
      <c r="F280" s="264"/>
      <c r="G280" s="264"/>
      <c r="H280" s="264"/>
      <c r="I280" s="264"/>
      <c r="J280" s="264"/>
      <c r="K280" s="264"/>
      <c r="L280" s="264"/>
      <c r="M280" s="264"/>
      <c r="N280" s="264"/>
      <c r="O280" s="264"/>
      <c r="P280" s="264"/>
      <c r="Q280" s="264"/>
      <c r="R280" s="264"/>
      <c r="S280" s="264"/>
      <c r="T280" s="264"/>
      <c r="U280" s="264"/>
      <c r="V280" s="264"/>
      <c r="W280" s="264"/>
      <c r="X280" s="264"/>
    </row>
    <row r="281">
      <c r="A281" s="264"/>
      <c r="B281" s="264"/>
      <c r="C281" s="264"/>
      <c r="D281" s="264"/>
      <c r="E281" s="264"/>
      <c r="F281" s="264"/>
      <c r="G281" s="264"/>
      <c r="H281" s="264"/>
      <c r="I281" s="264"/>
      <c r="J281" s="264"/>
      <c r="K281" s="264"/>
      <c r="L281" s="264"/>
      <c r="M281" s="264"/>
      <c r="N281" s="264"/>
      <c r="O281" s="264"/>
      <c r="P281" s="264"/>
      <c r="Q281" s="264"/>
      <c r="R281" s="264"/>
      <c r="S281" s="264"/>
      <c r="T281" s="264"/>
      <c r="U281" s="264"/>
      <c r="V281" s="264"/>
      <c r="W281" s="264"/>
      <c r="X281" s="264"/>
    </row>
    <row r="282">
      <c r="A282" s="264"/>
      <c r="B282" s="264"/>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row>
    <row r="283">
      <c r="A283" s="264"/>
      <c r="B283" s="264"/>
      <c r="C283" s="264"/>
      <c r="D283" s="264"/>
      <c r="E283" s="264"/>
      <c r="F283" s="264"/>
      <c r="G283" s="264"/>
      <c r="H283" s="264"/>
      <c r="I283" s="264"/>
      <c r="J283" s="264"/>
      <c r="K283" s="264"/>
      <c r="L283" s="264"/>
      <c r="M283" s="264"/>
      <c r="N283" s="264"/>
      <c r="O283" s="264"/>
      <c r="P283" s="264"/>
      <c r="Q283" s="264"/>
      <c r="R283" s="264"/>
      <c r="S283" s="264"/>
      <c r="T283" s="264"/>
      <c r="U283" s="264"/>
      <c r="V283" s="264"/>
      <c r="W283" s="264"/>
      <c r="X283" s="264"/>
    </row>
    <row r="284">
      <c r="A284" s="264"/>
      <c r="B284" s="264"/>
      <c r="C284" s="264"/>
      <c r="D284" s="264"/>
      <c r="E284" s="264"/>
      <c r="F284" s="264"/>
      <c r="G284" s="264"/>
      <c r="H284" s="264"/>
      <c r="I284" s="264"/>
      <c r="J284" s="264"/>
      <c r="K284" s="264"/>
      <c r="L284" s="264"/>
      <c r="M284" s="264"/>
      <c r="N284" s="264"/>
      <c r="O284" s="264"/>
      <c r="P284" s="264"/>
      <c r="Q284" s="264"/>
      <c r="R284" s="264"/>
      <c r="S284" s="264"/>
      <c r="T284" s="264"/>
      <c r="U284" s="264"/>
      <c r="V284" s="264"/>
      <c r="W284" s="264"/>
      <c r="X284" s="264"/>
    </row>
    <row r="285">
      <c r="A285" s="264"/>
      <c r="B285" s="264"/>
      <c r="C285" s="264"/>
      <c r="D285" s="264"/>
      <c r="E285" s="264"/>
      <c r="F285" s="264"/>
      <c r="G285" s="264"/>
      <c r="H285" s="264"/>
      <c r="I285" s="264"/>
      <c r="J285" s="264"/>
      <c r="K285" s="264"/>
      <c r="L285" s="264"/>
      <c r="M285" s="264"/>
      <c r="N285" s="264"/>
      <c r="O285" s="264"/>
      <c r="P285" s="264"/>
      <c r="Q285" s="264"/>
      <c r="R285" s="264"/>
      <c r="S285" s="264"/>
      <c r="T285" s="264"/>
      <c r="U285" s="264"/>
      <c r="V285" s="264"/>
      <c r="W285" s="264"/>
      <c r="X285" s="264"/>
    </row>
    <row r="286">
      <c r="A286" s="264"/>
      <c r="B286" s="264"/>
      <c r="C286" s="264"/>
      <c r="D286" s="264"/>
      <c r="E286" s="264"/>
      <c r="F286" s="264"/>
      <c r="G286" s="264"/>
      <c r="H286" s="264"/>
      <c r="I286" s="264"/>
      <c r="J286" s="264"/>
      <c r="K286" s="264"/>
      <c r="L286" s="264"/>
      <c r="M286" s="264"/>
      <c r="N286" s="264"/>
      <c r="O286" s="264"/>
      <c r="P286" s="264"/>
      <c r="Q286" s="264"/>
      <c r="R286" s="264"/>
      <c r="S286" s="264"/>
      <c r="T286" s="264"/>
      <c r="U286" s="264"/>
      <c r="V286" s="264"/>
      <c r="W286" s="264"/>
      <c r="X286" s="264"/>
    </row>
    <row r="287">
      <c r="A287" s="264"/>
      <c r="B287" s="264"/>
      <c r="C287" s="264"/>
      <c r="D287" s="264"/>
      <c r="E287" s="264"/>
      <c r="F287" s="264"/>
      <c r="G287" s="264"/>
      <c r="H287" s="264"/>
      <c r="I287" s="264"/>
      <c r="J287" s="264"/>
      <c r="K287" s="264"/>
      <c r="L287" s="264"/>
      <c r="M287" s="264"/>
      <c r="N287" s="264"/>
      <c r="O287" s="264"/>
      <c r="P287" s="264"/>
      <c r="Q287" s="264"/>
      <c r="R287" s="264"/>
      <c r="S287" s="264"/>
      <c r="T287" s="264"/>
      <c r="U287" s="264"/>
      <c r="V287" s="264"/>
      <c r="W287" s="264"/>
      <c r="X287" s="264"/>
    </row>
    <row r="288">
      <c r="A288" s="264"/>
      <c r="B288" s="264"/>
      <c r="C288" s="264"/>
      <c r="D288" s="264"/>
      <c r="E288" s="264"/>
      <c r="F288" s="264"/>
      <c r="G288" s="264"/>
      <c r="H288" s="264"/>
      <c r="I288" s="264"/>
      <c r="J288" s="264"/>
      <c r="K288" s="264"/>
      <c r="L288" s="264"/>
      <c r="M288" s="264"/>
      <c r="N288" s="264"/>
      <c r="O288" s="264"/>
      <c r="P288" s="264"/>
      <c r="Q288" s="264"/>
      <c r="R288" s="264"/>
      <c r="S288" s="264"/>
      <c r="T288" s="264"/>
      <c r="U288" s="264"/>
      <c r="V288" s="264"/>
      <c r="W288" s="264"/>
      <c r="X288" s="264"/>
    </row>
    <row r="289">
      <c r="A289" s="264"/>
      <c r="B289" s="264"/>
      <c r="C289" s="264"/>
      <c r="D289" s="264"/>
      <c r="E289" s="264"/>
      <c r="F289" s="264"/>
      <c r="G289" s="264"/>
      <c r="H289" s="264"/>
      <c r="I289" s="264"/>
      <c r="J289" s="264"/>
      <c r="K289" s="264"/>
      <c r="L289" s="264"/>
      <c r="M289" s="264"/>
      <c r="N289" s="264"/>
      <c r="O289" s="264"/>
      <c r="P289" s="264"/>
      <c r="Q289" s="264"/>
      <c r="R289" s="264"/>
      <c r="S289" s="264"/>
      <c r="T289" s="264"/>
      <c r="U289" s="264"/>
      <c r="V289" s="264"/>
      <c r="W289" s="264"/>
      <c r="X289" s="264"/>
    </row>
    <row r="290">
      <c r="A290" s="264"/>
      <c r="B290" s="264"/>
      <c r="C290" s="264"/>
      <c r="D290" s="264"/>
      <c r="E290" s="264"/>
      <c r="F290" s="264"/>
      <c r="G290" s="264"/>
      <c r="H290" s="264"/>
      <c r="I290" s="264"/>
      <c r="J290" s="264"/>
      <c r="K290" s="264"/>
      <c r="L290" s="264"/>
      <c r="M290" s="264"/>
      <c r="N290" s="264"/>
      <c r="O290" s="264"/>
      <c r="P290" s="264"/>
      <c r="Q290" s="264"/>
      <c r="R290" s="264"/>
      <c r="S290" s="264"/>
      <c r="T290" s="264"/>
      <c r="U290" s="264"/>
      <c r="V290" s="264"/>
      <c r="W290" s="264"/>
      <c r="X290" s="264"/>
    </row>
    <row r="291">
      <c r="A291" s="264"/>
      <c r="B291" s="264"/>
      <c r="C291" s="264"/>
      <c r="D291" s="264"/>
      <c r="E291" s="264"/>
      <c r="F291" s="264"/>
      <c r="G291" s="264"/>
      <c r="H291" s="264"/>
      <c r="I291" s="264"/>
      <c r="J291" s="264"/>
      <c r="K291" s="264"/>
      <c r="L291" s="264"/>
      <c r="M291" s="264"/>
      <c r="N291" s="264"/>
      <c r="O291" s="264"/>
      <c r="P291" s="264"/>
      <c r="Q291" s="264"/>
      <c r="R291" s="264"/>
      <c r="S291" s="264"/>
      <c r="T291" s="264"/>
      <c r="U291" s="264"/>
      <c r="V291" s="264"/>
      <c r="W291" s="264"/>
      <c r="X291" s="264"/>
    </row>
    <row r="292">
      <c r="A292" s="264"/>
      <c r="B292" s="264"/>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row>
    <row r="293">
      <c r="A293" s="264"/>
      <c r="B293" s="264"/>
      <c r="C293" s="264"/>
      <c r="D293" s="264"/>
      <c r="E293" s="264"/>
      <c r="F293" s="264"/>
      <c r="G293" s="264"/>
      <c r="H293" s="264"/>
      <c r="I293" s="264"/>
      <c r="J293" s="264"/>
      <c r="K293" s="264"/>
      <c r="L293" s="264"/>
      <c r="M293" s="264"/>
      <c r="N293" s="264"/>
      <c r="O293" s="264"/>
      <c r="P293" s="264"/>
      <c r="Q293" s="264"/>
      <c r="R293" s="264"/>
      <c r="S293" s="264"/>
      <c r="T293" s="264"/>
      <c r="U293" s="264"/>
      <c r="V293" s="264"/>
      <c r="W293" s="264"/>
      <c r="X293" s="264"/>
    </row>
    <row r="294">
      <c r="A294" s="264"/>
      <c r="B294" s="264"/>
      <c r="C294" s="264"/>
      <c r="D294" s="264"/>
      <c r="E294" s="264"/>
      <c r="F294" s="264"/>
      <c r="G294" s="264"/>
      <c r="H294" s="264"/>
      <c r="I294" s="264"/>
      <c r="J294" s="264"/>
      <c r="K294" s="264"/>
      <c r="L294" s="264"/>
      <c r="M294" s="264"/>
      <c r="N294" s="264"/>
      <c r="O294" s="264"/>
      <c r="P294" s="264"/>
      <c r="Q294" s="264"/>
      <c r="R294" s="264"/>
      <c r="S294" s="264"/>
      <c r="T294" s="264"/>
      <c r="U294" s="264"/>
      <c r="V294" s="264"/>
      <c r="W294" s="264"/>
      <c r="X294" s="264"/>
    </row>
    <row r="295">
      <c r="A295" s="264"/>
      <c r="B295" s="264"/>
      <c r="C295" s="264"/>
      <c r="D295" s="264"/>
      <c r="E295" s="264"/>
      <c r="F295" s="264"/>
      <c r="G295" s="264"/>
      <c r="H295" s="264"/>
      <c r="I295" s="264"/>
      <c r="J295" s="264"/>
      <c r="K295" s="264"/>
      <c r="L295" s="264"/>
      <c r="M295" s="264"/>
      <c r="N295" s="264"/>
      <c r="O295" s="264"/>
      <c r="P295" s="264"/>
      <c r="Q295" s="264"/>
      <c r="R295" s="264"/>
      <c r="S295" s="264"/>
      <c r="T295" s="264"/>
      <c r="U295" s="264"/>
      <c r="V295" s="264"/>
      <c r="W295" s="264"/>
      <c r="X295" s="264"/>
    </row>
    <row r="296">
      <c r="A296" s="264"/>
      <c r="B296" s="264"/>
      <c r="C296" s="264"/>
      <c r="D296" s="264"/>
      <c r="E296" s="264"/>
      <c r="F296" s="264"/>
      <c r="G296" s="264"/>
      <c r="H296" s="264"/>
      <c r="I296" s="264"/>
      <c r="J296" s="264"/>
      <c r="K296" s="264"/>
      <c r="L296" s="264"/>
      <c r="M296" s="264"/>
      <c r="N296" s="264"/>
      <c r="O296" s="264"/>
      <c r="P296" s="264"/>
      <c r="Q296" s="264"/>
      <c r="R296" s="264"/>
      <c r="S296" s="264"/>
      <c r="T296" s="264"/>
      <c r="U296" s="264"/>
      <c r="V296" s="264"/>
      <c r="W296" s="264"/>
      <c r="X296" s="264"/>
    </row>
    <row r="297">
      <c r="A297" s="264"/>
      <c r="B297" s="264"/>
      <c r="C297" s="264"/>
      <c r="D297" s="264"/>
      <c r="E297" s="264"/>
      <c r="F297" s="264"/>
      <c r="G297" s="264"/>
      <c r="H297" s="264"/>
      <c r="I297" s="264"/>
      <c r="J297" s="264"/>
      <c r="K297" s="264"/>
      <c r="L297" s="264"/>
      <c r="M297" s="264"/>
      <c r="N297" s="264"/>
      <c r="O297" s="264"/>
      <c r="P297" s="264"/>
      <c r="Q297" s="264"/>
      <c r="R297" s="264"/>
      <c r="S297" s="264"/>
      <c r="T297" s="264"/>
      <c r="U297" s="264"/>
      <c r="V297" s="264"/>
      <c r="W297" s="264"/>
      <c r="X297" s="264"/>
    </row>
    <row r="298">
      <c r="A298" s="264"/>
      <c r="B298" s="264"/>
      <c r="C298" s="264"/>
      <c r="D298" s="264"/>
      <c r="E298" s="264"/>
      <c r="F298" s="264"/>
      <c r="G298" s="264"/>
      <c r="H298" s="264"/>
      <c r="I298" s="264"/>
      <c r="J298" s="264"/>
      <c r="K298" s="264"/>
      <c r="L298" s="264"/>
      <c r="M298" s="264"/>
      <c r="N298" s="264"/>
      <c r="O298" s="264"/>
      <c r="P298" s="264"/>
      <c r="Q298" s="264"/>
      <c r="R298" s="264"/>
      <c r="S298" s="264"/>
      <c r="T298" s="264"/>
      <c r="U298" s="264"/>
      <c r="V298" s="264"/>
      <c r="W298" s="264"/>
      <c r="X298" s="264"/>
    </row>
    <row r="299">
      <c r="A299" s="264"/>
      <c r="B299" s="264"/>
      <c r="C299" s="264"/>
      <c r="D299" s="264"/>
      <c r="E299" s="264"/>
      <c r="F299" s="264"/>
      <c r="G299" s="264"/>
      <c r="H299" s="264"/>
      <c r="I299" s="264"/>
      <c r="J299" s="264"/>
      <c r="K299" s="264"/>
      <c r="L299" s="264"/>
      <c r="M299" s="264"/>
      <c r="N299" s="264"/>
      <c r="O299" s="264"/>
      <c r="P299" s="264"/>
      <c r="Q299" s="264"/>
      <c r="R299" s="264"/>
      <c r="S299" s="264"/>
      <c r="T299" s="264"/>
      <c r="U299" s="264"/>
      <c r="V299" s="264"/>
      <c r="W299" s="264"/>
      <c r="X299" s="264"/>
    </row>
    <row r="300">
      <c r="A300" s="264"/>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row>
    <row r="30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row>
    <row r="302">
      <c r="A302" s="264"/>
      <c r="B302" s="264"/>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row>
    <row r="303">
      <c r="A303" s="264"/>
      <c r="B303" s="264"/>
      <c r="C303" s="264"/>
      <c r="D303" s="264"/>
      <c r="E303" s="264"/>
      <c r="F303" s="264"/>
      <c r="G303" s="264"/>
      <c r="H303" s="264"/>
      <c r="I303" s="264"/>
      <c r="J303" s="264"/>
      <c r="K303" s="264"/>
      <c r="L303" s="264"/>
      <c r="M303" s="264"/>
      <c r="N303" s="264"/>
      <c r="O303" s="264"/>
      <c r="P303" s="264"/>
      <c r="Q303" s="264"/>
      <c r="R303" s="264"/>
      <c r="S303" s="264"/>
      <c r="T303" s="264"/>
      <c r="U303" s="264"/>
      <c r="V303" s="264"/>
      <c r="W303" s="264"/>
      <c r="X303" s="264"/>
    </row>
    <row r="304">
      <c r="A304" s="264"/>
      <c r="B304" s="264"/>
      <c r="C304" s="264"/>
      <c r="D304" s="264"/>
      <c r="E304" s="264"/>
      <c r="F304" s="264"/>
      <c r="G304" s="264"/>
      <c r="H304" s="264"/>
      <c r="I304" s="264"/>
      <c r="J304" s="264"/>
      <c r="K304" s="264"/>
      <c r="L304" s="264"/>
      <c r="M304" s="264"/>
      <c r="N304" s="264"/>
      <c r="O304" s="264"/>
      <c r="P304" s="264"/>
      <c r="Q304" s="264"/>
      <c r="R304" s="264"/>
      <c r="S304" s="264"/>
      <c r="T304" s="264"/>
      <c r="U304" s="264"/>
      <c r="V304" s="264"/>
      <c r="W304" s="264"/>
      <c r="X304" s="264"/>
    </row>
    <row r="305">
      <c r="A305" s="264"/>
      <c r="B305" s="264"/>
      <c r="C305" s="264"/>
      <c r="D305" s="264"/>
      <c r="E305" s="264"/>
      <c r="F305" s="264"/>
      <c r="G305" s="264"/>
      <c r="H305" s="264"/>
      <c r="I305" s="264"/>
      <c r="J305" s="264"/>
      <c r="K305" s="264"/>
      <c r="L305" s="264"/>
      <c r="M305" s="264"/>
      <c r="N305" s="264"/>
      <c r="O305" s="264"/>
      <c r="P305" s="264"/>
      <c r="Q305" s="264"/>
      <c r="R305" s="264"/>
      <c r="S305" s="264"/>
      <c r="T305" s="264"/>
      <c r="U305" s="264"/>
      <c r="V305" s="264"/>
      <c r="W305" s="264"/>
      <c r="X305" s="264"/>
    </row>
    <row r="306">
      <c r="A306" s="264"/>
      <c r="B306" s="264"/>
      <c r="C306" s="264"/>
      <c r="D306" s="264"/>
      <c r="E306" s="264"/>
      <c r="F306" s="264"/>
      <c r="G306" s="264"/>
      <c r="H306" s="264"/>
      <c r="I306" s="264"/>
      <c r="J306" s="264"/>
      <c r="K306" s="264"/>
      <c r="L306" s="264"/>
      <c r="M306" s="264"/>
      <c r="N306" s="264"/>
      <c r="O306" s="264"/>
      <c r="P306" s="264"/>
      <c r="Q306" s="264"/>
      <c r="R306" s="264"/>
      <c r="S306" s="264"/>
      <c r="T306" s="264"/>
      <c r="U306" s="264"/>
      <c r="V306" s="264"/>
      <c r="W306" s="264"/>
      <c r="X306" s="264"/>
    </row>
    <row r="307">
      <c r="A307" s="264"/>
      <c r="B307" s="264"/>
      <c r="C307" s="264"/>
      <c r="D307" s="264"/>
      <c r="E307" s="264"/>
      <c r="F307" s="264"/>
      <c r="G307" s="264"/>
      <c r="H307" s="264"/>
      <c r="I307" s="264"/>
      <c r="J307" s="264"/>
      <c r="K307" s="264"/>
      <c r="L307" s="264"/>
      <c r="M307" s="264"/>
      <c r="N307" s="264"/>
      <c r="O307" s="264"/>
      <c r="P307" s="264"/>
      <c r="Q307" s="264"/>
      <c r="R307" s="264"/>
      <c r="S307" s="264"/>
      <c r="T307" s="264"/>
      <c r="U307" s="264"/>
      <c r="V307" s="264"/>
      <c r="W307" s="264"/>
      <c r="X307" s="264"/>
    </row>
    <row r="308">
      <c r="A308" s="264"/>
      <c r="B308" s="264"/>
      <c r="C308" s="264"/>
      <c r="D308" s="264"/>
      <c r="E308" s="264"/>
      <c r="F308" s="264"/>
      <c r="G308" s="264"/>
      <c r="H308" s="264"/>
      <c r="I308" s="264"/>
      <c r="J308" s="264"/>
      <c r="K308" s="264"/>
      <c r="L308" s="264"/>
      <c r="M308" s="264"/>
      <c r="N308" s="264"/>
      <c r="O308" s="264"/>
      <c r="P308" s="264"/>
      <c r="Q308" s="264"/>
      <c r="R308" s="264"/>
      <c r="S308" s="264"/>
      <c r="T308" s="264"/>
      <c r="U308" s="264"/>
      <c r="V308" s="264"/>
      <c r="W308" s="264"/>
      <c r="X308" s="264"/>
    </row>
    <row r="309">
      <c r="A309" s="264"/>
      <c r="B309" s="264"/>
      <c r="C309" s="264"/>
      <c r="D309" s="264"/>
      <c r="E309" s="264"/>
      <c r="F309" s="264"/>
      <c r="G309" s="264"/>
      <c r="H309" s="264"/>
      <c r="I309" s="264"/>
      <c r="J309" s="264"/>
      <c r="K309" s="264"/>
      <c r="L309" s="264"/>
      <c r="M309" s="264"/>
      <c r="N309" s="264"/>
      <c r="O309" s="264"/>
      <c r="P309" s="264"/>
      <c r="Q309" s="264"/>
      <c r="R309" s="264"/>
      <c r="S309" s="264"/>
      <c r="T309" s="264"/>
      <c r="U309" s="264"/>
      <c r="V309" s="264"/>
      <c r="W309" s="264"/>
      <c r="X309" s="264"/>
    </row>
    <row r="310">
      <c r="A310" s="264"/>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row>
    <row r="31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row>
    <row r="312">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row>
    <row r="313">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row>
    <row r="314">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row>
    <row r="315">
      <c r="A315" s="264"/>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row>
    <row r="316">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row>
    <row r="317">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row>
    <row r="318">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row>
    <row r="319">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row>
    <row r="320">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row>
    <row r="32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row>
    <row r="322">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row>
    <row r="323">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row>
    <row r="324">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row>
    <row r="325">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row>
    <row r="326">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row>
    <row r="327">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row>
    <row r="328">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row>
    <row r="329">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row>
    <row r="330">
      <c r="A330" s="264"/>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row>
    <row r="33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row>
    <row r="332">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row>
    <row r="333">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row>
    <row r="334">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row>
    <row r="335">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row>
    <row r="336">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row>
    <row r="337">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row>
    <row r="338">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row>
    <row r="339">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row>
    <row r="340">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row>
    <row r="34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row>
    <row r="342">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row>
    <row r="343">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row>
    <row r="344">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row>
    <row r="345">
      <c r="A345" s="264"/>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row>
    <row r="346">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row>
    <row r="347">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row>
    <row r="348">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row>
    <row r="349">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row>
    <row r="350">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row>
    <row r="35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row>
    <row r="352">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row>
    <row r="353">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row>
    <row r="354">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row>
    <row r="355">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row>
    <row r="356">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row>
    <row r="357">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row>
    <row r="358">
      <c r="A358" s="264"/>
      <c r="B358" s="264"/>
      <c r="C358" s="264"/>
      <c r="D358" s="264"/>
      <c r="E358" s="264"/>
      <c r="F358" s="264"/>
      <c r="G358" s="264"/>
      <c r="H358" s="264"/>
      <c r="I358" s="264"/>
      <c r="J358" s="264"/>
      <c r="K358" s="264"/>
      <c r="L358" s="264"/>
      <c r="M358" s="264"/>
      <c r="N358" s="264"/>
      <c r="O358" s="264"/>
      <c r="P358" s="264"/>
      <c r="Q358" s="264"/>
      <c r="R358" s="264"/>
      <c r="S358" s="264"/>
      <c r="T358" s="264"/>
      <c r="U358" s="264"/>
      <c r="V358" s="264"/>
      <c r="W358" s="264"/>
      <c r="X358" s="264"/>
    </row>
    <row r="359">
      <c r="A359" s="264"/>
      <c r="B359" s="264"/>
      <c r="C359" s="264"/>
      <c r="D359" s="264"/>
      <c r="E359" s="264"/>
      <c r="F359" s="264"/>
      <c r="G359" s="264"/>
      <c r="H359" s="264"/>
      <c r="I359" s="264"/>
      <c r="J359" s="264"/>
      <c r="K359" s="264"/>
      <c r="L359" s="264"/>
      <c r="M359" s="264"/>
      <c r="N359" s="264"/>
      <c r="O359" s="264"/>
      <c r="P359" s="264"/>
      <c r="Q359" s="264"/>
      <c r="R359" s="264"/>
      <c r="S359" s="264"/>
      <c r="T359" s="264"/>
      <c r="U359" s="264"/>
      <c r="V359" s="264"/>
      <c r="W359" s="264"/>
      <c r="X359" s="264"/>
    </row>
    <row r="360">
      <c r="A360" s="264"/>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row>
    <row r="361">
      <c r="A361" s="264"/>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row>
    <row r="362">
      <c r="A362" s="264"/>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row>
    <row r="363">
      <c r="A363" s="264"/>
      <c r="B363" s="264"/>
      <c r="C363" s="264"/>
      <c r="D363" s="264"/>
      <c r="E363" s="264"/>
      <c r="F363" s="264"/>
      <c r="G363" s="264"/>
      <c r="H363" s="264"/>
      <c r="I363" s="264"/>
      <c r="J363" s="264"/>
      <c r="K363" s="264"/>
      <c r="L363" s="264"/>
      <c r="M363" s="264"/>
      <c r="N363" s="264"/>
      <c r="O363" s="264"/>
      <c r="P363" s="264"/>
      <c r="Q363" s="264"/>
      <c r="R363" s="264"/>
      <c r="S363" s="264"/>
      <c r="T363" s="264"/>
      <c r="U363" s="264"/>
      <c r="V363" s="264"/>
      <c r="W363" s="264"/>
      <c r="X363" s="264"/>
    </row>
    <row r="364">
      <c r="A364" s="264"/>
      <c r="B364" s="264"/>
      <c r="C364" s="264"/>
      <c r="D364" s="264"/>
      <c r="E364" s="264"/>
      <c r="F364" s="264"/>
      <c r="G364" s="264"/>
      <c r="H364" s="264"/>
      <c r="I364" s="264"/>
      <c r="J364" s="264"/>
      <c r="K364" s="264"/>
      <c r="L364" s="264"/>
      <c r="M364" s="264"/>
      <c r="N364" s="264"/>
      <c r="O364" s="264"/>
      <c r="P364" s="264"/>
      <c r="Q364" s="264"/>
      <c r="R364" s="264"/>
      <c r="S364" s="264"/>
      <c r="T364" s="264"/>
      <c r="U364" s="264"/>
      <c r="V364" s="264"/>
      <c r="W364" s="264"/>
      <c r="X364" s="264"/>
    </row>
    <row r="365">
      <c r="A365" s="264"/>
      <c r="B365" s="264"/>
      <c r="C365" s="264"/>
      <c r="D365" s="264"/>
      <c r="E365" s="264"/>
      <c r="F365" s="264"/>
      <c r="G365" s="264"/>
      <c r="H365" s="264"/>
      <c r="I365" s="264"/>
      <c r="J365" s="264"/>
      <c r="K365" s="264"/>
      <c r="L365" s="264"/>
      <c r="M365" s="264"/>
      <c r="N365" s="264"/>
      <c r="O365" s="264"/>
      <c r="P365" s="264"/>
      <c r="Q365" s="264"/>
      <c r="R365" s="264"/>
      <c r="S365" s="264"/>
      <c r="T365" s="264"/>
      <c r="U365" s="264"/>
      <c r="V365" s="264"/>
      <c r="W365" s="264"/>
      <c r="X365" s="264"/>
    </row>
    <row r="366">
      <c r="A366" s="264"/>
      <c r="B366" s="264"/>
      <c r="C366" s="264"/>
      <c r="D366" s="264"/>
      <c r="E366" s="264"/>
      <c r="F366" s="264"/>
      <c r="G366" s="264"/>
      <c r="H366" s="264"/>
      <c r="I366" s="264"/>
      <c r="J366" s="264"/>
      <c r="K366" s="264"/>
      <c r="L366" s="264"/>
      <c r="M366" s="264"/>
      <c r="N366" s="264"/>
      <c r="O366" s="264"/>
      <c r="P366" s="264"/>
      <c r="Q366" s="264"/>
      <c r="R366" s="264"/>
      <c r="S366" s="264"/>
      <c r="T366" s="264"/>
      <c r="U366" s="264"/>
      <c r="V366" s="264"/>
      <c r="W366" s="264"/>
      <c r="X366" s="264"/>
    </row>
    <row r="367">
      <c r="A367" s="264"/>
      <c r="B367" s="264"/>
      <c r="C367" s="264"/>
      <c r="D367" s="264"/>
      <c r="E367" s="264"/>
      <c r="F367" s="264"/>
      <c r="G367" s="264"/>
      <c r="H367" s="264"/>
      <c r="I367" s="264"/>
      <c r="J367" s="264"/>
      <c r="K367" s="264"/>
      <c r="L367" s="264"/>
      <c r="M367" s="264"/>
      <c r="N367" s="264"/>
      <c r="O367" s="264"/>
      <c r="P367" s="264"/>
      <c r="Q367" s="264"/>
      <c r="R367" s="264"/>
      <c r="S367" s="264"/>
      <c r="T367" s="264"/>
      <c r="U367" s="264"/>
      <c r="V367" s="264"/>
      <c r="W367" s="264"/>
      <c r="X367" s="264"/>
    </row>
    <row r="368">
      <c r="A368" s="264"/>
      <c r="B368" s="264"/>
      <c r="C368" s="264"/>
      <c r="D368" s="264"/>
      <c r="E368" s="264"/>
      <c r="F368" s="264"/>
      <c r="G368" s="264"/>
      <c r="H368" s="264"/>
      <c r="I368" s="264"/>
      <c r="J368" s="264"/>
      <c r="K368" s="264"/>
      <c r="L368" s="264"/>
      <c r="M368" s="264"/>
      <c r="N368" s="264"/>
      <c r="O368" s="264"/>
      <c r="P368" s="264"/>
      <c r="Q368" s="264"/>
      <c r="R368" s="264"/>
      <c r="S368" s="264"/>
      <c r="T368" s="264"/>
      <c r="U368" s="264"/>
      <c r="V368" s="264"/>
      <c r="W368" s="264"/>
      <c r="X368" s="264"/>
    </row>
    <row r="369">
      <c r="A369" s="264"/>
      <c r="B369" s="264"/>
      <c r="C369" s="264"/>
      <c r="D369" s="264"/>
      <c r="E369" s="264"/>
      <c r="F369" s="264"/>
      <c r="G369" s="264"/>
      <c r="H369" s="264"/>
      <c r="I369" s="264"/>
      <c r="J369" s="264"/>
      <c r="K369" s="264"/>
      <c r="L369" s="264"/>
      <c r="M369" s="264"/>
      <c r="N369" s="264"/>
      <c r="O369" s="264"/>
      <c r="P369" s="264"/>
      <c r="Q369" s="264"/>
      <c r="R369" s="264"/>
      <c r="S369" s="264"/>
      <c r="T369" s="264"/>
      <c r="U369" s="264"/>
      <c r="V369" s="264"/>
      <c r="W369" s="264"/>
      <c r="X369" s="264"/>
    </row>
    <row r="370">
      <c r="A370" s="264"/>
      <c r="B370" s="264"/>
      <c r="C370" s="264"/>
      <c r="D370" s="264"/>
      <c r="E370" s="264"/>
      <c r="F370" s="264"/>
      <c r="G370" s="264"/>
      <c r="H370" s="264"/>
      <c r="I370" s="264"/>
      <c r="J370" s="264"/>
      <c r="K370" s="264"/>
      <c r="L370" s="264"/>
      <c r="M370" s="264"/>
      <c r="N370" s="264"/>
      <c r="O370" s="264"/>
      <c r="P370" s="264"/>
      <c r="Q370" s="264"/>
      <c r="R370" s="264"/>
      <c r="S370" s="264"/>
      <c r="T370" s="264"/>
      <c r="U370" s="264"/>
      <c r="V370" s="264"/>
      <c r="W370" s="264"/>
      <c r="X370" s="264"/>
    </row>
    <row r="371">
      <c r="A371" s="264"/>
      <c r="B371" s="264"/>
      <c r="C371" s="264"/>
      <c r="D371" s="264"/>
      <c r="E371" s="264"/>
      <c r="F371" s="264"/>
      <c r="G371" s="264"/>
      <c r="H371" s="264"/>
      <c r="I371" s="264"/>
      <c r="J371" s="264"/>
      <c r="K371" s="264"/>
      <c r="L371" s="264"/>
      <c r="M371" s="264"/>
      <c r="N371" s="264"/>
      <c r="O371" s="264"/>
      <c r="P371" s="264"/>
      <c r="Q371" s="264"/>
      <c r="R371" s="264"/>
      <c r="S371" s="264"/>
      <c r="T371" s="264"/>
      <c r="U371" s="264"/>
      <c r="V371" s="264"/>
      <c r="W371" s="264"/>
      <c r="X371" s="264"/>
    </row>
    <row r="372">
      <c r="A372" s="264"/>
      <c r="B372" s="264"/>
      <c r="C372" s="264"/>
      <c r="D372" s="264"/>
      <c r="E372" s="264"/>
      <c r="F372" s="264"/>
      <c r="G372" s="264"/>
      <c r="H372" s="264"/>
      <c r="I372" s="264"/>
      <c r="J372" s="264"/>
      <c r="K372" s="264"/>
      <c r="L372" s="264"/>
      <c r="M372" s="264"/>
      <c r="N372" s="264"/>
      <c r="O372" s="264"/>
      <c r="P372" s="264"/>
      <c r="Q372" s="264"/>
      <c r="R372" s="264"/>
      <c r="S372" s="264"/>
      <c r="T372" s="264"/>
      <c r="U372" s="264"/>
      <c r="V372" s="264"/>
      <c r="W372" s="264"/>
      <c r="X372" s="264"/>
    </row>
    <row r="373">
      <c r="A373" s="264"/>
      <c r="B373" s="264"/>
      <c r="C373" s="264"/>
      <c r="D373" s="264"/>
      <c r="E373" s="264"/>
      <c r="F373" s="264"/>
      <c r="G373" s="264"/>
      <c r="H373" s="264"/>
      <c r="I373" s="264"/>
      <c r="J373" s="264"/>
      <c r="K373" s="264"/>
      <c r="L373" s="264"/>
      <c r="M373" s="264"/>
      <c r="N373" s="264"/>
      <c r="O373" s="264"/>
      <c r="P373" s="264"/>
      <c r="Q373" s="264"/>
      <c r="R373" s="264"/>
      <c r="S373" s="264"/>
      <c r="T373" s="264"/>
      <c r="U373" s="264"/>
      <c r="V373" s="264"/>
      <c r="W373" s="264"/>
      <c r="X373" s="264"/>
    </row>
    <row r="374">
      <c r="A374" s="264"/>
      <c r="B374" s="264"/>
      <c r="C374" s="264"/>
      <c r="D374" s="264"/>
      <c r="E374" s="264"/>
      <c r="F374" s="264"/>
      <c r="G374" s="264"/>
      <c r="H374" s="264"/>
      <c r="I374" s="264"/>
      <c r="J374" s="264"/>
      <c r="K374" s="264"/>
      <c r="L374" s="264"/>
      <c r="M374" s="264"/>
      <c r="N374" s="264"/>
      <c r="O374" s="264"/>
      <c r="P374" s="264"/>
      <c r="Q374" s="264"/>
      <c r="R374" s="264"/>
      <c r="S374" s="264"/>
      <c r="T374" s="264"/>
      <c r="U374" s="264"/>
      <c r="V374" s="264"/>
      <c r="W374" s="264"/>
      <c r="X374" s="264"/>
    </row>
    <row r="375">
      <c r="A375" s="264"/>
      <c r="B375" s="264"/>
      <c r="C375" s="264"/>
      <c r="D375" s="264"/>
      <c r="E375" s="264"/>
      <c r="F375" s="264"/>
      <c r="G375" s="264"/>
      <c r="H375" s="264"/>
      <c r="I375" s="264"/>
      <c r="J375" s="264"/>
      <c r="K375" s="264"/>
      <c r="L375" s="264"/>
      <c r="M375" s="264"/>
      <c r="N375" s="264"/>
      <c r="O375" s="264"/>
      <c r="P375" s="264"/>
      <c r="Q375" s="264"/>
      <c r="R375" s="264"/>
      <c r="S375" s="264"/>
      <c r="T375" s="264"/>
      <c r="U375" s="264"/>
      <c r="V375" s="264"/>
      <c r="W375" s="264"/>
      <c r="X375" s="264"/>
    </row>
    <row r="376">
      <c r="A376" s="264"/>
      <c r="B376" s="264"/>
      <c r="C376" s="264"/>
      <c r="D376" s="264"/>
      <c r="E376" s="264"/>
      <c r="F376" s="264"/>
      <c r="G376" s="264"/>
      <c r="H376" s="264"/>
      <c r="I376" s="264"/>
      <c r="J376" s="264"/>
      <c r="K376" s="264"/>
      <c r="L376" s="264"/>
      <c r="M376" s="264"/>
      <c r="N376" s="264"/>
      <c r="O376" s="264"/>
      <c r="P376" s="264"/>
      <c r="Q376" s="264"/>
      <c r="R376" s="264"/>
      <c r="S376" s="264"/>
      <c r="T376" s="264"/>
      <c r="U376" s="264"/>
      <c r="V376" s="264"/>
      <c r="W376" s="264"/>
      <c r="X376" s="264"/>
    </row>
    <row r="377">
      <c r="A377" s="264"/>
      <c r="B377" s="264"/>
      <c r="C377" s="264"/>
      <c r="D377" s="264"/>
      <c r="E377" s="264"/>
      <c r="F377" s="264"/>
      <c r="G377" s="264"/>
      <c r="H377" s="264"/>
      <c r="I377" s="264"/>
      <c r="J377" s="264"/>
      <c r="K377" s="264"/>
      <c r="L377" s="264"/>
      <c r="M377" s="264"/>
      <c r="N377" s="264"/>
      <c r="O377" s="264"/>
      <c r="P377" s="264"/>
      <c r="Q377" s="264"/>
      <c r="R377" s="264"/>
      <c r="S377" s="264"/>
      <c r="T377" s="264"/>
      <c r="U377" s="264"/>
      <c r="V377" s="264"/>
      <c r="W377" s="264"/>
      <c r="X377" s="264"/>
    </row>
    <row r="378">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row>
    <row r="379">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264"/>
    </row>
    <row r="380">
      <c r="A380" s="264"/>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264"/>
    </row>
    <row r="381">
      <c r="A381" s="26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264"/>
    </row>
    <row r="382">
      <c r="A382" s="26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264"/>
    </row>
    <row r="383">
      <c r="A383" s="264"/>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264"/>
    </row>
    <row r="384">
      <c r="A384" s="264"/>
      <c r="B384" s="264"/>
      <c r="C384" s="264"/>
      <c r="D384" s="264"/>
      <c r="E384" s="264"/>
      <c r="F384" s="264"/>
      <c r="G384" s="264"/>
      <c r="H384" s="264"/>
      <c r="I384" s="264"/>
      <c r="J384" s="264"/>
      <c r="K384" s="264"/>
      <c r="L384" s="264"/>
      <c r="M384" s="264"/>
      <c r="N384" s="264"/>
      <c r="O384" s="264"/>
      <c r="P384" s="264"/>
      <c r="Q384" s="264"/>
      <c r="R384" s="264"/>
      <c r="S384" s="264"/>
      <c r="T384" s="264"/>
      <c r="U384" s="264"/>
      <c r="V384" s="264"/>
      <c r="W384" s="264"/>
      <c r="X384" s="264"/>
    </row>
    <row r="385">
      <c r="A385" s="264"/>
      <c r="B385" s="264"/>
      <c r="C385" s="264"/>
      <c r="D385" s="264"/>
      <c r="E385" s="264"/>
      <c r="F385" s="264"/>
      <c r="G385" s="264"/>
      <c r="H385" s="264"/>
      <c r="I385" s="264"/>
      <c r="J385" s="264"/>
      <c r="K385" s="264"/>
      <c r="L385" s="264"/>
      <c r="M385" s="264"/>
      <c r="N385" s="264"/>
      <c r="O385" s="264"/>
      <c r="P385" s="264"/>
      <c r="Q385" s="264"/>
      <c r="R385" s="264"/>
      <c r="S385" s="264"/>
      <c r="T385" s="264"/>
      <c r="U385" s="264"/>
      <c r="V385" s="264"/>
      <c r="W385" s="264"/>
      <c r="X385" s="264"/>
    </row>
    <row r="386">
      <c r="A386" s="264"/>
      <c r="B386" s="264"/>
      <c r="C386" s="264"/>
      <c r="D386" s="264"/>
      <c r="E386" s="264"/>
      <c r="F386" s="264"/>
      <c r="G386" s="264"/>
      <c r="H386" s="264"/>
      <c r="I386" s="264"/>
      <c r="J386" s="264"/>
      <c r="K386" s="264"/>
      <c r="L386" s="264"/>
      <c r="M386" s="264"/>
      <c r="N386" s="264"/>
      <c r="O386" s="264"/>
      <c r="P386" s="264"/>
      <c r="Q386" s="264"/>
      <c r="R386" s="264"/>
      <c r="S386" s="264"/>
      <c r="T386" s="264"/>
      <c r="U386" s="264"/>
      <c r="V386" s="264"/>
      <c r="W386" s="264"/>
      <c r="X386" s="264"/>
    </row>
    <row r="387">
      <c r="A387" s="264"/>
      <c r="B387" s="264"/>
      <c r="C387" s="264"/>
      <c r="D387" s="264"/>
      <c r="E387" s="264"/>
      <c r="F387" s="264"/>
      <c r="G387" s="264"/>
      <c r="H387" s="264"/>
      <c r="I387" s="264"/>
      <c r="J387" s="264"/>
      <c r="K387" s="264"/>
      <c r="L387" s="264"/>
      <c r="M387" s="264"/>
      <c r="N387" s="264"/>
      <c r="O387" s="264"/>
      <c r="P387" s="264"/>
      <c r="Q387" s="264"/>
      <c r="R387" s="264"/>
      <c r="S387" s="264"/>
      <c r="T387" s="264"/>
      <c r="U387" s="264"/>
      <c r="V387" s="264"/>
      <c r="W387" s="264"/>
      <c r="X387" s="264"/>
    </row>
    <row r="388">
      <c r="A388" s="264"/>
      <c r="B388" s="264"/>
      <c r="C388" s="264"/>
      <c r="D388" s="264"/>
      <c r="E388" s="264"/>
      <c r="F388" s="264"/>
      <c r="G388" s="264"/>
      <c r="H388" s="264"/>
      <c r="I388" s="264"/>
      <c r="J388" s="264"/>
      <c r="K388" s="264"/>
      <c r="L388" s="264"/>
      <c r="M388" s="264"/>
      <c r="N388" s="264"/>
      <c r="O388" s="264"/>
      <c r="P388" s="264"/>
      <c r="Q388" s="264"/>
      <c r="R388" s="264"/>
      <c r="S388" s="264"/>
      <c r="T388" s="264"/>
      <c r="U388" s="264"/>
      <c r="V388" s="264"/>
      <c r="W388" s="264"/>
      <c r="X388" s="264"/>
    </row>
    <row r="389">
      <c r="A389" s="264"/>
      <c r="B389" s="264"/>
      <c r="C389" s="264"/>
      <c r="D389" s="264"/>
      <c r="E389" s="264"/>
      <c r="F389" s="264"/>
      <c r="G389" s="264"/>
      <c r="H389" s="264"/>
      <c r="I389" s="264"/>
      <c r="J389" s="264"/>
      <c r="K389" s="264"/>
      <c r="L389" s="264"/>
      <c r="M389" s="264"/>
      <c r="N389" s="264"/>
      <c r="O389" s="264"/>
      <c r="P389" s="264"/>
      <c r="Q389" s="264"/>
      <c r="R389" s="264"/>
      <c r="S389" s="264"/>
      <c r="T389" s="264"/>
      <c r="U389" s="264"/>
      <c r="V389" s="264"/>
      <c r="W389" s="264"/>
      <c r="X389" s="264"/>
    </row>
    <row r="390">
      <c r="A390" s="264"/>
      <c r="B390" s="264"/>
      <c r="C390" s="264"/>
      <c r="D390" s="264"/>
      <c r="E390" s="264"/>
      <c r="F390" s="264"/>
      <c r="G390" s="264"/>
      <c r="H390" s="264"/>
      <c r="I390" s="264"/>
      <c r="J390" s="264"/>
      <c r="K390" s="264"/>
      <c r="L390" s="264"/>
      <c r="M390" s="264"/>
      <c r="N390" s="264"/>
      <c r="O390" s="264"/>
      <c r="P390" s="264"/>
      <c r="Q390" s="264"/>
      <c r="R390" s="264"/>
      <c r="S390" s="264"/>
      <c r="T390" s="264"/>
      <c r="U390" s="264"/>
      <c r="V390" s="264"/>
      <c r="W390" s="264"/>
      <c r="X390" s="264"/>
    </row>
    <row r="391">
      <c r="A391" s="264"/>
      <c r="B391" s="264"/>
      <c r="C391" s="264"/>
      <c r="D391" s="264"/>
      <c r="E391" s="264"/>
      <c r="F391" s="264"/>
      <c r="G391" s="264"/>
      <c r="H391" s="264"/>
      <c r="I391" s="264"/>
      <c r="J391" s="264"/>
      <c r="K391" s="264"/>
      <c r="L391" s="264"/>
      <c r="M391" s="264"/>
      <c r="N391" s="264"/>
      <c r="O391" s="264"/>
      <c r="P391" s="264"/>
      <c r="Q391" s="264"/>
      <c r="R391" s="264"/>
      <c r="S391" s="264"/>
      <c r="T391" s="264"/>
      <c r="U391" s="264"/>
      <c r="V391" s="264"/>
      <c r="W391" s="264"/>
      <c r="X391" s="264"/>
    </row>
    <row r="392">
      <c r="A392" s="264"/>
      <c r="B392" s="264"/>
      <c r="C392" s="264"/>
      <c r="D392" s="264"/>
      <c r="E392" s="264"/>
      <c r="F392" s="264"/>
      <c r="G392" s="264"/>
      <c r="H392" s="264"/>
      <c r="I392" s="264"/>
      <c r="J392" s="264"/>
      <c r="K392" s="264"/>
      <c r="L392" s="264"/>
      <c r="M392" s="264"/>
      <c r="N392" s="264"/>
      <c r="O392" s="264"/>
      <c r="P392" s="264"/>
      <c r="Q392" s="264"/>
      <c r="R392" s="264"/>
      <c r="S392" s="264"/>
      <c r="T392" s="264"/>
      <c r="U392" s="264"/>
      <c r="V392" s="264"/>
      <c r="W392" s="264"/>
      <c r="X392" s="264"/>
    </row>
    <row r="393">
      <c r="A393" s="264"/>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264"/>
    </row>
    <row r="394">
      <c r="A394" s="26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264"/>
    </row>
    <row r="395">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row>
    <row r="396">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row>
    <row r="397">
      <c r="A397" s="264"/>
      <c r="B397" s="264"/>
      <c r="C397" s="264"/>
      <c r="D397" s="264"/>
      <c r="E397" s="264"/>
      <c r="F397" s="264"/>
      <c r="G397" s="264"/>
      <c r="H397" s="264"/>
      <c r="I397" s="264"/>
      <c r="J397" s="264"/>
      <c r="K397" s="264"/>
      <c r="L397" s="264"/>
      <c r="M397" s="264"/>
      <c r="N397" s="264"/>
      <c r="O397" s="264"/>
      <c r="P397" s="264"/>
      <c r="Q397" s="264"/>
      <c r="R397" s="264"/>
      <c r="S397" s="264"/>
      <c r="T397" s="264"/>
      <c r="U397" s="264"/>
      <c r="V397" s="264"/>
      <c r="W397" s="264"/>
      <c r="X397" s="264"/>
    </row>
    <row r="398">
      <c r="A398" s="264"/>
      <c r="B398" s="264"/>
      <c r="C398" s="264"/>
      <c r="D398" s="264"/>
      <c r="E398" s="264"/>
      <c r="F398" s="264"/>
      <c r="G398" s="264"/>
      <c r="H398" s="264"/>
      <c r="I398" s="264"/>
      <c r="J398" s="264"/>
      <c r="K398" s="264"/>
      <c r="L398" s="264"/>
      <c r="M398" s="264"/>
      <c r="N398" s="264"/>
      <c r="O398" s="264"/>
      <c r="P398" s="264"/>
      <c r="Q398" s="264"/>
      <c r="R398" s="264"/>
      <c r="S398" s="264"/>
      <c r="T398" s="264"/>
      <c r="U398" s="264"/>
      <c r="V398" s="264"/>
      <c r="W398" s="264"/>
      <c r="X398" s="264"/>
    </row>
    <row r="399">
      <c r="A399" s="264"/>
      <c r="B399" s="264"/>
      <c r="C399" s="264"/>
      <c r="D399" s="264"/>
      <c r="E399" s="264"/>
      <c r="F399" s="264"/>
      <c r="G399" s="264"/>
      <c r="H399" s="264"/>
      <c r="I399" s="264"/>
      <c r="J399" s="264"/>
      <c r="K399" s="264"/>
      <c r="L399" s="264"/>
      <c r="M399" s="264"/>
      <c r="N399" s="264"/>
      <c r="O399" s="264"/>
      <c r="P399" s="264"/>
      <c r="Q399" s="264"/>
      <c r="R399" s="264"/>
      <c r="S399" s="264"/>
      <c r="T399" s="264"/>
      <c r="U399" s="264"/>
      <c r="V399" s="264"/>
      <c r="W399" s="264"/>
      <c r="X399" s="264"/>
    </row>
    <row r="400">
      <c r="A400" s="264"/>
      <c r="B400" s="264"/>
      <c r="C400" s="264"/>
      <c r="D400" s="264"/>
      <c r="E400" s="264"/>
      <c r="F400" s="264"/>
      <c r="G400" s="264"/>
      <c r="H400" s="264"/>
      <c r="I400" s="264"/>
      <c r="J400" s="264"/>
      <c r="K400" s="264"/>
      <c r="L400" s="264"/>
      <c r="M400" s="264"/>
      <c r="N400" s="264"/>
      <c r="O400" s="264"/>
      <c r="P400" s="264"/>
      <c r="Q400" s="264"/>
      <c r="R400" s="264"/>
      <c r="S400" s="264"/>
      <c r="T400" s="264"/>
      <c r="U400" s="264"/>
      <c r="V400" s="264"/>
      <c r="W400" s="264"/>
      <c r="X400" s="264"/>
    </row>
    <row r="401">
      <c r="A401" s="264"/>
      <c r="B401" s="264"/>
      <c r="C401" s="264"/>
      <c r="D401" s="264"/>
      <c r="E401" s="264"/>
      <c r="F401" s="264"/>
      <c r="G401" s="264"/>
      <c r="H401" s="264"/>
      <c r="I401" s="264"/>
      <c r="J401" s="264"/>
      <c r="K401" s="264"/>
      <c r="L401" s="264"/>
      <c r="M401" s="264"/>
      <c r="N401" s="264"/>
      <c r="O401" s="264"/>
      <c r="P401" s="264"/>
      <c r="Q401" s="264"/>
      <c r="R401" s="264"/>
      <c r="S401" s="264"/>
      <c r="T401" s="264"/>
      <c r="U401" s="264"/>
      <c r="V401" s="264"/>
      <c r="W401" s="264"/>
      <c r="X401" s="264"/>
    </row>
    <row r="402">
      <c r="A402" s="264"/>
      <c r="B402" s="264"/>
      <c r="C402" s="264"/>
      <c r="D402" s="264"/>
      <c r="E402" s="264"/>
      <c r="F402" s="264"/>
      <c r="G402" s="264"/>
      <c r="H402" s="264"/>
      <c r="I402" s="264"/>
      <c r="J402" s="264"/>
      <c r="K402" s="264"/>
      <c r="L402" s="264"/>
      <c r="M402" s="264"/>
      <c r="N402" s="264"/>
      <c r="O402" s="264"/>
      <c r="P402" s="264"/>
      <c r="Q402" s="264"/>
      <c r="R402" s="264"/>
      <c r="S402" s="264"/>
      <c r="T402" s="264"/>
      <c r="U402" s="264"/>
      <c r="V402" s="264"/>
      <c r="W402" s="264"/>
      <c r="X402" s="264"/>
    </row>
    <row r="403">
      <c r="A403" s="264"/>
      <c r="B403" s="264"/>
      <c r="C403" s="264"/>
      <c r="D403" s="264"/>
      <c r="E403" s="264"/>
      <c r="F403" s="264"/>
      <c r="G403" s="264"/>
      <c r="H403" s="264"/>
      <c r="I403" s="264"/>
      <c r="J403" s="264"/>
      <c r="K403" s="264"/>
      <c r="L403" s="264"/>
      <c r="M403" s="264"/>
      <c r="N403" s="264"/>
      <c r="O403" s="264"/>
      <c r="P403" s="264"/>
      <c r="Q403" s="264"/>
      <c r="R403" s="264"/>
      <c r="S403" s="264"/>
      <c r="T403" s="264"/>
      <c r="U403" s="264"/>
      <c r="V403" s="264"/>
      <c r="W403" s="264"/>
      <c r="X403" s="264"/>
    </row>
    <row r="404">
      <c r="A404" s="264"/>
      <c r="B404" s="264"/>
      <c r="C404" s="264"/>
      <c r="D404" s="264"/>
      <c r="E404" s="264"/>
      <c r="F404" s="264"/>
      <c r="G404" s="264"/>
      <c r="H404" s="264"/>
      <c r="I404" s="264"/>
      <c r="J404" s="264"/>
      <c r="K404" s="264"/>
      <c r="L404" s="264"/>
      <c r="M404" s="264"/>
      <c r="N404" s="264"/>
      <c r="O404" s="264"/>
      <c r="P404" s="264"/>
      <c r="Q404" s="264"/>
      <c r="R404" s="264"/>
      <c r="S404" s="264"/>
      <c r="T404" s="264"/>
      <c r="U404" s="264"/>
      <c r="V404" s="264"/>
      <c r="W404" s="264"/>
      <c r="X404" s="264"/>
    </row>
    <row r="405">
      <c r="A405" s="264"/>
      <c r="B405" s="264"/>
      <c r="C405" s="264"/>
      <c r="D405" s="264"/>
      <c r="E405" s="264"/>
      <c r="F405" s="264"/>
      <c r="G405" s="264"/>
      <c r="H405" s="264"/>
      <c r="I405" s="264"/>
      <c r="J405" s="264"/>
      <c r="K405" s="264"/>
      <c r="L405" s="264"/>
      <c r="M405" s="264"/>
      <c r="N405" s="264"/>
      <c r="O405" s="264"/>
      <c r="P405" s="264"/>
      <c r="Q405" s="264"/>
      <c r="R405" s="264"/>
      <c r="S405" s="264"/>
      <c r="T405" s="264"/>
      <c r="U405" s="264"/>
      <c r="V405" s="264"/>
      <c r="W405" s="264"/>
      <c r="X405" s="264"/>
    </row>
    <row r="406">
      <c r="A406" s="264"/>
      <c r="B406" s="264"/>
      <c r="C406" s="264"/>
      <c r="D406" s="264"/>
      <c r="E406" s="264"/>
      <c r="F406" s="264"/>
      <c r="G406" s="264"/>
      <c r="H406" s="264"/>
      <c r="I406" s="264"/>
      <c r="J406" s="264"/>
      <c r="K406" s="264"/>
      <c r="L406" s="264"/>
      <c r="M406" s="264"/>
      <c r="N406" s="264"/>
      <c r="O406" s="264"/>
      <c r="P406" s="264"/>
      <c r="Q406" s="264"/>
      <c r="R406" s="264"/>
      <c r="S406" s="264"/>
      <c r="T406" s="264"/>
      <c r="U406" s="264"/>
      <c r="V406" s="264"/>
      <c r="W406" s="264"/>
      <c r="X406" s="264"/>
    </row>
    <row r="407">
      <c r="A407" s="264"/>
      <c r="B407" s="264"/>
      <c r="C407" s="264"/>
      <c r="D407" s="264"/>
      <c r="E407" s="264"/>
      <c r="F407" s="264"/>
      <c r="G407" s="264"/>
      <c r="H407" s="264"/>
      <c r="I407" s="264"/>
      <c r="J407" s="264"/>
      <c r="K407" s="264"/>
      <c r="L407" s="264"/>
      <c r="M407" s="264"/>
      <c r="N407" s="264"/>
      <c r="O407" s="264"/>
      <c r="P407" s="264"/>
      <c r="Q407" s="264"/>
      <c r="R407" s="264"/>
      <c r="S407" s="264"/>
      <c r="T407" s="264"/>
      <c r="U407" s="264"/>
      <c r="V407" s="264"/>
      <c r="W407" s="264"/>
      <c r="X407" s="264"/>
    </row>
    <row r="408">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row>
    <row r="409">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row>
    <row r="410">
      <c r="A410" s="264"/>
      <c r="B410" s="264"/>
      <c r="C410" s="264"/>
      <c r="D410" s="264"/>
      <c r="E410" s="264"/>
      <c r="F410" s="264"/>
      <c r="G410" s="264"/>
      <c r="H410" s="264"/>
      <c r="I410" s="264"/>
      <c r="J410" s="264"/>
      <c r="K410" s="264"/>
      <c r="L410" s="264"/>
      <c r="M410" s="264"/>
      <c r="N410" s="264"/>
      <c r="O410" s="264"/>
      <c r="P410" s="264"/>
      <c r="Q410" s="264"/>
      <c r="R410" s="264"/>
      <c r="S410" s="264"/>
      <c r="T410" s="264"/>
      <c r="U410" s="264"/>
      <c r="V410" s="264"/>
      <c r="W410" s="264"/>
      <c r="X410" s="264"/>
    </row>
    <row r="411">
      <c r="A411" s="264"/>
      <c r="B411" s="264"/>
      <c r="C411" s="264"/>
      <c r="D411" s="264"/>
      <c r="E411" s="264"/>
      <c r="F411" s="264"/>
      <c r="G411" s="264"/>
      <c r="H411" s="264"/>
      <c r="I411" s="264"/>
      <c r="J411" s="264"/>
      <c r="K411" s="264"/>
      <c r="L411" s="264"/>
      <c r="M411" s="264"/>
      <c r="N411" s="264"/>
      <c r="O411" s="264"/>
      <c r="P411" s="264"/>
      <c r="Q411" s="264"/>
      <c r="R411" s="264"/>
      <c r="S411" s="264"/>
      <c r="T411" s="264"/>
      <c r="U411" s="264"/>
      <c r="V411" s="264"/>
      <c r="W411" s="264"/>
      <c r="X411" s="264"/>
    </row>
    <row r="412">
      <c r="A412" s="264"/>
      <c r="B412" s="264"/>
      <c r="C412" s="264"/>
      <c r="D412" s="264"/>
      <c r="E412" s="264"/>
      <c r="F412" s="264"/>
      <c r="G412" s="264"/>
      <c r="H412" s="264"/>
      <c r="I412" s="264"/>
      <c r="J412" s="264"/>
      <c r="K412" s="264"/>
      <c r="L412" s="264"/>
      <c r="M412" s="264"/>
      <c r="N412" s="264"/>
      <c r="O412" s="264"/>
      <c r="P412" s="264"/>
      <c r="Q412" s="264"/>
      <c r="R412" s="264"/>
      <c r="S412" s="264"/>
      <c r="T412" s="264"/>
      <c r="U412" s="264"/>
      <c r="V412" s="264"/>
      <c r="W412" s="264"/>
      <c r="X412" s="264"/>
    </row>
    <row r="413">
      <c r="A413" s="264"/>
      <c r="B413" s="264"/>
      <c r="C413" s="264"/>
      <c r="D413" s="264"/>
      <c r="E413" s="264"/>
      <c r="F413" s="264"/>
      <c r="G413" s="264"/>
      <c r="H413" s="264"/>
      <c r="I413" s="264"/>
      <c r="J413" s="264"/>
      <c r="K413" s="264"/>
      <c r="L413" s="264"/>
      <c r="M413" s="264"/>
      <c r="N413" s="264"/>
      <c r="O413" s="264"/>
      <c r="P413" s="264"/>
      <c r="Q413" s="264"/>
      <c r="R413" s="264"/>
      <c r="S413" s="264"/>
      <c r="T413" s="264"/>
      <c r="U413" s="264"/>
      <c r="V413" s="264"/>
      <c r="W413" s="264"/>
      <c r="X413" s="264"/>
    </row>
    <row r="414">
      <c r="A414" s="264"/>
      <c r="B414" s="264"/>
      <c r="C414" s="264"/>
      <c r="D414" s="264"/>
      <c r="E414" s="264"/>
      <c r="F414" s="264"/>
      <c r="G414" s="264"/>
      <c r="H414" s="264"/>
      <c r="I414" s="264"/>
      <c r="J414" s="264"/>
      <c r="K414" s="264"/>
      <c r="L414" s="264"/>
      <c r="M414" s="264"/>
      <c r="N414" s="264"/>
      <c r="O414" s="264"/>
      <c r="P414" s="264"/>
      <c r="Q414" s="264"/>
      <c r="R414" s="264"/>
      <c r="S414" s="264"/>
      <c r="T414" s="264"/>
      <c r="U414" s="264"/>
      <c r="V414" s="264"/>
      <c r="W414" s="264"/>
      <c r="X414" s="264"/>
    </row>
    <row r="415">
      <c r="A415" s="264"/>
      <c r="B415" s="264"/>
      <c r="C415" s="264"/>
      <c r="D415" s="264"/>
      <c r="E415" s="264"/>
      <c r="F415" s="264"/>
      <c r="G415" s="264"/>
      <c r="H415" s="264"/>
      <c r="I415" s="264"/>
      <c r="J415" s="264"/>
      <c r="K415" s="264"/>
      <c r="L415" s="264"/>
      <c r="M415" s="264"/>
      <c r="N415" s="264"/>
      <c r="O415" s="264"/>
      <c r="P415" s="264"/>
      <c r="Q415" s="264"/>
      <c r="R415" s="264"/>
      <c r="S415" s="264"/>
      <c r="T415" s="264"/>
      <c r="U415" s="264"/>
      <c r="V415" s="264"/>
      <c r="W415" s="264"/>
      <c r="X415" s="264"/>
    </row>
    <row r="416">
      <c r="A416" s="264"/>
      <c r="B416" s="264"/>
      <c r="C416" s="264"/>
      <c r="D416" s="264"/>
      <c r="E416" s="264"/>
      <c r="F416" s="264"/>
      <c r="G416" s="264"/>
      <c r="H416" s="264"/>
      <c r="I416" s="264"/>
      <c r="J416" s="264"/>
      <c r="K416" s="264"/>
      <c r="L416" s="264"/>
      <c r="M416" s="264"/>
      <c r="N416" s="264"/>
      <c r="O416" s="264"/>
      <c r="P416" s="264"/>
      <c r="Q416" s="264"/>
      <c r="R416" s="264"/>
      <c r="S416" s="264"/>
      <c r="T416" s="264"/>
      <c r="U416" s="264"/>
      <c r="V416" s="264"/>
      <c r="W416" s="264"/>
      <c r="X416" s="264"/>
    </row>
    <row r="417">
      <c r="A417" s="264"/>
      <c r="B417" s="264"/>
      <c r="C417" s="264"/>
      <c r="D417" s="264"/>
      <c r="E417" s="264"/>
      <c r="F417" s="264"/>
      <c r="G417" s="264"/>
      <c r="H417" s="264"/>
      <c r="I417" s="264"/>
      <c r="J417" s="264"/>
      <c r="K417" s="264"/>
      <c r="L417" s="264"/>
      <c r="M417" s="264"/>
      <c r="N417" s="264"/>
      <c r="O417" s="264"/>
      <c r="P417" s="264"/>
      <c r="Q417" s="264"/>
      <c r="R417" s="264"/>
      <c r="S417" s="264"/>
      <c r="T417" s="264"/>
      <c r="U417" s="264"/>
      <c r="V417" s="264"/>
      <c r="W417" s="264"/>
      <c r="X417" s="264"/>
    </row>
    <row r="418">
      <c r="A418" s="264"/>
      <c r="B418" s="264"/>
      <c r="C418" s="264"/>
      <c r="D418" s="264"/>
      <c r="E418" s="264"/>
      <c r="F418" s="264"/>
      <c r="G418" s="264"/>
      <c r="H418" s="264"/>
      <c r="I418" s="264"/>
      <c r="J418" s="264"/>
      <c r="K418" s="264"/>
      <c r="L418" s="264"/>
      <c r="M418" s="264"/>
      <c r="N418" s="264"/>
      <c r="O418" s="264"/>
      <c r="P418" s="264"/>
      <c r="Q418" s="264"/>
      <c r="R418" s="264"/>
      <c r="S418" s="264"/>
      <c r="T418" s="264"/>
      <c r="U418" s="264"/>
      <c r="V418" s="264"/>
      <c r="W418" s="264"/>
      <c r="X418" s="264"/>
    </row>
    <row r="419">
      <c r="A419" s="264"/>
      <c r="B419" s="264"/>
      <c r="C419" s="264"/>
      <c r="D419" s="264"/>
      <c r="E419" s="264"/>
      <c r="F419" s="264"/>
      <c r="G419" s="264"/>
      <c r="H419" s="264"/>
      <c r="I419" s="264"/>
      <c r="J419" s="264"/>
      <c r="K419" s="264"/>
      <c r="L419" s="264"/>
      <c r="M419" s="264"/>
      <c r="N419" s="264"/>
      <c r="O419" s="264"/>
      <c r="P419" s="264"/>
      <c r="Q419" s="264"/>
      <c r="R419" s="264"/>
      <c r="S419" s="264"/>
      <c r="T419" s="264"/>
      <c r="U419" s="264"/>
      <c r="V419" s="264"/>
      <c r="W419" s="264"/>
      <c r="X419" s="264"/>
    </row>
    <row r="420">
      <c r="A420" s="264"/>
      <c r="B420" s="264"/>
      <c r="C420" s="264"/>
      <c r="D420" s="264"/>
      <c r="E420" s="264"/>
      <c r="F420" s="264"/>
      <c r="G420" s="264"/>
      <c r="H420" s="264"/>
      <c r="I420" s="264"/>
      <c r="J420" s="264"/>
      <c r="K420" s="264"/>
      <c r="L420" s="264"/>
      <c r="M420" s="264"/>
      <c r="N420" s="264"/>
      <c r="O420" s="264"/>
      <c r="P420" s="264"/>
      <c r="Q420" s="264"/>
      <c r="R420" s="264"/>
      <c r="S420" s="264"/>
      <c r="T420" s="264"/>
      <c r="U420" s="264"/>
      <c r="V420" s="264"/>
      <c r="W420" s="264"/>
      <c r="X420" s="264"/>
    </row>
    <row r="421">
      <c r="A421" s="264"/>
      <c r="B421" s="264"/>
      <c r="C421" s="264"/>
      <c r="D421" s="264"/>
      <c r="E421" s="264"/>
      <c r="F421" s="264"/>
      <c r="G421" s="264"/>
      <c r="H421" s="264"/>
      <c r="I421" s="264"/>
      <c r="J421" s="264"/>
      <c r="K421" s="264"/>
      <c r="L421" s="264"/>
      <c r="M421" s="264"/>
      <c r="N421" s="264"/>
      <c r="O421" s="264"/>
      <c r="P421" s="264"/>
      <c r="Q421" s="264"/>
      <c r="R421" s="264"/>
      <c r="S421" s="264"/>
      <c r="T421" s="264"/>
      <c r="U421" s="264"/>
      <c r="V421" s="264"/>
      <c r="W421" s="264"/>
      <c r="X421" s="264"/>
    </row>
    <row r="422">
      <c r="A422" s="264"/>
      <c r="B422" s="264"/>
      <c r="C422" s="264"/>
      <c r="D422" s="264"/>
      <c r="E422" s="264"/>
      <c r="F422" s="264"/>
      <c r="G422" s="264"/>
      <c r="H422" s="264"/>
      <c r="I422" s="264"/>
      <c r="J422" s="264"/>
      <c r="K422" s="264"/>
      <c r="L422" s="264"/>
      <c r="M422" s="264"/>
      <c r="N422" s="264"/>
      <c r="O422" s="264"/>
      <c r="P422" s="264"/>
      <c r="Q422" s="264"/>
      <c r="R422" s="264"/>
      <c r="S422" s="264"/>
      <c r="T422" s="264"/>
      <c r="U422" s="264"/>
      <c r="V422" s="264"/>
      <c r="W422" s="264"/>
      <c r="X422" s="264"/>
    </row>
    <row r="423">
      <c r="A423" s="264"/>
      <c r="B423" s="264"/>
      <c r="C423" s="264"/>
      <c r="D423" s="264"/>
      <c r="E423" s="264"/>
      <c r="F423" s="264"/>
      <c r="G423" s="264"/>
      <c r="H423" s="264"/>
      <c r="I423" s="264"/>
      <c r="J423" s="264"/>
      <c r="K423" s="264"/>
      <c r="L423" s="264"/>
      <c r="M423" s="264"/>
      <c r="N423" s="264"/>
      <c r="O423" s="264"/>
      <c r="P423" s="264"/>
      <c r="Q423" s="264"/>
      <c r="R423" s="264"/>
      <c r="S423" s="264"/>
      <c r="T423" s="264"/>
      <c r="U423" s="264"/>
      <c r="V423" s="264"/>
      <c r="W423" s="264"/>
      <c r="X423" s="264"/>
    </row>
    <row r="424">
      <c r="A424" s="264"/>
      <c r="B424" s="264"/>
      <c r="C424" s="264"/>
      <c r="D424" s="264"/>
      <c r="E424" s="264"/>
      <c r="F424" s="264"/>
      <c r="G424" s="264"/>
      <c r="H424" s="264"/>
      <c r="I424" s="264"/>
      <c r="J424" s="264"/>
      <c r="K424" s="264"/>
      <c r="L424" s="264"/>
      <c r="M424" s="264"/>
      <c r="N424" s="264"/>
      <c r="O424" s="264"/>
      <c r="P424" s="264"/>
      <c r="Q424" s="264"/>
      <c r="R424" s="264"/>
      <c r="S424" s="264"/>
      <c r="T424" s="264"/>
      <c r="U424" s="264"/>
      <c r="V424" s="264"/>
      <c r="W424" s="264"/>
      <c r="X424" s="264"/>
    </row>
    <row r="425">
      <c r="A425" s="264"/>
      <c r="B425" s="264"/>
      <c r="C425" s="264"/>
      <c r="D425" s="264"/>
      <c r="E425" s="264"/>
      <c r="F425" s="264"/>
      <c r="G425" s="264"/>
      <c r="H425" s="264"/>
      <c r="I425" s="264"/>
      <c r="J425" s="264"/>
      <c r="K425" s="264"/>
      <c r="L425" s="264"/>
      <c r="M425" s="264"/>
      <c r="N425" s="264"/>
      <c r="O425" s="264"/>
      <c r="P425" s="264"/>
      <c r="Q425" s="264"/>
      <c r="R425" s="264"/>
      <c r="S425" s="264"/>
      <c r="T425" s="264"/>
      <c r="U425" s="264"/>
      <c r="V425" s="264"/>
      <c r="W425" s="264"/>
      <c r="X425" s="264"/>
    </row>
    <row r="426">
      <c r="A426" s="264"/>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row>
    <row r="427">
      <c r="A427" s="264"/>
      <c r="B427" s="264"/>
      <c r="C427" s="264"/>
      <c r="D427" s="264"/>
      <c r="E427" s="264"/>
      <c r="F427" s="264"/>
      <c r="G427" s="264"/>
      <c r="H427" s="264"/>
      <c r="I427" s="264"/>
      <c r="J427" s="264"/>
      <c r="K427" s="264"/>
      <c r="L427" s="264"/>
      <c r="M427" s="264"/>
      <c r="N427" s="264"/>
      <c r="O427" s="264"/>
      <c r="P427" s="264"/>
      <c r="Q427" s="264"/>
      <c r="R427" s="264"/>
      <c r="S427" s="264"/>
      <c r="T427" s="264"/>
      <c r="U427" s="264"/>
      <c r="V427" s="264"/>
      <c r="W427" s="264"/>
      <c r="X427" s="264"/>
    </row>
    <row r="428">
      <c r="A428" s="264"/>
      <c r="B428" s="264"/>
      <c r="C428" s="264"/>
      <c r="D428" s="264"/>
      <c r="E428" s="264"/>
      <c r="F428" s="264"/>
      <c r="G428" s="264"/>
      <c r="H428" s="264"/>
      <c r="I428" s="264"/>
      <c r="J428" s="264"/>
      <c r="K428" s="264"/>
      <c r="L428" s="264"/>
      <c r="M428" s="264"/>
      <c r="N428" s="264"/>
      <c r="O428" s="264"/>
      <c r="P428" s="264"/>
      <c r="Q428" s="264"/>
      <c r="R428" s="264"/>
      <c r="S428" s="264"/>
      <c r="T428" s="264"/>
      <c r="U428" s="264"/>
      <c r="V428" s="264"/>
      <c r="W428" s="264"/>
      <c r="X428" s="264"/>
    </row>
    <row r="429">
      <c r="A429" s="264"/>
      <c r="B429" s="264"/>
      <c r="C429" s="264"/>
      <c r="D429" s="264"/>
      <c r="E429" s="264"/>
      <c r="F429" s="264"/>
      <c r="G429" s="264"/>
      <c r="H429" s="264"/>
      <c r="I429" s="264"/>
      <c r="J429" s="264"/>
      <c r="K429" s="264"/>
      <c r="L429" s="264"/>
      <c r="M429" s="264"/>
      <c r="N429" s="264"/>
      <c r="O429" s="264"/>
      <c r="P429" s="264"/>
      <c r="Q429" s="264"/>
      <c r="R429" s="264"/>
      <c r="S429" s="264"/>
      <c r="T429" s="264"/>
      <c r="U429" s="264"/>
      <c r="V429" s="264"/>
      <c r="W429" s="264"/>
      <c r="X429" s="264"/>
    </row>
    <row r="430">
      <c r="A430" s="264"/>
      <c r="B430" s="264"/>
      <c r="C430" s="264"/>
      <c r="D430" s="264"/>
      <c r="E430" s="264"/>
      <c r="F430" s="264"/>
      <c r="G430" s="264"/>
      <c r="H430" s="264"/>
      <c r="I430" s="264"/>
      <c r="J430" s="264"/>
      <c r="K430" s="264"/>
      <c r="L430" s="264"/>
      <c r="M430" s="264"/>
      <c r="N430" s="264"/>
      <c r="O430" s="264"/>
      <c r="P430" s="264"/>
      <c r="Q430" s="264"/>
      <c r="R430" s="264"/>
      <c r="S430" s="264"/>
      <c r="T430" s="264"/>
      <c r="U430" s="264"/>
      <c r="V430" s="264"/>
      <c r="W430" s="264"/>
      <c r="X430" s="264"/>
    </row>
    <row r="431">
      <c r="A431" s="264"/>
      <c r="B431" s="264"/>
      <c r="C431" s="264"/>
      <c r="D431" s="264"/>
      <c r="E431" s="264"/>
      <c r="F431" s="264"/>
      <c r="G431" s="264"/>
      <c r="H431" s="264"/>
      <c r="I431" s="264"/>
      <c r="J431" s="264"/>
      <c r="K431" s="264"/>
      <c r="L431" s="264"/>
      <c r="M431" s="264"/>
      <c r="N431" s="264"/>
      <c r="O431" s="264"/>
      <c r="P431" s="264"/>
      <c r="Q431" s="264"/>
      <c r="R431" s="264"/>
      <c r="S431" s="264"/>
      <c r="T431" s="264"/>
      <c r="U431" s="264"/>
      <c r="V431" s="264"/>
      <c r="W431" s="264"/>
      <c r="X431" s="264"/>
    </row>
    <row r="432">
      <c r="A432" s="264"/>
      <c r="B432" s="264"/>
      <c r="C432" s="264"/>
      <c r="D432" s="264"/>
      <c r="E432" s="264"/>
      <c r="F432" s="264"/>
      <c r="G432" s="264"/>
      <c r="H432" s="264"/>
      <c r="I432" s="264"/>
      <c r="J432" s="264"/>
      <c r="K432" s="264"/>
      <c r="L432" s="264"/>
      <c r="M432" s="264"/>
      <c r="N432" s="264"/>
      <c r="O432" s="264"/>
      <c r="P432" s="264"/>
      <c r="Q432" s="264"/>
      <c r="R432" s="264"/>
      <c r="S432" s="264"/>
      <c r="T432" s="264"/>
      <c r="U432" s="264"/>
      <c r="V432" s="264"/>
      <c r="W432" s="264"/>
      <c r="X432" s="264"/>
    </row>
    <row r="433">
      <c r="A433" s="264"/>
      <c r="B433" s="264"/>
      <c r="C433" s="264"/>
      <c r="D433" s="264"/>
      <c r="E433" s="264"/>
      <c r="F433" s="264"/>
      <c r="G433" s="264"/>
      <c r="H433" s="264"/>
      <c r="I433" s="264"/>
      <c r="J433" s="264"/>
      <c r="K433" s="264"/>
      <c r="L433" s="264"/>
      <c r="M433" s="264"/>
      <c r="N433" s="264"/>
      <c r="O433" s="264"/>
      <c r="P433" s="264"/>
      <c r="Q433" s="264"/>
      <c r="R433" s="264"/>
      <c r="S433" s="264"/>
      <c r="T433" s="264"/>
      <c r="U433" s="264"/>
      <c r="V433" s="264"/>
      <c r="W433" s="264"/>
      <c r="X433" s="264"/>
    </row>
    <row r="434">
      <c r="A434" s="264"/>
      <c r="B434" s="264"/>
      <c r="C434" s="264"/>
      <c r="D434" s="264"/>
      <c r="E434" s="264"/>
      <c r="F434" s="264"/>
      <c r="G434" s="264"/>
      <c r="H434" s="264"/>
      <c r="I434" s="264"/>
      <c r="J434" s="264"/>
      <c r="K434" s="264"/>
      <c r="L434" s="264"/>
      <c r="M434" s="264"/>
      <c r="N434" s="264"/>
      <c r="O434" s="264"/>
      <c r="P434" s="264"/>
      <c r="Q434" s="264"/>
      <c r="R434" s="264"/>
      <c r="S434" s="264"/>
      <c r="T434" s="264"/>
      <c r="U434" s="264"/>
      <c r="V434" s="264"/>
      <c r="W434" s="264"/>
      <c r="X434" s="264"/>
    </row>
    <row r="435">
      <c r="A435" s="264"/>
      <c r="B435" s="264"/>
      <c r="C435" s="264"/>
      <c r="D435" s="264"/>
      <c r="E435" s="264"/>
      <c r="F435" s="264"/>
      <c r="G435" s="264"/>
      <c r="H435" s="264"/>
      <c r="I435" s="264"/>
      <c r="J435" s="264"/>
      <c r="K435" s="264"/>
      <c r="L435" s="264"/>
      <c r="M435" s="264"/>
      <c r="N435" s="264"/>
      <c r="O435" s="264"/>
      <c r="P435" s="264"/>
      <c r="Q435" s="264"/>
      <c r="R435" s="264"/>
      <c r="S435" s="264"/>
      <c r="T435" s="264"/>
      <c r="U435" s="264"/>
      <c r="V435" s="264"/>
      <c r="W435" s="264"/>
      <c r="X435" s="264"/>
    </row>
    <row r="436">
      <c r="A436" s="264"/>
      <c r="B436" s="264"/>
      <c r="C436" s="264"/>
      <c r="D436" s="264"/>
      <c r="E436" s="264"/>
      <c r="F436" s="264"/>
      <c r="G436" s="264"/>
      <c r="H436" s="264"/>
      <c r="I436" s="264"/>
      <c r="J436" s="264"/>
      <c r="K436" s="264"/>
      <c r="L436" s="264"/>
      <c r="M436" s="264"/>
      <c r="N436" s="264"/>
      <c r="O436" s="264"/>
      <c r="P436" s="264"/>
      <c r="Q436" s="264"/>
      <c r="R436" s="264"/>
      <c r="S436" s="264"/>
      <c r="T436" s="264"/>
      <c r="U436" s="264"/>
      <c r="V436" s="264"/>
      <c r="W436" s="264"/>
      <c r="X436" s="264"/>
    </row>
    <row r="437">
      <c r="A437" s="264"/>
      <c r="B437" s="264"/>
      <c r="C437" s="264"/>
      <c r="D437" s="264"/>
      <c r="E437" s="264"/>
      <c r="F437" s="264"/>
      <c r="G437" s="264"/>
      <c r="H437" s="264"/>
      <c r="I437" s="264"/>
      <c r="J437" s="264"/>
      <c r="K437" s="264"/>
      <c r="L437" s="264"/>
      <c r="M437" s="264"/>
      <c r="N437" s="264"/>
      <c r="O437" s="264"/>
      <c r="P437" s="264"/>
      <c r="Q437" s="264"/>
      <c r="R437" s="264"/>
      <c r="S437" s="264"/>
      <c r="T437" s="264"/>
      <c r="U437" s="264"/>
      <c r="V437" s="264"/>
      <c r="W437" s="264"/>
      <c r="X437" s="264"/>
    </row>
    <row r="438">
      <c r="A438" s="264"/>
      <c r="B438" s="264"/>
      <c r="C438" s="264"/>
      <c r="D438" s="264"/>
      <c r="E438" s="264"/>
      <c r="F438" s="264"/>
      <c r="G438" s="264"/>
      <c r="H438" s="264"/>
      <c r="I438" s="264"/>
      <c r="J438" s="264"/>
      <c r="K438" s="264"/>
      <c r="L438" s="264"/>
      <c r="M438" s="264"/>
      <c r="N438" s="264"/>
      <c r="O438" s="264"/>
      <c r="P438" s="264"/>
      <c r="Q438" s="264"/>
      <c r="R438" s="264"/>
      <c r="S438" s="264"/>
      <c r="T438" s="264"/>
      <c r="U438" s="264"/>
      <c r="V438" s="264"/>
      <c r="W438" s="264"/>
      <c r="X438" s="264"/>
    </row>
    <row r="439">
      <c r="A439" s="264"/>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row>
    <row r="440">
      <c r="A440" s="264"/>
      <c r="B440" s="264"/>
      <c r="C440" s="264"/>
      <c r="D440" s="264"/>
      <c r="E440" s="264"/>
      <c r="F440" s="264"/>
      <c r="G440" s="264"/>
      <c r="H440" s="264"/>
      <c r="I440" s="264"/>
      <c r="J440" s="264"/>
      <c r="K440" s="264"/>
      <c r="L440" s="264"/>
      <c r="M440" s="264"/>
      <c r="N440" s="264"/>
      <c r="O440" s="264"/>
      <c r="P440" s="264"/>
      <c r="Q440" s="264"/>
      <c r="R440" s="264"/>
      <c r="S440" s="264"/>
      <c r="T440" s="264"/>
      <c r="U440" s="264"/>
      <c r="V440" s="264"/>
      <c r="W440" s="264"/>
      <c r="X440" s="264"/>
    </row>
    <row r="441">
      <c r="A441" s="264"/>
      <c r="B441" s="264"/>
      <c r="C441" s="264"/>
      <c r="D441" s="264"/>
      <c r="E441" s="264"/>
      <c r="F441" s="264"/>
      <c r="G441" s="264"/>
      <c r="H441" s="264"/>
      <c r="I441" s="264"/>
      <c r="J441" s="264"/>
      <c r="K441" s="264"/>
      <c r="L441" s="264"/>
      <c r="M441" s="264"/>
      <c r="N441" s="264"/>
      <c r="O441" s="264"/>
      <c r="P441" s="264"/>
      <c r="Q441" s="264"/>
      <c r="R441" s="264"/>
      <c r="S441" s="264"/>
      <c r="T441" s="264"/>
      <c r="U441" s="264"/>
      <c r="V441" s="264"/>
      <c r="W441" s="264"/>
      <c r="X441" s="264"/>
    </row>
    <row r="442">
      <c r="A442" s="264"/>
      <c r="B442" s="264"/>
      <c r="C442" s="264"/>
      <c r="D442" s="264"/>
      <c r="E442" s="264"/>
      <c r="F442" s="264"/>
      <c r="G442" s="264"/>
      <c r="H442" s="264"/>
      <c r="I442" s="264"/>
      <c r="J442" s="264"/>
      <c r="K442" s="264"/>
      <c r="L442" s="264"/>
      <c r="M442" s="264"/>
      <c r="N442" s="264"/>
      <c r="O442" s="264"/>
      <c r="P442" s="264"/>
      <c r="Q442" s="264"/>
      <c r="R442" s="264"/>
      <c r="S442" s="264"/>
      <c r="T442" s="264"/>
      <c r="U442" s="264"/>
      <c r="V442" s="264"/>
      <c r="W442" s="264"/>
      <c r="X442" s="264"/>
    </row>
    <row r="443">
      <c r="A443" s="264"/>
      <c r="B443" s="264"/>
      <c r="C443" s="264"/>
      <c r="D443" s="264"/>
      <c r="E443" s="264"/>
      <c r="F443" s="264"/>
      <c r="G443" s="264"/>
      <c r="H443" s="264"/>
      <c r="I443" s="264"/>
      <c r="J443" s="264"/>
      <c r="K443" s="264"/>
      <c r="L443" s="264"/>
      <c r="M443" s="264"/>
      <c r="N443" s="264"/>
      <c r="O443" s="264"/>
      <c r="P443" s="264"/>
      <c r="Q443" s="264"/>
      <c r="R443" s="264"/>
      <c r="S443" s="264"/>
      <c r="T443" s="264"/>
      <c r="U443" s="264"/>
      <c r="V443" s="264"/>
      <c r="W443" s="264"/>
      <c r="X443" s="264"/>
    </row>
    <row r="444">
      <c r="A444" s="264"/>
      <c r="B444" s="264"/>
      <c r="C444" s="264"/>
      <c r="D444" s="264"/>
      <c r="E444" s="264"/>
      <c r="F444" s="264"/>
      <c r="G444" s="264"/>
      <c r="H444" s="264"/>
      <c r="I444" s="264"/>
      <c r="J444" s="264"/>
      <c r="K444" s="264"/>
      <c r="L444" s="264"/>
      <c r="M444" s="264"/>
      <c r="N444" s="264"/>
      <c r="O444" s="264"/>
      <c r="P444" s="264"/>
      <c r="Q444" s="264"/>
      <c r="R444" s="264"/>
      <c r="S444" s="264"/>
      <c r="T444" s="264"/>
      <c r="U444" s="264"/>
      <c r="V444" s="264"/>
      <c r="W444" s="264"/>
      <c r="X444" s="264"/>
    </row>
    <row r="445">
      <c r="A445" s="264"/>
      <c r="B445" s="264"/>
      <c r="C445" s="264"/>
      <c r="D445" s="264"/>
      <c r="E445" s="264"/>
      <c r="F445" s="264"/>
      <c r="G445" s="264"/>
      <c r="H445" s="264"/>
      <c r="I445" s="264"/>
      <c r="J445" s="264"/>
      <c r="K445" s="264"/>
      <c r="L445" s="264"/>
      <c r="M445" s="264"/>
      <c r="N445" s="264"/>
      <c r="O445" s="264"/>
      <c r="P445" s="264"/>
      <c r="Q445" s="264"/>
      <c r="R445" s="264"/>
      <c r="S445" s="264"/>
      <c r="T445" s="264"/>
      <c r="U445" s="264"/>
      <c r="V445" s="264"/>
      <c r="W445" s="264"/>
      <c r="X445" s="264"/>
    </row>
    <row r="446">
      <c r="A446" s="264"/>
      <c r="B446" s="264"/>
      <c r="C446" s="264"/>
      <c r="D446" s="264"/>
      <c r="E446" s="264"/>
      <c r="F446" s="264"/>
      <c r="G446" s="264"/>
      <c r="H446" s="264"/>
      <c r="I446" s="264"/>
      <c r="J446" s="264"/>
      <c r="K446" s="264"/>
      <c r="L446" s="264"/>
      <c r="M446" s="264"/>
      <c r="N446" s="264"/>
      <c r="O446" s="264"/>
      <c r="P446" s="264"/>
      <c r="Q446" s="264"/>
      <c r="R446" s="264"/>
      <c r="S446" s="264"/>
      <c r="T446" s="264"/>
      <c r="U446" s="264"/>
      <c r="V446" s="264"/>
      <c r="W446" s="264"/>
      <c r="X446" s="264"/>
    </row>
    <row r="447">
      <c r="A447" s="264"/>
      <c r="B447" s="264"/>
      <c r="C447" s="264"/>
      <c r="D447" s="264"/>
      <c r="E447" s="264"/>
      <c r="F447" s="264"/>
      <c r="G447" s="264"/>
      <c r="H447" s="264"/>
      <c r="I447" s="264"/>
      <c r="J447" s="264"/>
      <c r="K447" s="264"/>
      <c r="L447" s="264"/>
      <c r="M447" s="264"/>
      <c r="N447" s="264"/>
      <c r="O447" s="264"/>
      <c r="P447" s="264"/>
      <c r="Q447" s="264"/>
      <c r="R447" s="264"/>
      <c r="S447" s="264"/>
      <c r="T447" s="264"/>
      <c r="U447" s="264"/>
      <c r="V447" s="264"/>
      <c r="W447" s="264"/>
      <c r="X447" s="264"/>
    </row>
    <row r="448">
      <c r="A448" s="264"/>
      <c r="B448" s="264"/>
      <c r="C448" s="264"/>
      <c r="D448" s="264"/>
      <c r="E448" s="264"/>
      <c r="F448" s="264"/>
      <c r="G448" s="264"/>
      <c r="H448" s="264"/>
      <c r="I448" s="264"/>
      <c r="J448" s="264"/>
      <c r="K448" s="264"/>
      <c r="L448" s="264"/>
      <c r="M448" s="264"/>
      <c r="N448" s="264"/>
      <c r="O448" s="264"/>
      <c r="P448" s="264"/>
      <c r="Q448" s="264"/>
      <c r="R448" s="264"/>
      <c r="S448" s="264"/>
      <c r="T448" s="264"/>
      <c r="U448" s="264"/>
      <c r="V448" s="264"/>
      <c r="W448" s="264"/>
      <c r="X448" s="264"/>
    </row>
    <row r="449">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264"/>
    </row>
    <row r="450">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264"/>
    </row>
    <row r="451">
      <c r="A451" s="264"/>
      <c r="B451" s="264"/>
      <c r="C451" s="264"/>
      <c r="D451" s="264"/>
      <c r="E451" s="264"/>
      <c r="F451" s="264"/>
      <c r="G451" s="264"/>
      <c r="H451" s="264"/>
      <c r="I451" s="264"/>
      <c r="J451" s="264"/>
      <c r="K451" s="264"/>
      <c r="L451" s="264"/>
      <c r="M451" s="264"/>
      <c r="N451" s="264"/>
      <c r="O451" s="264"/>
      <c r="P451" s="264"/>
      <c r="Q451" s="264"/>
      <c r="R451" s="264"/>
      <c r="S451" s="264"/>
      <c r="T451" s="264"/>
      <c r="U451" s="264"/>
      <c r="V451" s="264"/>
      <c r="W451" s="264"/>
      <c r="X451" s="264"/>
    </row>
    <row r="452">
      <c r="A452" s="264"/>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264"/>
    </row>
    <row r="453">
      <c r="A453" s="26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264"/>
    </row>
    <row r="454">
      <c r="A454" s="26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264"/>
    </row>
    <row r="455">
      <c r="A455" s="264"/>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264"/>
    </row>
    <row r="456">
      <c r="A456" s="264"/>
      <c r="B456" s="264"/>
      <c r="C456" s="264"/>
      <c r="D456" s="264"/>
      <c r="E456" s="264"/>
      <c r="F456" s="264"/>
      <c r="G456" s="264"/>
      <c r="H456" s="264"/>
      <c r="I456" s="264"/>
      <c r="J456" s="264"/>
      <c r="K456" s="264"/>
      <c r="L456" s="264"/>
      <c r="M456" s="264"/>
      <c r="N456" s="264"/>
      <c r="O456" s="264"/>
      <c r="P456" s="264"/>
      <c r="Q456" s="264"/>
      <c r="R456" s="264"/>
      <c r="S456" s="264"/>
      <c r="T456" s="264"/>
      <c r="U456" s="264"/>
      <c r="V456" s="264"/>
      <c r="W456" s="264"/>
      <c r="X456" s="264"/>
    </row>
    <row r="457">
      <c r="A457" s="264"/>
      <c r="B457" s="264"/>
      <c r="C457" s="264"/>
      <c r="D457" s="264"/>
      <c r="E457" s="264"/>
      <c r="F457" s="264"/>
      <c r="G457" s="264"/>
      <c r="H457" s="264"/>
      <c r="I457" s="264"/>
      <c r="J457" s="264"/>
      <c r="K457" s="264"/>
      <c r="L457" s="264"/>
      <c r="M457" s="264"/>
      <c r="N457" s="264"/>
      <c r="O457" s="264"/>
      <c r="P457" s="264"/>
      <c r="Q457" s="264"/>
      <c r="R457" s="264"/>
      <c r="S457" s="264"/>
      <c r="T457" s="264"/>
      <c r="U457" s="264"/>
      <c r="V457" s="264"/>
      <c r="W457" s="264"/>
      <c r="X457" s="264"/>
    </row>
    <row r="458">
      <c r="A458" s="264"/>
      <c r="B458" s="264"/>
      <c r="C458" s="264"/>
      <c r="D458" s="264"/>
      <c r="E458" s="264"/>
      <c r="F458" s="264"/>
      <c r="G458" s="264"/>
      <c r="H458" s="264"/>
      <c r="I458" s="264"/>
      <c r="J458" s="264"/>
      <c r="K458" s="264"/>
      <c r="L458" s="264"/>
      <c r="M458" s="264"/>
      <c r="N458" s="264"/>
      <c r="O458" s="264"/>
      <c r="P458" s="264"/>
      <c r="Q458" s="264"/>
      <c r="R458" s="264"/>
      <c r="S458" s="264"/>
      <c r="T458" s="264"/>
      <c r="U458" s="264"/>
      <c r="V458" s="264"/>
      <c r="W458" s="264"/>
      <c r="X458" s="264"/>
    </row>
    <row r="459">
      <c r="A459" s="264"/>
      <c r="B459" s="264"/>
      <c r="C459" s="264"/>
      <c r="D459" s="264"/>
      <c r="E459" s="264"/>
      <c r="F459" s="264"/>
      <c r="G459" s="264"/>
      <c r="H459" s="264"/>
      <c r="I459" s="264"/>
      <c r="J459" s="264"/>
      <c r="K459" s="264"/>
      <c r="L459" s="264"/>
      <c r="M459" s="264"/>
      <c r="N459" s="264"/>
      <c r="O459" s="264"/>
      <c r="P459" s="264"/>
      <c r="Q459" s="264"/>
      <c r="R459" s="264"/>
      <c r="S459" s="264"/>
      <c r="T459" s="264"/>
      <c r="U459" s="264"/>
      <c r="V459" s="264"/>
      <c r="W459" s="264"/>
      <c r="X459" s="264"/>
    </row>
    <row r="460">
      <c r="A460" s="264"/>
      <c r="B460" s="264"/>
      <c r="C460" s="264"/>
      <c r="D460" s="264"/>
      <c r="E460" s="264"/>
      <c r="F460" s="264"/>
      <c r="G460" s="264"/>
      <c r="H460" s="264"/>
      <c r="I460" s="264"/>
      <c r="J460" s="264"/>
      <c r="K460" s="264"/>
      <c r="L460" s="264"/>
      <c r="M460" s="264"/>
      <c r="N460" s="264"/>
      <c r="O460" s="264"/>
      <c r="P460" s="264"/>
      <c r="Q460" s="264"/>
      <c r="R460" s="264"/>
      <c r="S460" s="264"/>
      <c r="T460" s="264"/>
      <c r="U460" s="264"/>
      <c r="V460" s="264"/>
      <c r="W460" s="264"/>
      <c r="X460" s="264"/>
    </row>
    <row r="461">
      <c r="A461" s="264"/>
      <c r="B461" s="264"/>
      <c r="C461" s="264"/>
      <c r="D461" s="264"/>
      <c r="E461" s="264"/>
      <c r="F461" s="264"/>
      <c r="G461" s="264"/>
      <c r="H461" s="264"/>
      <c r="I461" s="264"/>
      <c r="J461" s="264"/>
      <c r="K461" s="264"/>
      <c r="L461" s="264"/>
      <c r="M461" s="264"/>
      <c r="N461" s="264"/>
      <c r="O461" s="264"/>
      <c r="P461" s="264"/>
      <c r="Q461" s="264"/>
      <c r="R461" s="264"/>
      <c r="S461" s="264"/>
      <c r="T461" s="264"/>
      <c r="U461" s="264"/>
      <c r="V461" s="264"/>
      <c r="W461" s="264"/>
      <c r="X461" s="264"/>
    </row>
    <row r="462">
      <c r="A462" s="264"/>
      <c r="B462" s="264"/>
      <c r="C462" s="264"/>
      <c r="D462" s="264"/>
      <c r="E462" s="264"/>
      <c r="F462" s="264"/>
      <c r="G462" s="264"/>
      <c r="H462" s="264"/>
      <c r="I462" s="264"/>
      <c r="J462" s="264"/>
      <c r="K462" s="264"/>
      <c r="L462" s="264"/>
      <c r="M462" s="264"/>
      <c r="N462" s="264"/>
      <c r="O462" s="264"/>
      <c r="P462" s="264"/>
      <c r="Q462" s="264"/>
      <c r="R462" s="264"/>
      <c r="S462" s="264"/>
      <c r="T462" s="264"/>
      <c r="U462" s="264"/>
      <c r="V462" s="264"/>
      <c r="W462" s="264"/>
      <c r="X462" s="264"/>
    </row>
    <row r="463">
      <c r="A463" s="264"/>
      <c r="B463" s="264"/>
      <c r="C463" s="264"/>
      <c r="D463" s="264"/>
      <c r="E463" s="264"/>
      <c r="F463" s="264"/>
      <c r="G463" s="264"/>
      <c r="H463" s="264"/>
      <c r="I463" s="264"/>
      <c r="J463" s="264"/>
      <c r="K463" s="264"/>
      <c r="L463" s="264"/>
      <c r="M463" s="264"/>
      <c r="N463" s="264"/>
      <c r="O463" s="264"/>
      <c r="P463" s="264"/>
      <c r="Q463" s="264"/>
      <c r="R463" s="264"/>
      <c r="S463" s="264"/>
      <c r="T463" s="264"/>
      <c r="U463" s="264"/>
      <c r="V463" s="264"/>
      <c r="W463" s="264"/>
      <c r="X463" s="264"/>
    </row>
    <row r="464">
      <c r="A464" s="264"/>
      <c r="B464" s="264"/>
      <c r="C464" s="264"/>
      <c r="D464" s="264"/>
      <c r="E464" s="264"/>
      <c r="F464" s="264"/>
      <c r="G464" s="264"/>
      <c r="H464" s="264"/>
      <c r="I464" s="264"/>
      <c r="J464" s="264"/>
      <c r="K464" s="264"/>
      <c r="L464" s="264"/>
      <c r="M464" s="264"/>
      <c r="N464" s="264"/>
      <c r="O464" s="264"/>
      <c r="P464" s="264"/>
      <c r="Q464" s="264"/>
      <c r="R464" s="264"/>
      <c r="S464" s="264"/>
      <c r="T464" s="264"/>
      <c r="U464" s="264"/>
      <c r="V464" s="264"/>
      <c r="W464" s="264"/>
      <c r="X464" s="264"/>
    </row>
    <row r="465">
      <c r="A465" s="264"/>
      <c r="B465" s="264"/>
      <c r="C465" s="264"/>
      <c r="D465" s="264"/>
      <c r="E465" s="264"/>
      <c r="F465" s="264"/>
      <c r="G465" s="264"/>
      <c r="H465" s="264"/>
      <c r="I465" s="264"/>
      <c r="J465" s="264"/>
      <c r="K465" s="264"/>
      <c r="L465" s="264"/>
      <c r="M465" s="264"/>
      <c r="N465" s="264"/>
      <c r="O465" s="264"/>
      <c r="P465" s="264"/>
      <c r="Q465" s="264"/>
      <c r="R465" s="264"/>
      <c r="S465" s="264"/>
      <c r="T465" s="264"/>
      <c r="U465" s="264"/>
      <c r="V465" s="264"/>
      <c r="W465" s="264"/>
      <c r="X465" s="264"/>
    </row>
    <row r="466">
      <c r="A466" s="264"/>
      <c r="B466" s="264"/>
      <c r="C466" s="264"/>
      <c r="D466" s="264"/>
      <c r="E466" s="264"/>
      <c r="F466" s="264"/>
      <c r="G466" s="264"/>
      <c r="H466" s="264"/>
      <c r="I466" s="264"/>
      <c r="J466" s="264"/>
      <c r="K466" s="264"/>
      <c r="L466" s="264"/>
      <c r="M466" s="264"/>
      <c r="N466" s="264"/>
      <c r="O466" s="264"/>
      <c r="P466" s="264"/>
      <c r="Q466" s="264"/>
      <c r="R466" s="264"/>
      <c r="S466" s="264"/>
      <c r="T466" s="264"/>
      <c r="U466" s="264"/>
      <c r="V466" s="264"/>
      <c r="W466" s="264"/>
      <c r="X466" s="264"/>
    </row>
    <row r="467">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row>
    <row r="468">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row>
    <row r="469">
      <c r="A469" s="264"/>
      <c r="B469" s="264"/>
      <c r="C469" s="264"/>
      <c r="D469" s="264"/>
      <c r="E469" s="264"/>
      <c r="F469" s="264"/>
      <c r="G469" s="264"/>
      <c r="H469" s="264"/>
      <c r="I469" s="264"/>
      <c r="J469" s="264"/>
      <c r="K469" s="264"/>
      <c r="L469" s="264"/>
      <c r="M469" s="264"/>
      <c r="N469" s="264"/>
      <c r="O469" s="264"/>
      <c r="P469" s="264"/>
      <c r="Q469" s="264"/>
      <c r="R469" s="264"/>
      <c r="S469" s="264"/>
      <c r="T469" s="264"/>
      <c r="U469" s="264"/>
      <c r="V469" s="264"/>
      <c r="W469" s="264"/>
      <c r="X469" s="264"/>
    </row>
    <row r="470">
      <c r="A470" s="264"/>
      <c r="B470" s="264"/>
      <c r="C470" s="264"/>
      <c r="D470" s="264"/>
      <c r="E470" s="264"/>
      <c r="F470" s="264"/>
      <c r="G470" s="264"/>
      <c r="H470" s="264"/>
      <c r="I470" s="264"/>
      <c r="J470" s="264"/>
      <c r="K470" s="264"/>
      <c r="L470" s="264"/>
      <c r="M470" s="264"/>
      <c r="N470" s="264"/>
      <c r="O470" s="264"/>
      <c r="P470" s="264"/>
      <c r="Q470" s="264"/>
      <c r="R470" s="264"/>
      <c r="S470" s="264"/>
      <c r="T470" s="264"/>
      <c r="U470" s="264"/>
      <c r="V470" s="264"/>
      <c r="W470" s="264"/>
      <c r="X470" s="264"/>
    </row>
    <row r="471">
      <c r="A471" s="264"/>
      <c r="B471" s="264"/>
      <c r="C471" s="264"/>
      <c r="D471" s="264"/>
      <c r="E471" s="264"/>
      <c r="F471" s="264"/>
      <c r="G471" s="264"/>
      <c r="H471" s="264"/>
      <c r="I471" s="264"/>
      <c r="J471" s="264"/>
      <c r="K471" s="264"/>
      <c r="L471" s="264"/>
      <c r="M471" s="264"/>
      <c r="N471" s="264"/>
      <c r="O471" s="264"/>
      <c r="P471" s="264"/>
      <c r="Q471" s="264"/>
      <c r="R471" s="264"/>
      <c r="S471" s="264"/>
      <c r="T471" s="264"/>
      <c r="U471" s="264"/>
      <c r="V471" s="264"/>
      <c r="W471" s="264"/>
      <c r="X471" s="264"/>
    </row>
    <row r="472">
      <c r="A472" s="264"/>
      <c r="B472" s="264"/>
      <c r="C472" s="264"/>
      <c r="D472" s="264"/>
      <c r="E472" s="264"/>
      <c r="F472" s="264"/>
      <c r="G472" s="264"/>
      <c r="H472" s="264"/>
      <c r="I472" s="264"/>
      <c r="J472" s="264"/>
      <c r="K472" s="264"/>
      <c r="L472" s="264"/>
      <c r="M472" s="264"/>
      <c r="N472" s="264"/>
      <c r="O472" s="264"/>
      <c r="P472" s="264"/>
      <c r="Q472" s="264"/>
      <c r="R472" s="264"/>
      <c r="S472" s="264"/>
      <c r="T472" s="264"/>
      <c r="U472" s="264"/>
      <c r="V472" s="264"/>
      <c r="W472" s="264"/>
      <c r="X472" s="264"/>
    </row>
    <row r="473">
      <c r="A473" s="264"/>
      <c r="B473" s="264"/>
      <c r="C473" s="264"/>
      <c r="D473" s="264"/>
      <c r="E473" s="264"/>
      <c r="F473" s="264"/>
      <c r="G473" s="264"/>
      <c r="H473" s="264"/>
      <c r="I473" s="264"/>
      <c r="J473" s="264"/>
      <c r="K473" s="264"/>
      <c r="L473" s="264"/>
      <c r="M473" s="264"/>
      <c r="N473" s="264"/>
      <c r="O473" s="264"/>
      <c r="P473" s="264"/>
      <c r="Q473" s="264"/>
      <c r="R473" s="264"/>
      <c r="S473" s="264"/>
      <c r="T473" s="264"/>
      <c r="U473" s="264"/>
      <c r="V473" s="264"/>
      <c r="W473" s="264"/>
      <c r="X473" s="264"/>
    </row>
    <row r="474">
      <c r="A474" s="264"/>
      <c r="B474" s="264"/>
      <c r="C474" s="264"/>
      <c r="D474" s="264"/>
      <c r="E474" s="264"/>
      <c r="F474" s="264"/>
      <c r="G474" s="264"/>
      <c r="H474" s="264"/>
      <c r="I474" s="264"/>
      <c r="J474" s="264"/>
      <c r="K474" s="264"/>
      <c r="L474" s="264"/>
      <c r="M474" s="264"/>
      <c r="N474" s="264"/>
      <c r="O474" s="264"/>
      <c r="P474" s="264"/>
      <c r="Q474" s="264"/>
      <c r="R474" s="264"/>
      <c r="S474" s="264"/>
      <c r="T474" s="264"/>
      <c r="U474" s="264"/>
      <c r="V474" s="264"/>
      <c r="W474" s="264"/>
      <c r="X474" s="264"/>
    </row>
    <row r="475">
      <c r="A475" s="264"/>
      <c r="B475" s="264"/>
      <c r="C475" s="264"/>
      <c r="D475" s="264"/>
      <c r="E475" s="264"/>
      <c r="F475" s="264"/>
      <c r="G475" s="264"/>
      <c r="H475" s="264"/>
      <c r="I475" s="264"/>
      <c r="J475" s="264"/>
      <c r="K475" s="264"/>
      <c r="L475" s="264"/>
      <c r="M475" s="264"/>
      <c r="N475" s="264"/>
      <c r="O475" s="264"/>
      <c r="P475" s="264"/>
      <c r="Q475" s="264"/>
      <c r="R475" s="264"/>
      <c r="S475" s="264"/>
      <c r="T475" s="264"/>
      <c r="U475" s="264"/>
      <c r="V475" s="264"/>
      <c r="W475" s="264"/>
      <c r="X475" s="264"/>
    </row>
    <row r="476">
      <c r="A476" s="264"/>
      <c r="B476" s="264"/>
      <c r="C476" s="264"/>
      <c r="D476" s="264"/>
      <c r="E476" s="264"/>
      <c r="F476" s="264"/>
      <c r="G476" s="264"/>
      <c r="H476" s="264"/>
      <c r="I476" s="264"/>
      <c r="J476" s="264"/>
      <c r="K476" s="264"/>
      <c r="L476" s="264"/>
      <c r="M476" s="264"/>
      <c r="N476" s="264"/>
      <c r="O476" s="264"/>
      <c r="P476" s="264"/>
      <c r="Q476" s="264"/>
      <c r="R476" s="264"/>
      <c r="S476" s="264"/>
      <c r="T476" s="264"/>
      <c r="U476" s="264"/>
      <c r="V476" s="264"/>
      <c r="W476" s="264"/>
      <c r="X476" s="264"/>
    </row>
    <row r="477">
      <c r="A477" s="264"/>
      <c r="B477" s="264"/>
      <c r="C477" s="264"/>
      <c r="D477" s="264"/>
      <c r="E477" s="264"/>
      <c r="F477" s="264"/>
      <c r="G477" s="264"/>
      <c r="H477" s="264"/>
      <c r="I477" s="264"/>
      <c r="J477" s="264"/>
      <c r="K477" s="264"/>
      <c r="L477" s="264"/>
      <c r="M477" s="264"/>
      <c r="N477" s="264"/>
      <c r="O477" s="264"/>
      <c r="P477" s="264"/>
      <c r="Q477" s="264"/>
      <c r="R477" s="264"/>
      <c r="S477" s="264"/>
      <c r="T477" s="264"/>
      <c r="U477" s="264"/>
      <c r="V477" s="264"/>
      <c r="W477" s="264"/>
      <c r="X477" s="264"/>
    </row>
    <row r="478">
      <c r="A478" s="264"/>
      <c r="B478" s="264"/>
      <c r="C478" s="264"/>
      <c r="D478" s="264"/>
      <c r="E478" s="264"/>
      <c r="F478" s="264"/>
      <c r="G478" s="264"/>
      <c r="H478" s="264"/>
      <c r="I478" s="264"/>
      <c r="J478" s="264"/>
      <c r="K478" s="264"/>
      <c r="L478" s="264"/>
      <c r="M478" s="264"/>
      <c r="N478" s="264"/>
      <c r="O478" s="264"/>
      <c r="P478" s="264"/>
      <c r="Q478" s="264"/>
      <c r="R478" s="264"/>
      <c r="S478" s="264"/>
      <c r="T478" s="264"/>
      <c r="U478" s="264"/>
      <c r="V478" s="264"/>
      <c r="W478" s="264"/>
      <c r="X478" s="264"/>
    </row>
    <row r="479">
      <c r="A479" s="264"/>
      <c r="B479" s="264"/>
      <c r="C479" s="264"/>
      <c r="D479" s="264"/>
      <c r="E479" s="264"/>
      <c r="F479" s="264"/>
      <c r="G479" s="264"/>
      <c r="H479" s="264"/>
      <c r="I479" s="264"/>
      <c r="J479" s="264"/>
      <c r="K479" s="264"/>
      <c r="L479" s="264"/>
      <c r="M479" s="264"/>
      <c r="N479" s="264"/>
      <c r="O479" s="264"/>
      <c r="P479" s="264"/>
      <c r="Q479" s="264"/>
      <c r="R479" s="264"/>
      <c r="S479" s="264"/>
      <c r="T479" s="264"/>
      <c r="U479" s="264"/>
      <c r="V479" s="264"/>
      <c r="W479" s="264"/>
      <c r="X479" s="264"/>
    </row>
    <row r="480">
      <c r="A480" s="264"/>
      <c r="B480" s="264"/>
      <c r="C480" s="264"/>
      <c r="D480" s="264"/>
      <c r="E480" s="264"/>
      <c r="F480" s="264"/>
      <c r="G480" s="264"/>
      <c r="H480" s="264"/>
      <c r="I480" s="264"/>
      <c r="J480" s="264"/>
      <c r="K480" s="264"/>
      <c r="L480" s="264"/>
      <c r="M480" s="264"/>
      <c r="N480" s="264"/>
      <c r="O480" s="264"/>
      <c r="P480" s="264"/>
      <c r="Q480" s="264"/>
      <c r="R480" s="264"/>
      <c r="S480" s="264"/>
      <c r="T480" s="264"/>
      <c r="U480" s="264"/>
      <c r="V480" s="264"/>
      <c r="W480" s="264"/>
      <c r="X480" s="264"/>
    </row>
    <row r="481">
      <c r="A481" s="264"/>
      <c r="B481" s="264"/>
      <c r="C481" s="264"/>
      <c r="D481" s="264"/>
      <c r="E481" s="264"/>
      <c r="F481" s="264"/>
      <c r="G481" s="264"/>
      <c r="H481" s="264"/>
      <c r="I481" s="264"/>
      <c r="J481" s="264"/>
      <c r="K481" s="264"/>
      <c r="L481" s="264"/>
      <c r="M481" s="264"/>
      <c r="N481" s="264"/>
      <c r="O481" s="264"/>
      <c r="P481" s="264"/>
      <c r="Q481" s="264"/>
      <c r="R481" s="264"/>
      <c r="S481" s="264"/>
      <c r="T481" s="264"/>
      <c r="U481" s="264"/>
      <c r="V481" s="264"/>
      <c r="W481" s="264"/>
      <c r="X481" s="264"/>
    </row>
    <row r="482">
      <c r="A482" s="264"/>
      <c r="B482" s="264"/>
      <c r="C482" s="264"/>
      <c r="D482" s="264"/>
      <c r="E482" s="264"/>
      <c r="F482" s="264"/>
      <c r="G482" s="264"/>
      <c r="H482" s="264"/>
      <c r="I482" s="264"/>
      <c r="J482" s="264"/>
      <c r="K482" s="264"/>
      <c r="L482" s="264"/>
      <c r="M482" s="264"/>
      <c r="N482" s="264"/>
      <c r="O482" s="264"/>
      <c r="P482" s="264"/>
      <c r="Q482" s="264"/>
      <c r="R482" s="264"/>
      <c r="S482" s="264"/>
      <c r="T482" s="264"/>
      <c r="U482" s="264"/>
      <c r="V482" s="264"/>
      <c r="W482" s="264"/>
      <c r="X482" s="264"/>
    </row>
    <row r="483">
      <c r="A483" s="264"/>
      <c r="B483" s="264"/>
      <c r="C483" s="264"/>
      <c r="D483" s="264"/>
      <c r="E483" s="264"/>
      <c r="F483" s="264"/>
      <c r="G483" s="264"/>
      <c r="H483" s="264"/>
      <c r="I483" s="264"/>
      <c r="J483" s="264"/>
      <c r="K483" s="264"/>
      <c r="L483" s="264"/>
      <c r="M483" s="264"/>
      <c r="N483" s="264"/>
      <c r="O483" s="264"/>
      <c r="P483" s="264"/>
      <c r="Q483" s="264"/>
      <c r="R483" s="264"/>
      <c r="S483" s="264"/>
      <c r="T483" s="264"/>
      <c r="U483" s="264"/>
      <c r="V483" s="264"/>
      <c r="W483" s="264"/>
      <c r="X483" s="264"/>
    </row>
    <row r="484">
      <c r="A484" s="264"/>
      <c r="B484" s="264"/>
      <c r="C484" s="264"/>
      <c r="D484" s="264"/>
      <c r="E484" s="264"/>
      <c r="F484" s="264"/>
      <c r="G484" s="264"/>
      <c r="H484" s="264"/>
      <c r="I484" s="264"/>
      <c r="J484" s="264"/>
      <c r="K484" s="264"/>
      <c r="L484" s="264"/>
      <c r="M484" s="264"/>
      <c r="N484" s="264"/>
      <c r="O484" s="264"/>
      <c r="P484" s="264"/>
      <c r="Q484" s="264"/>
      <c r="R484" s="264"/>
      <c r="S484" s="264"/>
      <c r="T484" s="264"/>
      <c r="U484" s="264"/>
      <c r="V484" s="264"/>
      <c r="W484" s="264"/>
      <c r="X484" s="264"/>
    </row>
    <row r="485">
      <c r="A485" s="264"/>
      <c r="B485" s="264"/>
      <c r="C485" s="264"/>
      <c r="D485" s="264"/>
      <c r="E485" s="264"/>
      <c r="F485" s="264"/>
      <c r="G485" s="264"/>
      <c r="H485" s="264"/>
      <c r="I485" s="264"/>
      <c r="J485" s="264"/>
      <c r="K485" s="264"/>
      <c r="L485" s="264"/>
      <c r="M485" s="264"/>
      <c r="N485" s="264"/>
      <c r="O485" s="264"/>
      <c r="P485" s="264"/>
      <c r="Q485" s="264"/>
      <c r="R485" s="264"/>
      <c r="S485" s="264"/>
      <c r="T485" s="264"/>
      <c r="U485" s="264"/>
      <c r="V485" s="264"/>
      <c r="W485" s="264"/>
      <c r="X485" s="264"/>
    </row>
    <row r="486">
      <c r="A486" s="264"/>
      <c r="B486" s="264"/>
      <c r="C486" s="264"/>
      <c r="D486" s="264"/>
      <c r="E486" s="264"/>
      <c r="F486" s="264"/>
      <c r="G486" s="264"/>
      <c r="H486" s="264"/>
      <c r="I486" s="264"/>
      <c r="J486" s="264"/>
      <c r="K486" s="264"/>
      <c r="L486" s="264"/>
      <c r="M486" s="264"/>
      <c r="N486" s="264"/>
      <c r="O486" s="264"/>
      <c r="P486" s="264"/>
      <c r="Q486" s="264"/>
      <c r="R486" s="264"/>
      <c r="S486" s="264"/>
      <c r="T486" s="264"/>
      <c r="U486" s="264"/>
      <c r="V486" s="264"/>
      <c r="W486" s="264"/>
      <c r="X486" s="264"/>
    </row>
    <row r="487">
      <c r="A487" s="264"/>
      <c r="B487" s="264"/>
      <c r="C487" s="264"/>
      <c r="D487" s="264"/>
      <c r="E487" s="264"/>
      <c r="F487" s="264"/>
      <c r="G487" s="264"/>
      <c r="H487" s="264"/>
      <c r="I487" s="264"/>
      <c r="J487" s="264"/>
      <c r="K487" s="264"/>
      <c r="L487" s="264"/>
      <c r="M487" s="264"/>
      <c r="N487" s="264"/>
      <c r="O487" s="264"/>
      <c r="P487" s="264"/>
      <c r="Q487" s="264"/>
      <c r="R487" s="264"/>
      <c r="S487" s="264"/>
      <c r="T487" s="264"/>
      <c r="U487" s="264"/>
      <c r="V487" s="264"/>
      <c r="W487" s="264"/>
      <c r="X487" s="264"/>
    </row>
    <row r="488">
      <c r="A488" s="264"/>
      <c r="B488" s="264"/>
      <c r="C488" s="264"/>
      <c r="D488" s="264"/>
      <c r="E488" s="264"/>
      <c r="F488" s="264"/>
      <c r="G488" s="264"/>
      <c r="H488" s="264"/>
      <c r="I488" s="264"/>
      <c r="J488" s="264"/>
      <c r="K488" s="264"/>
      <c r="L488" s="264"/>
      <c r="M488" s="264"/>
      <c r="N488" s="264"/>
      <c r="O488" s="264"/>
      <c r="P488" s="264"/>
      <c r="Q488" s="264"/>
      <c r="R488" s="264"/>
      <c r="S488" s="264"/>
      <c r="T488" s="264"/>
      <c r="U488" s="264"/>
      <c r="V488" s="264"/>
      <c r="W488" s="264"/>
      <c r="X488" s="264"/>
    </row>
    <row r="489">
      <c r="A489" s="264"/>
      <c r="B489" s="264"/>
      <c r="C489" s="264"/>
      <c r="D489" s="264"/>
      <c r="E489" s="264"/>
      <c r="F489" s="264"/>
      <c r="G489" s="264"/>
      <c r="H489" s="264"/>
      <c r="I489" s="264"/>
      <c r="J489" s="264"/>
      <c r="K489" s="264"/>
      <c r="L489" s="264"/>
      <c r="M489" s="264"/>
      <c r="N489" s="264"/>
      <c r="O489" s="264"/>
      <c r="P489" s="264"/>
      <c r="Q489" s="264"/>
      <c r="R489" s="264"/>
      <c r="S489" s="264"/>
      <c r="T489" s="264"/>
      <c r="U489" s="264"/>
      <c r="V489" s="264"/>
      <c r="W489" s="264"/>
      <c r="X489" s="264"/>
    </row>
    <row r="490">
      <c r="A490" s="264"/>
      <c r="B490" s="264"/>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row>
    <row r="491">
      <c r="A491" s="264"/>
      <c r="B491" s="264"/>
      <c r="C491" s="264"/>
      <c r="D491" s="264"/>
      <c r="E491" s="264"/>
      <c r="F491" s="264"/>
      <c r="G491" s="264"/>
      <c r="H491" s="264"/>
      <c r="I491" s="264"/>
      <c r="J491" s="264"/>
      <c r="K491" s="264"/>
      <c r="L491" s="264"/>
      <c r="M491" s="264"/>
      <c r="N491" s="264"/>
      <c r="O491" s="264"/>
      <c r="P491" s="264"/>
      <c r="Q491" s="264"/>
      <c r="R491" s="264"/>
      <c r="S491" s="264"/>
      <c r="T491" s="264"/>
      <c r="U491" s="264"/>
      <c r="V491" s="264"/>
      <c r="W491" s="264"/>
      <c r="X491" s="264"/>
    </row>
    <row r="492">
      <c r="A492" s="264"/>
      <c r="B492" s="264"/>
      <c r="C492" s="264"/>
      <c r="D492" s="264"/>
      <c r="E492" s="264"/>
      <c r="F492" s="264"/>
      <c r="G492" s="264"/>
      <c r="H492" s="264"/>
      <c r="I492" s="264"/>
      <c r="J492" s="264"/>
      <c r="K492" s="264"/>
      <c r="L492" s="264"/>
      <c r="M492" s="264"/>
      <c r="N492" s="264"/>
      <c r="O492" s="264"/>
      <c r="P492" s="264"/>
      <c r="Q492" s="264"/>
      <c r="R492" s="264"/>
      <c r="S492" s="264"/>
      <c r="T492" s="264"/>
      <c r="U492" s="264"/>
      <c r="V492" s="264"/>
      <c r="W492" s="264"/>
      <c r="X492" s="264"/>
    </row>
    <row r="493">
      <c r="A493" s="264"/>
      <c r="B493" s="264"/>
      <c r="C493" s="264"/>
      <c r="D493" s="264"/>
      <c r="E493" s="264"/>
      <c r="F493" s="264"/>
      <c r="G493" s="264"/>
      <c r="H493" s="264"/>
      <c r="I493" s="264"/>
      <c r="J493" s="264"/>
      <c r="K493" s="264"/>
      <c r="L493" s="264"/>
      <c r="M493" s="264"/>
      <c r="N493" s="264"/>
      <c r="O493" s="264"/>
      <c r="P493" s="264"/>
      <c r="Q493" s="264"/>
      <c r="R493" s="264"/>
      <c r="S493" s="264"/>
      <c r="T493" s="264"/>
      <c r="U493" s="264"/>
      <c r="V493" s="264"/>
      <c r="W493" s="264"/>
      <c r="X493" s="264"/>
    </row>
    <row r="494">
      <c r="A494" s="264"/>
      <c r="B494" s="264"/>
      <c r="C494" s="264"/>
      <c r="D494" s="264"/>
      <c r="E494" s="264"/>
      <c r="F494" s="264"/>
      <c r="G494" s="264"/>
      <c r="H494" s="264"/>
      <c r="I494" s="264"/>
      <c r="J494" s="264"/>
      <c r="K494" s="264"/>
      <c r="L494" s="264"/>
      <c r="M494" s="264"/>
      <c r="N494" s="264"/>
      <c r="O494" s="264"/>
      <c r="P494" s="264"/>
      <c r="Q494" s="264"/>
      <c r="R494" s="264"/>
      <c r="S494" s="264"/>
      <c r="T494" s="264"/>
      <c r="U494" s="264"/>
      <c r="V494" s="264"/>
      <c r="W494" s="264"/>
      <c r="X494" s="264"/>
    </row>
    <row r="495">
      <c r="A495" s="264"/>
      <c r="B495" s="264"/>
      <c r="C495" s="264"/>
      <c r="D495" s="264"/>
      <c r="E495" s="264"/>
      <c r="F495" s="264"/>
      <c r="G495" s="264"/>
      <c r="H495" s="264"/>
      <c r="I495" s="264"/>
      <c r="J495" s="264"/>
      <c r="K495" s="264"/>
      <c r="L495" s="264"/>
      <c r="M495" s="264"/>
      <c r="N495" s="264"/>
      <c r="O495" s="264"/>
      <c r="P495" s="264"/>
      <c r="Q495" s="264"/>
      <c r="R495" s="264"/>
      <c r="S495" s="264"/>
      <c r="T495" s="264"/>
      <c r="U495" s="264"/>
      <c r="V495" s="264"/>
      <c r="W495" s="264"/>
      <c r="X495" s="264"/>
    </row>
    <row r="496">
      <c r="A496" s="264"/>
      <c r="B496" s="264"/>
      <c r="C496" s="264"/>
      <c r="D496" s="264"/>
      <c r="E496" s="264"/>
      <c r="F496" s="264"/>
      <c r="G496" s="264"/>
      <c r="H496" s="264"/>
      <c r="I496" s="264"/>
      <c r="J496" s="264"/>
      <c r="K496" s="264"/>
      <c r="L496" s="264"/>
      <c r="M496" s="264"/>
      <c r="N496" s="264"/>
      <c r="O496" s="264"/>
      <c r="P496" s="264"/>
      <c r="Q496" s="264"/>
      <c r="R496" s="264"/>
      <c r="S496" s="264"/>
      <c r="T496" s="264"/>
      <c r="U496" s="264"/>
      <c r="V496" s="264"/>
      <c r="W496" s="264"/>
      <c r="X496" s="264"/>
    </row>
    <row r="497">
      <c r="A497" s="264"/>
      <c r="B497" s="264"/>
      <c r="C497" s="264"/>
      <c r="D497" s="264"/>
      <c r="E497" s="264"/>
      <c r="F497" s="264"/>
      <c r="G497" s="264"/>
      <c r="H497" s="264"/>
      <c r="I497" s="264"/>
      <c r="J497" s="264"/>
      <c r="K497" s="264"/>
      <c r="L497" s="264"/>
      <c r="M497" s="264"/>
      <c r="N497" s="264"/>
      <c r="O497" s="264"/>
      <c r="P497" s="264"/>
      <c r="Q497" s="264"/>
      <c r="R497" s="264"/>
      <c r="S497" s="264"/>
      <c r="T497" s="264"/>
      <c r="U497" s="264"/>
      <c r="V497" s="264"/>
      <c r="W497" s="264"/>
      <c r="X497" s="264"/>
    </row>
    <row r="498">
      <c r="A498" s="264"/>
      <c r="B498" s="264"/>
      <c r="C498" s="264"/>
      <c r="D498" s="264"/>
      <c r="E498" s="264"/>
      <c r="F498" s="264"/>
      <c r="G498" s="264"/>
      <c r="H498" s="264"/>
      <c r="I498" s="264"/>
      <c r="J498" s="264"/>
      <c r="K498" s="264"/>
      <c r="L498" s="264"/>
      <c r="M498" s="264"/>
      <c r="N498" s="264"/>
      <c r="O498" s="264"/>
      <c r="P498" s="264"/>
      <c r="Q498" s="264"/>
      <c r="R498" s="264"/>
      <c r="S498" s="264"/>
      <c r="T498" s="264"/>
      <c r="U498" s="264"/>
      <c r="V498" s="264"/>
      <c r="W498" s="264"/>
      <c r="X498" s="264"/>
    </row>
    <row r="499">
      <c r="A499" s="264"/>
      <c r="B499" s="264"/>
      <c r="C499" s="264"/>
      <c r="D499" s="264"/>
      <c r="E499" s="264"/>
      <c r="F499" s="264"/>
      <c r="G499" s="264"/>
      <c r="H499" s="264"/>
      <c r="I499" s="264"/>
      <c r="J499" s="264"/>
      <c r="K499" s="264"/>
      <c r="L499" s="264"/>
      <c r="M499" s="264"/>
      <c r="N499" s="264"/>
      <c r="O499" s="264"/>
      <c r="P499" s="264"/>
      <c r="Q499" s="264"/>
      <c r="R499" s="264"/>
      <c r="S499" s="264"/>
      <c r="T499" s="264"/>
      <c r="U499" s="264"/>
      <c r="V499" s="264"/>
      <c r="W499" s="264"/>
      <c r="X499" s="264"/>
    </row>
    <row r="500">
      <c r="A500" s="264"/>
      <c r="B500" s="264"/>
      <c r="C500" s="264"/>
      <c r="D500" s="264"/>
      <c r="E500" s="264"/>
      <c r="F500" s="264"/>
      <c r="G500" s="264"/>
      <c r="H500" s="264"/>
      <c r="I500" s="264"/>
      <c r="J500" s="264"/>
      <c r="K500" s="264"/>
      <c r="L500" s="264"/>
      <c r="M500" s="264"/>
      <c r="N500" s="264"/>
      <c r="O500" s="264"/>
      <c r="P500" s="264"/>
      <c r="Q500" s="264"/>
      <c r="R500" s="264"/>
      <c r="S500" s="264"/>
      <c r="T500" s="264"/>
      <c r="U500" s="264"/>
      <c r="V500" s="264"/>
      <c r="W500" s="264"/>
      <c r="X500" s="264"/>
    </row>
    <row r="501">
      <c r="A501" s="264"/>
      <c r="B501" s="264"/>
      <c r="C501" s="264"/>
      <c r="D501" s="264"/>
      <c r="E501" s="264"/>
      <c r="F501" s="264"/>
      <c r="G501" s="264"/>
      <c r="H501" s="264"/>
      <c r="I501" s="264"/>
      <c r="J501" s="264"/>
      <c r="K501" s="264"/>
      <c r="L501" s="264"/>
      <c r="M501" s="264"/>
      <c r="N501" s="264"/>
      <c r="O501" s="264"/>
      <c r="P501" s="264"/>
      <c r="Q501" s="264"/>
      <c r="R501" s="264"/>
      <c r="S501" s="264"/>
      <c r="T501" s="264"/>
      <c r="U501" s="264"/>
      <c r="V501" s="264"/>
      <c r="W501" s="264"/>
      <c r="X501" s="264"/>
    </row>
    <row r="502">
      <c r="A502" s="264"/>
      <c r="B502" s="264"/>
      <c r="C502" s="264"/>
      <c r="D502" s="264"/>
      <c r="E502" s="264"/>
      <c r="F502" s="264"/>
      <c r="G502" s="264"/>
      <c r="H502" s="264"/>
      <c r="I502" s="264"/>
      <c r="J502" s="264"/>
      <c r="K502" s="264"/>
      <c r="L502" s="264"/>
      <c r="M502" s="264"/>
      <c r="N502" s="264"/>
      <c r="O502" s="264"/>
      <c r="P502" s="264"/>
      <c r="Q502" s="264"/>
      <c r="R502" s="264"/>
      <c r="S502" s="264"/>
      <c r="T502" s="264"/>
      <c r="U502" s="264"/>
      <c r="V502" s="264"/>
      <c r="W502" s="264"/>
      <c r="X502" s="264"/>
    </row>
    <row r="503">
      <c r="A503" s="264"/>
      <c r="B503" s="264"/>
      <c r="C503" s="264"/>
      <c r="D503" s="264"/>
      <c r="E503" s="264"/>
      <c r="F503" s="264"/>
      <c r="G503" s="264"/>
      <c r="H503" s="264"/>
      <c r="I503" s="264"/>
      <c r="J503" s="264"/>
      <c r="K503" s="264"/>
      <c r="L503" s="264"/>
      <c r="M503" s="264"/>
      <c r="N503" s="264"/>
      <c r="O503" s="264"/>
      <c r="P503" s="264"/>
      <c r="Q503" s="264"/>
      <c r="R503" s="264"/>
      <c r="S503" s="264"/>
      <c r="T503" s="264"/>
      <c r="U503" s="264"/>
      <c r="V503" s="264"/>
      <c r="W503" s="264"/>
      <c r="X503" s="264"/>
    </row>
    <row r="504">
      <c r="A504" s="264"/>
      <c r="B504" s="264"/>
      <c r="C504" s="264"/>
      <c r="D504" s="264"/>
      <c r="E504" s="264"/>
      <c r="F504" s="264"/>
      <c r="G504" s="264"/>
      <c r="H504" s="264"/>
      <c r="I504" s="264"/>
      <c r="J504" s="264"/>
      <c r="K504" s="264"/>
      <c r="L504" s="264"/>
      <c r="M504" s="264"/>
      <c r="N504" s="264"/>
      <c r="O504" s="264"/>
      <c r="P504" s="264"/>
      <c r="Q504" s="264"/>
      <c r="R504" s="264"/>
      <c r="S504" s="264"/>
      <c r="T504" s="264"/>
      <c r="U504" s="264"/>
      <c r="V504" s="264"/>
      <c r="W504" s="264"/>
      <c r="X504" s="264"/>
    </row>
    <row r="505">
      <c r="A505" s="264"/>
      <c r="B505" s="264"/>
      <c r="C505" s="264"/>
      <c r="D505" s="264"/>
      <c r="E505" s="264"/>
      <c r="F505" s="264"/>
      <c r="G505" s="264"/>
      <c r="H505" s="264"/>
      <c r="I505" s="264"/>
      <c r="J505" s="264"/>
      <c r="K505" s="264"/>
      <c r="L505" s="264"/>
      <c r="M505" s="264"/>
      <c r="N505" s="264"/>
      <c r="O505" s="264"/>
      <c r="P505" s="264"/>
      <c r="Q505" s="264"/>
      <c r="R505" s="264"/>
      <c r="S505" s="264"/>
      <c r="T505" s="264"/>
      <c r="U505" s="264"/>
      <c r="V505" s="264"/>
      <c r="W505" s="264"/>
      <c r="X505" s="264"/>
    </row>
    <row r="506">
      <c r="A506" s="264"/>
      <c r="B506" s="264"/>
      <c r="C506" s="264"/>
      <c r="D506" s="264"/>
      <c r="E506" s="264"/>
      <c r="F506" s="264"/>
      <c r="G506" s="264"/>
      <c r="H506" s="264"/>
      <c r="I506" s="264"/>
      <c r="J506" s="264"/>
      <c r="K506" s="264"/>
      <c r="L506" s="264"/>
      <c r="M506" s="264"/>
      <c r="N506" s="264"/>
      <c r="O506" s="264"/>
      <c r="P506" s="264"/>
      <c r="Q506" s="264"/>
      <c r="R506" s="264"/>
      <c r="S506" s="264"/>
      <c r="T506" s="264"/>
      <c r="U506" s="264"/>
      <c r="V506" s="264"/>
      <c r="W506" s="264"/>
      <c r="X506" s="264"/>
    </row>
    <row r="507">
      <c r="A507" s="264"/>
      <c r="B507" s="264"/>
      <c r="C507" s="264"/>
      <c r="D507" s="264"/>
      <c r="E507" s="264"/>
      <c r="F507" s="264"/>
      <c r="G507" s="264"/>
      <c r="H507" s="264"/>
      <c r="I507" s="264"/>
      <c r="J507" s="264"/>
      <c r="K507" s="264"/>
      <c r="L507" s="264"/>
      <c r="M507" s="264"/>
      <c r="N507" s="264"/>
      <c r="O507" s="264"/>
      <c r="P507" s="264"/>
      <c r="Q507" s="264"/>
      <c r="R507" s="264"/>
      <c r="S507" s="264"/>
      <c r="T507" s="264"/>
      <c r="U507" s="264"/>
      <c r="V507" s="264"/>
      <c r="W507" s="264"/>
      <c r="X507" s="264"/>
    </row>
    <row r="508">
      <c r="A508" s="264"/>
      <c r="B508" s="264"/>
      <c r="C508" s="264"/>
      <c r="D508" s="264"/>
      <c r="E508" s="264"/>
      <c r="F508" s="264"/>
      <c r="G508" s="264"/>
      <c r="H508" s="264"/>
      <c r="I508" s="264"/>
      <c r="J508" s="264"/>
      <c r="K508" s="264"/>
      <c r="L508" s="264"/>
      <c r="M508" s="264"/>
      <c r="N508" s="264"/>
      <c r="O508" s="264"/>
      <c r="P508" s="264"/>
      <c r="Q508" s="264"/>
      <c r="R508" s="264"/>
      <c r="S508" s="264"/>
      <c r="T508" s="264"/>
      <c r="U508" s="264"/>
      <c r="V508" s="264"/>
      <c r="W508" s="264"/>
      <c r="X508" s="264"/>
    </row>
    <row r="509">
      <c r="A509" s="264"/>
      <c r="B509" s="264"/>
      <c r="C509" s="264"/>
      <c r="D509" s="264"/>
      <c r="E509" s="264"/>
      <c r="F509" s="264"/>
      <c r="G509" s="264"/>
      <c r="H509" s="264"/>
      <c r="I509" s="264"/>
      <c r="J509" s="264"/>
      <c r="K509" s="264"/>
      <c r="L509" s="264"/>
      <c r="M509" s="264"/>
      <c r="N509" s="264"/>
      <c r="O509" s="264"/>
      <c r="P509" s="264"/>
      <c r="Q509" s="264"/>
      <c r="R509" s="264"/>
      <c r="S509" s="264"/>
      <c r="T509" s="264"/>
      <c r="U509" s="264"/>
      <c r="V509" s="264"/>
      <c r="W509" s="264"/>
      <c r="X509" s="264"/>
    </row>
    <row r="510">
      <c r="A510" s="264"/>
      <c r="B510" s="264"/>
      <c r="C510" s="264"/>
      <c r="D510" s="264"/>
      <c r="E510" s="264"/>
      <c r="F510" s="264"/>
      <c r="G510" s="264"/>
      <c r="H510" s="264"/>
      <c r="I510" s="264"/>
      <c r="J510" s="264"/>
      <c r="K510" s="264"/>
      <c r="L510" s="264"/>
      <c r="M510" s="264"/>
      <c r="N510" s="264"/>
      <c r="O510" s="264"/>
      <c r="P510" s="264"/>
      <c r="Q510" s="264"/>
      <c r="R510" s="264"/>
      <c r="S510" s="264"/>
      <c r="T510" s="264"/>
      <c r="U510" s="264"/>
      <c r="V510" s="264"/>
      <c r="W510" s="264"/>
      <c r="X510" s="264"/>
    </row>
    <row r="511">
      <c r="A511" s="264"/>
      <c r="B511" s="264"/>
      <c r="C511" s="264"/>
      <c r="D511" s="264"/>
      <c r="E511" s="264"/>
      <c r="F511" s="264"/>
      <c r="G511" s="264"/>
      <c r="H511" s="264"/>
      <c r="I511" s="264"/>
      <c r="J511" s="264"/>
      <c r="K511" s="264"/>
      <c r="L511" s="264"/>
      <c r="M511" s="264"/>
      <c r="N511" s="264"/>
      <c r="O511" s="264"/>
      <c r="P511" s="264"/>
      <c r="Q511" s="264"/>
      <c r="R511" s="264"/>
      <c r="S511" s="264"/>
      <c r="T511" s="264"/>
      <c r="U511" s="264"/>
      <c r="V511" s="264"/>
      <c r="W511" s="264"/>
      <c r="X511" s="264"/>
    </row>
    <row r="512">
      <c r="A512" s="264"/>
      <c r="B512" s="264"/>
      <c r="C512" s="264"/>
      <c r="D512" s="264"/>
      <c r="E512" s="264"/>
      <c r="F512" s="264"/>
      <c r="G512" s="264"/>
      <c r="H512" s="264"/>
      <c r="I512" s="264"/>
      <c r="J512" s="264"/>
      <c r="K512" s="264"/>
      <c r="L512" s="264"/>
      <c r="M512" s="264"/>
      <c r="N512" s="264"/>
      <c r="O512" s="264"/>
      <c r="P512" s="264"/>
      <c r="Q512" s="264"/>
      <c r="R512" s="264"/>
      <c r="S512" s="264"/>
      <c r="T512" s="264"/>
      <c r="U512" s="264"/>
      <c r="V512" s="264"/>
      <c r="W512" s="264"/>
      <c r="X512" s="264"/>
    </row>
    <row r="513">
      <c r="A513" s="264"/>
      <c r="B513" s="264"/>
      <c r="C513" s="264"/>
      <c r="D513" s="264"/>
      <c r="E513" s="264"/>
      <c r="F513" s="264"/>
      <c r="G513" s="264"/>
      <c r="H513" s="264"/>
      <c r="I513" s="264"/>
      <c r="J513" s="264"/>
      <c r="K513" s="264"/>
      <c r="L513" s="264"/>
      <c r="M513" s="264"/>
      <c r="N513" s="264"/>
      <c r="O513" s="264"/>
      <c r="P513" s="264"/>
      <c r="Q513" s="264"/>
      <c r="R513" s="264"/>
      <c r="S513" s="264"/>
      <c r="T513" s="264"/>
      <c r="U513" s="264"/>
      <c r="V513" s="264"/>
      <c r="W513" s="264"/>
      <c r="X513" s="264"/>
    </row>
    <row r="514">
      <c r="A514" s="264"/>
      <c r="B514" s="264"/>
      <c r="C514" s="264"/>
      <c r="D514" s="264"/>
      <c r="E514" s="264"/>
      <c r="F514" s="264"/>
      <c r="G514" s="264"/>
      <c r="H514" s="264"/>
      <c r="I514" s="264"/>
      <c r="J514" s="264"/>
      <c r="K514" s="264"/>
      <c r="L514" s="264"/>
      <c r="M514" s="264"/>
      <c r="N514" s="264"/>
      <c r="O514" s="264"/>
      <c r="P514" s="264"/>
      <c r="Q514" s="264"/>
      <c r="R514" s="264"/>
      <c r="S514" s="264"/>
      <c r="T514" s="264"/>
      <c r="U514" s="264"/>
      <c r="V514" s="264"/>
      <c r="W514" s="264"/>
      <c r="X514" s="264"/>
    </row>
    <row r="515">
      <c r="A515" s="264"/>
      <c r="B515" s="264"/>
      <c r="C515" s="264"/>
      <c r="D515" s="264"/>
      <c r="E515" s="264"/>
      <c r="F515" s="264"/>
      <c r="G515" s="264"/>
      <c r="H515" s="264"/>
      <c r="I515" s="264"/>
      <c r="J515" s="264"/>
      <c r="K515" s="264"/>
      <c r="L515" s="264"/>
      <c r="M515" s="264"/>
      <c r="N515" s="264"/>
      <c r="O515" s="264"/>
      <c r="P515" s="264"/>
      <c r="Q515" s="264"/>
      <c r="R515" s="264"/>
      <c r="S515" s="264"/>
      <c r="T515" s="264"/>
      <c r="U515" s="264"/>
      <c r="V515" s="264"/>
      <c r="W515" s="264"/>
      <c r="X515" s="264"/>
    </row>
    <row r="516">
      <c r="A516" s="264"/>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row>
    <row r="517">
      <c r="A517" s="264"/>
      <c r="B517" s="264"/>
      <c r="C517" s="264"/>
      <c r="D517" s="264"/>
      <c r="E517" s="264"/>
      <c r="F517" s="264"/>
      <c r="G517" s="264"/>
      <c r="H517" s="264"/>
      <c r="I517" s="264"/>
      <c r="J517" s="264"/>
      <c r="K517" s="264"/>
      <c r="L517" s="264"/>
      <c r="M517" s="264"/>
      <c r="N517" s="264"/>
      <c r="O517" s="264"/>
      <c r="P517" s="264"/>
      <c r="Q517" s="264"/>
      <c r="R517" s="264"/>
      <c r="S517" s="264"/>
      <c r="T517" s="264"/>
      <c r="U517" s="264"/>
      <c r="V517" s="264"/>
      <c r="W517" s="264"/>
      <c r="X517" s="264"/>
    </row>
    <row r="518">
      <c r="A518" s="264"/>
      <c r="B518" s="264"/>
      <c r="C518" s="264"/>
      <c r="D518" s="264"/>
      <c r="E518" s="264"/>
      <c r="F518" s="264"/>
      <c r="G518" s="264"/>
      <c r="H518" s="264"/>
      <c r="I518" s="264"/>
      <c r="J518" s="264"/>
      <c r="K518" s="264"/>
      <c r="L518" s="264"/>
      <c r="M518" s="264"/>
      <c r="N518" s="264"/>
      <c r="O518" s="264"/>
      <c r="P518" s="264"/>
      <c r="Q518" s="264"/>
      <c r="R518" s="264"/>
      <c r="S518" s="264"/>
      <c r="T518" s="264"/>
      <c r="U518" s="264"/>
      <c r="V518" s="264"/>
      <c r="W518" s="264"/>
      <c r="X518" s="264"/>
    </row>
    <row r="519">
      <c r="A519" s="264"/>
      <c r="B519" s="264"/>
      <c r="C519" s="264"/>
      <c r="D519" s="264"/>
      <c r="E519" s="264"/>
      <c r="F519" s="264"/>
      <c r="G519" s="264"/>
      <c r="H519" s="264"/>
      <c r="I519" s="264"/>
      <c r="J519" s="264"/>
      <c r="K519" s="264"/>
      <c r="L519" s="264"/>
      <c r="M519" s="264"/>
      <c r="N519" s="264"/>
      <c r="O519" s="264"/>
      <c r="P519" s="264"/>
      <c r="Q519" s="264"/>
      <c r="R519" s="264"/>
      <c r="S519" s="264"/>
      <c r="T519" s="264"/>
      <c r="U519" s="264"/>
      <c r="V519" s="264"/>
      <c r="W519" s="264"/>
      <c r="X519" s="264"/>
    </row>
    <row r="520">
      <c r="A520" s="264"/>
      <c r="B520" s="264"/>
      <c r="C520" s="264"/>
      <c r="D520" s="264"/>
      <c r="E520" s="264"/>
      <c r="F520" s="264"/>
      <c r="G520" s="264"/>
      <c r="H520" s="264"/>
      <c r="I520" s="264"/>
      <c r="J520" s="264"/>
      <c r="K520" s="264"/>
      <c r="L520" s="264"/>
      <c r="M520" s="264"/>
      <c r="N520" s="264"/>
      <c r="O520" s="264"/>
      <c r="P520" s="264"/>
      <c r="Q520" s="264"/>
      <c r="R520" s="264"/>
      <c r="S520" s="264"/>
      <c r="T520" s="264"/>
      <c r="U520" s="264"/>
      <c r="V520" s="264"/>
      <c r="W520" s="264"/>
      <c r="X520" s="264"/>
    </row>
    <row r="521">
      <c r="A521" s="264"/>
      <c r="B521" s="264"/>
      <c r="C521" s="264"/>
      <c r="D521" s="264"/>
      <c r="E521" s="264"/>
      <c r="F521" s="264"/>
      <c r="G521" s="264"/>
      <c r="H521" s="264"/>
      <c r="I521" s="264"/>
      <c r="J521" s="264"/>
      <c r="K521" s="264"/>
      <c r="L521" s="264"/>
      <c r="M521" s="264"/>
      <c r="N521" s="264"/>
      <c r="O521" s="264"/>
      <c r="P521" s="264"/>
      <c r="Q521" s="264"/>
      <c r="R521" s="264"/>
      <c r="S521" s="264"/>
      <c r="T521" s="264"/>
      <c r="U521" s="264"/>
      <c r="V521" s="264"/>
      <c r="W521" s="264"/>
      <c r="X521" s="264"/>
    </row>
    <row r="522">
      <c r="A522" s="264"/>
      <c r="B522" s="264"/>
      <c r="C522" s="264"/>
      <c r="D522" s="264"/>
      <c r="E522" s="264"/>
      <c r="F522" s="264"/>
      <c r="G522" s="264"/>
      <c r="H522" s="264"/>
      <c r="I522" s="264"/>
      <c r="J522" s="264"/>
      <c r="K522" s="264"/>
      <c r="L522" s="264"/>
      <c r="M522" s="264"/>
      <c r="N522" s="264"/>
      <c r="O522" s="264"/>
      <c r="P522" s="264"/>
      <c r="Q522" s="264"/>
      <c r="R522" s="264"/>
      <c r="S522" s="264"/>
      <c r="T522" s="264"/>
      <c r="U522" s="264"/>
      <c r="V522" s="264"/>
      <c r="W522" s="264"/>
      <c r="X522" s="264"/>
    </row>
    <row r="523">
      <c r="A523" s="264"/>
      <c r="B523" s="264"/>
      <c r="C523" s="264"/>
      <c r="D523" s="264"/>
      <c r="E523" s="264"/>
      <c r="F523" s="264"/>
      <c r="G523" s="264"/>
      <c r="H523" s="264"/>
      <c r="I523" s="264"/>
      <c r="J523" s="264"/>
      <c r="K523" s="264"/>
      <c r="L523" s="264"/>
      <c r="M523" s="264"/>
      <c r="N523" s="264"/>
      <c r="O523" s="264"/>
      <c r="P523" s="264"/>
      <c r="Q523" s="264"/>
      <c r="R523" s="264"/>
      <c r="S523" s="264"/>
      <c r="T523" s="264"/>
      <c r="U523" s="264"/>
      <c r="V523" s="264"/>
      <c r="W523" s="264"/>
      <c r="X523" s="264"/>
    </row>
    <row r="524">
      <c r="A524" s="264"/>
      <c r="B524" s="264"/>
      <c r="C524" s="264"/>
      <c r="D524" s="264"/>
      <c r="E524" s="264"/>
      <c r="F524" s="264"/>
      <c r="G524" s="264"/>
      <c r="H524" s="264"/>
      <c r="I524" s="264"/>
      <c r="J524" s="264"/>
      <c r="K524" s="264"/>
      <c r="L524" s="264"/>
      <c r="M524" s="264"/>
      <c r="N524" s="264"/>
      <c r="O524" s="264"/>
      <c r="P524" s="264"/>
      <c r="Q524" s="264"/>
      <c r="R524" s="264"/>
      <c r="S524" s="264"/>
      <c r="T524" s="264"/>
      <c r="U524" s="264"/>
      <c r="V524" s="264"/>
      <c r="W524" s="264"/>
      <c r="X524" s="264"/>
    </row>
    <row r="525">
      <c r="A525" s="264"/>
      <c r="B525" s="264"/>
      <c r="C525" s="264"/>
      <c r="D525" s="264"/>
      <c r="E525" s="264"/>
      <c r="F525" s="264"/>
      <c r="G525" s="264"/>
      <c r="H525" s="264"/>
      <c r="I525" s="264"/>
      <c r="J525" s="264"/>
      <c r="K525" s="264"/>
      <c r="L525" s="264"/>
      <c r="M525" s="264"/>
      <c r="N525" s="264"/>
      <c r="O525" s="264"/>
      <c r="P525" s="264"/>
      <c r="Q525" s="264"/>
      <c r="R525" s="264"/>
      <c r="S525" s="264"/>
      <c r="T525" s="264"/>
      <c r="U525" s="264"/>
      <c r="V525" s="264"/>
      <c r="W525" s="264"/>
      <c r="X525" s="264"/>
    </row>
    <row r="526">
      <c r="A526" s="264"/>
      <c r="B526" s="264"/>
      <c r="C526" s="264"/>
      <c r="D526" s="264"/>
      <c r="E526" s="264"/>
      <c r="F526" s="264"/>
      <c r="G526" s="264"/>
      <c r="H526" s="264"/>
      <c r="I526" s="264"/>
      <c r="J526" s="264"/>
      <c r="K526" s="264"/>
      <c r="L526" s="264"/>
      <c r="M526" s="264"/>
      <c r="N526" s="264"/>
      <c r="O526" s="264"/>
      <c r="P526" s="264"/>
      <c r="Q526" s="264"/>
      <c r="R526" s="264"/>
      <c r="S526" s="264"/>
      <c r="T526" s="264"/>
      <c r="U526" s="264"/>
      <c r="V526" s="264"/>
      <c r="W526" s="264"/>
      <c r="X526" s="264"/>
    </row>
    <row r="527">
      <c r="A527" s="264"/>
      <c r="B527" s="264"/>
      <c r="C527" s="264"/>
      <c r="D527" s="264"/>
      <c r="E527" s="264"/>
      <c r="F527" s="264"/>
      <c r="G527" s="264"/>
      <c r="H527" s="264"/>
      <c r="I527" s="264"/>
      <c r="J527" s="264"/>
      <c r="K527" s="264"/>
      <c r="L527" s="264"/>
      <c r="M527" s="264"/>
      <c r="N527" s="264"/>
      <c r="O527" s="264"/>
      <c r="P527" s="264"/>
      <c r="Q527" s="264"/>
      <c r="R527" s="264"/>
      <c r="S527" s="264"/>
      <c r="T527" s="264"/>
      <c r="U527" s="264"/>
      <c r="V527" s="264"/>
      <c r="W527" s="264"/>
      <c r="X527" s="264"/>
    </row>
    <row r="528">
      <c r="A528" s="264"/>
      <c r="B528" s="264"/>
      <c r="C528" s="264"/>
      <c r="D528" s="264"/>
      <c r="E528" s="264"/>
      <c r="F528" s="264"/>
      <c r="G528" s="264"/>
      <c r="H528" s="264"/>
      <c r="I528" s="264"/>
      <c r="J528" s="264"/>
      <c r="K528" s="264"/>
      <c r="L528" s="264"/>
      <c r="M528" s="264"/>
      <c r="N528" s="264"/>
      <c r="O528" s="264"/>
      <c r="P528" s="264"/>
      <c r="Q528" s="264"/>
      <c r="R528" s="264"/>
      <c r="S528" s="264"/>
      <c r="T528" s="264"/>
      <c r="U528" s="264"/>
      <c r="V528" s="264"/>
      <c r="W528" s="264"/>
      <c r="X528" s="264"/>
    </row>
    <row r="529">
      <c r="A529" s="264"/>
      <c r="B529" s="264"/>
      <c r="C529" s="264"/>
      <c r="D529" s="264"/>
      <c r="E529" s="264"/>
      <c r="F529" s="264"/>
      <c r="G529" s="264"/>
      <c r="H529" s="264"/>
      <c r="I529" s="264"/>
      <c r="J529" s="264"/>
      <c r="K529" s="264"/>
      <c r="L529" s="264"/>
      <c r="M529" s="264"/>
      <c r="N529" s="264"/>
      <c r="O529" s="264"/>
      <c r="P529" s="264"/>
      <c r="Q529" s="264"/>
      <c r="R529" s="264"/>
      <c r="S529" s="264"/>
      <c r="T529" s="264"/>
      <c r="U529" s="264"/>
      <c r="V529" s="264"/>
      <c r="W529" s="264"/>
      <c r="X529" s="264"/>
    </row>
    <row r="530">
      <c r="A530" s="264"/>
      <c r="B530" s="264"/>
      <c r="C530" s="264"/>
      <c r="D530" s="264"/>
      <c r="E530" s="264"/>
      <c r="F530" s="264"/>
      <c r="G530" s="264"/>
      <c r="H530" s="264"/>
      <c r="I530" s="264"/>
      <c r="J530" s="264"/>
      <c r="K530" s="264"/>
      <c r="L530" s="264"/>
      <c r="M530" s="264"/>
      <c r="N530" s="264"/>
      <c r="O530" s="264"/>
      <c r="P530" s="264"/>
      <c r="Q530" s="264"/>
      <c r="R530" s="264"/>
      <c r="S530" s="264"/>
      <c r="T530" s="264"/>
      <c r="U530" s="264"/>
      <c r="V530" s="264"/>
      <c r="W530" s="264"/>
      <c r="X530" s="264"/>
    </row>
    <row r="531">
      <c r="A531" s="264"/>
      <c r="B531" s="264"/>
      <c r="C531" s="264"/>
      <c r="D531" s="264"/>
      <c r="E531" s="264"/>
      <c r="F531" s="264"/>
      <c r="G531" s="264"/>
      <c r="H531" s="264"/>
      <c r="I531" s="264"/>
      <c r="J531" s="264"/>
      <c r="K531" s="264"/>
      <c r="L531" s="264"/>
      <c r="M531" s="264"/>
      <c r="N531" s="264"/>
      <c r="O531" s="264"/>
      <c r="P531" s="264"/>
      <c r="Q531" s="264"/>
      <c r="R531" s="264"/>
      <c r="S531" s="264"/>
      <c r="T531" s="264"/>
      <c r="U531" s="264"/>
      <c r="V531" s="264"/>
      <c r="W531" s="264"/>
      <c r="X531" s="264"/>
    </row>
    <row r="532">
      <c r="A532" s="264"/>
      <c r="B532" s="264"/>
      <c r="C532" s="264"/>
      <c r="D532" s="264"/>
      <c r="E532" s="264"/>
      <c r="F532" s="264"/>
      <c r="G532" s="264"/>
      <c r="H532" s="264"/>
      <c r="I532" s="264"/>
      <c r="J532" s="264"/>
      <c r="K532" s="264"/>
      <c r="L532" s="264"/>
      <c r="M532" s="264"/>
      <c r="N532" s="264"/>
      <c r="O532" s="264"/>
      <c r="P532" s="264"/>
      <c r="Q532" s="264"/>
      <c r="R532" s="264"/>
      <c r="S532" s="264"/>
      <c r="T532" s="264"/>
      <c r="U532" s="264"/>
      <c r="V532" s="264"/>
      <c r="W532" s="264"/>
      <c r="X532" s="264"/>
    </row>
    <row r="533">
      <c r="A533" s="264"/>
      <c r="B533" s="264"/>
      <c r="C533" s="264"/>
      <c r="D533" s="264"/>
      <c r="E533" s="264"/>
      <c r="F533" s="264"/>
      <c r="G533" s="264"/>
      <c r="H533" s="264"/>
      <c r="I533" s="264"/>
      <c r="J533" s="264"/>
      <c r="K533" s="264"/>
      <c r="L533" s="264"/>
      <c r="M533" s="264"/>
      <c r="N533" s="264"/>
      <c r="O533" s="264"/>
      <c r="P533" s="264"/>
      <c r="Q533" s="264"/>
      <c r="R533" s="264"/>
      <c r="S533" s="264"/>
      <c r="T533" s="264"/>
      <c r="U533" s="264"/>
      <c r="V533" s="264"/>
      <c r="W533" s="264"/>
      <c r="X533" s="264"/>
    </row>
    <row r="534">
      <c r="A534" s="264"/>
      <c r="B534" s="264"/>
      <c r="C534" s="264"/>
      <c r="D534" s="264"/>
      <c r="E534" s="264"/>
      <c r="F534" s="264"/>
      <c r="G534" s="264"/>
      <c r="H534" s="264"/>
      <c r="I534" s="264"/>
      <c r="J534" s="264"/>
      <c r="K534" s="264"/>
      <c r="L534" s="264"/>
      <c r="M534" s="264"/>
      <c r="N534" s="264"/>
      <c r="O534" s="264"/>
      <c r="P534" s="264"/>
      <c r="Q534" s="264"/>
      <c r="R534" s="264"/>
      <c r="S534" s="264"/>
      <c r="T534" s="264"/>
      <c r="U534" s="264"/>
      <c r="V534" s="264"/>
      <c r="W534" s="264"/>
      <c r="X534" s="264"/>
    </row>
    <row r="535">
      <c r="A535" s="264"/>
      <c r="B535" s="264"/>
      <c r="C535" s="264"/>
      <c r="D535" s="264"/>
      <c r="E535" s="264"/>
      <c r="F535" s="264"/>
      <c r="G535" s="264"/>
      <c r="H535" s="264"/>
      <c r="I535" s="264"/>
      <c r="J535" s="264"/>
      <c r="K535" s="264"/>
      <c r="L535" s="264"/>
      <c r="M535" s="264"/>
      <c r="N535" s="264"/>
      <c r="O535" s="264"/>
      <c r="P535" s="264"/>
      <c r="Q535" s="264"/>
      <c r="R535" s="264"/>
      <c r="S535" s="264"/>
      <c r="T535" s="264"/>
      <c r="U535" s="264"/>
      <c r="V535" s="264"/>
      <c r="W535" s="264"/>
      <c r="X535" s="264"/>
    </row>
    <row r="536">
      <c r="A536" s="264"/>
      <c r="B536" s="264"/>
      <c r="C536" s="264"/>
      <c r="D536" s="264"/>
      <c r="E536" s="264"/>
      <c r="F536" s="264"/>
      <c r="G536" s="264"/>
      <c r="H536" s="264"/>
      <c r="I536" s="264"/>
      <c r="J536" s="264"/>
      <c r="K536" s="264"/>
      <c r="L536" s="264"/>
      <c r="M536" s="264"/>
      <c r="N536" s="264"/>
      <c r="O536" s="264"/>
      <c r="P536" s="264"/>
      <c r="Q536" s="264"/>
      <c r="R536" s="264"/>
      <c r="S536" s="264"/>
      <c r="T536" s="264"/>
      <c r="U536" s="264"/>
      <c r="V536" s="264"/>
      <c r="W536" s="264"/>
      <c r="X536" s="264"/>
    </row>
    <row r="537">
      <c r="A537" s="264"/>
      <c r="B537" s="264"/>
      <c r="C537" s="264"/>
      <c r="D537" s="264"/>
      <c r="E537" s="264"/>
      <c r="F537" s="264"/>
      <c r="G537" s="264"/>
      <c r="H537" s="264"/>
      <c r="I537" s="264"/>
      <c r="J537" s="264"/>
      <c r="K537" s="264"/>
      <c r="L537" s="264"/>
      <c r="M537" s="264"/>
      <c r="N537" s="264"/>
      <c r="O537" s="264"/>
      <c r="P537" s="264"/>
      <c r="Q537" s="264"/>
      <c r="R537" s="264"/>
      <c r="S537" s="264"/>
      <c r="T537" s="264"/>
      <c r="U537" s="264"/>
      <c r="V537" s="264"/>
      <c r="W537" s="264"/>
      <c r="X537" s="264"/>
    </row>
    <row r="538">
      <c r="A538" s="264"/>
      <c r="B538" s="264"/>
      <c r="C538" s="264"/>
      <c r="D538" s="264"/>
      <c r="E538" s="264"/>
      <c r="F538" s="264"/>
      <c r="G538" s="264"/>
      <c r="H538" s="264"/>
      <c r="I538" s="264"/>
      <c r="J538" s="264"/>
      <c r="K538" s="264"/>
      <c r="L538" s="264"/>
      <c r="M538" s="264"/>
      <c r="N538" s="264"/>
      <c r="O538" s="264"/>
      <c r="P538" s="264"/>
      <c r="Q538" s="264"/>
      <c r="R538" s="264"/>
      <c r="S538" s="264"/>
      <c r="T538" s="264"/>
      <c r="U538" s="264"/>
      <c r="V538" s="264"/>
      <c r="W538" s="264"/>
      <c r="X538" s="264"/>
    </row>
    <row r="539">
      <c r="A539" s="264"/>
      <c r="B539" s="264"/>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row>
    <row r="540">
      <c r="A540" s="264"/>
      <c r="B540" s="264"/>
      <c r="C540" s="264"/>
      <c r="D540" s="264"/>
      <c r="E540" s="264"/>
      <c r="F540" s="264"/>
      <c r="G540" s="264"/>
      <c r="H540" s="264"/>
      <c r="I540" s="264"/>
      <c r="J540" s="264"/>
      <c r="K540" s="264"/>
      <c r="L540" s="264"/>
      <c r="M540" s="264"/>
      <c r="N540" s="264"/>
      <c r="O540" s="264"/>
      <c r="P540" s="264"/>
      <c r="Q540" s="264"/>
      <c r="R540" s="264"/>
      <c r="S540" s="264"/>
      <c r="T540" s="264"/>
      <c r="U540" s="264"/>
      <c r="V540" s="264"/>
      <c r="W540" s="264"/>
      <c r="X540" s="264"/>
    </row>
    <row r="541">
      <c r="A541" s="264"/>
      <c r="B541" s="264"/>
      <c r="C541" s="264"/>
      <c r="D541" s="264"/>
      <c r="E541" s="264"/>
      <c r="F541" s="264"/>
      <c r="G541" s="264"/>
      <c r="H541" s="264"/>
      <c r="I541" s="264"/>
      <c r="J541" s="264"/>
      <c r="K541" s="264"/>
      <c r="L541" s="264"/>
      <c r="M541" s="264"/>
      <c r="N541" s="264"/>
      <c r="O541" s="264"/>
      <c r="P541" s="264"/>
      <c r="Q541" s="264"/>
      <c r="R541" s="264"/>
      <c r="S541" s="264"/>
      <c r="T541" s="264"/>
      <c r="U541" s="264"/>
      <c r="V541" s="264"/>
      <c r="W541" s="264"/>
      <c r="X541" s="264"/>
    </row>
    <row r="542">
      <c r="A542" s="264"/>
      <c r="B542" s="264"/>
      <c r="C542" s="264"/>
      <c r="D542" s="264"/>
      <c r="E542" s="264"/>
      <c r="F542" s="264"/>
      <c r="G542" s="264"/>
      <c r="H542" s="264"/>
      <c r="I542" s="264"/>
      <c r="J542" s="264"/>
      <c r="K542" s="264"/>
      <c r="L542" s="264"/>
      <c r="M542" s="264"/>
      <c r="N542" s="264"/>
      <c r="O542" s="264"/>
      <c r="P542" s="264"/>
      <c r="Q542" s="264"/>
      <c r="R542" s="264"/>
      <c r="S542" s="264"/>
      <c r="T542" s="264"/>
      <c r="U542" s="264"/>
      <c r="V542" s="264"/>
      <c r="W542" s="264"/>
      <c r="X542" s="264"/>
    </row>
    <row r="543">
      <c r="A543" s="264"/>
      <c r="B543" s="264"/>
      <c r="C543" s="264"/>
      <c r="D543" s="264"/>
      <c r="E543" s="264"/>
      <c r="F543" s="264"/>
      <c r="G543" s="264"/>
      <c r="H543" s="264"/>
      <c r="I543" s="264"/>
      <c r="J543" s="264"/>
      <c r="K543" s="264"/>
      <c r="L543" s="264"/>
      <c r="M543" s="264"/>
      <c r="N543" s="264"/>
      <c r="O543" s="264"/>
      <c r="P543" s="264"/>
      <c r="Q543" s="264"/>
      <c r="R543" s="264"/>
      <c r="S543" s="264"/>
      <c r="T543" s="264"/>
      <c r="U543" s="264"/>
      <c r="V543" s="264"/>
      <c r="W543" s="264"/>
      <c r="X543" s="264"/>
    </row>
    <row r="544">
      <c r="A544" s="264"/>
      <c r="B544" s="264"/>
      <c r="C544" s="264"/>
      <c r="D544" s="264"/>
      <c r="E544" s="264"/>
      <c r="F544" s="264"/>
      <c r="G544" s="264"/>
      <c r="H544" s="264"/>
      <c r="I544" s="264"/>
      <c r="J544" s="264"/>
      <c r="K544" s="264"/>
      <c r="L544" s="264"/>
      <c r="M544" s="264"/>
      <c r="N544" s="264"/>
      <c r="O544" s="264"/>
      <c r="P544" s="264"/>
      <c r="Q544" s="264"/>
      <c r="R544" s="264"/>
      <c r="S544" s="264"/>
      <c r="T544" s="264"/>
      <c r="U544" s="264"/>
      <c r="V544" s="264"/>
      <c r="W544" s="264"/>
      <c r="X544" s="264"/>
    </row>
    <row r="545">
      <c r="A545" s="264"/>
      <c r="B545" s="264"/>
      <c r="C545" s="264"/>
      <c r="D545" s="264"/>
      <c r="E545" s="264"/>
      <c r="F545" s="264"/>
      <c r="G545" s="264"/>
      <c r="H545" s="264"/>
      <c r="I545" s="264"/>
      <c r="J545" s="264"/>
      <c r="K545" s="264"/>
      <c r="L545" s="264"/>
      <c r="M545" s="264"/>
      <c r="N545" s="264"/>
      <c r="O545" s="264"/>
      <c r="P545" s="264"/>
      <c r="Q545" s="264"/>
      <c r="R545" s="264"/>
      <c r="S545" s="264"/>
      <c r="T545" s="264"/>
      <c r="U545" s="264"/>
      <c r="V545" s="264"/>
      <c r="W545" s="264"/>
      <c r="X545" s="264"/>
    </row>
    <row r="546">
      <c r="A546" s="264"/>
      <c r="B546" s="264"/>
      <c r="C546" s="264"/>
      <c r="D546" s="264"/>
      <c r="E546" s="264"/>
      <c r="F546" s="264"/>
      <c r="G546" s="264"/>
      <c r="H546" s="264"/>
      <c r="I546" s="264"/>
      <c r="J546" s="264"/>
      <c r="K546" s="264"/>
      <c r="L546" s="264"/>
      <c r="M546" s="264"/>
      <c r="N546" s="264"/>
      <c r="O546" s="264"/>
      <c r="P546" s="264"/>
      <c r="Q546" s="264"/>
      <c r="R546" s="264"/>
      <c r="S546" s="264"/>
      <c r="T546" s="264"/>
      <c r="U546" s="264"/>
      <c r="V546" s="264"/>
      <c r="W546" s="264"/>
      <c r="X546" s="264"/>
    </row>
    <row r="547">
      <c r="A547" s="264"/>
      <c r="B547" s="264"/>
      <c r="C547" s="264"/>
      <c r="D547" s="264"/>
      <c r="E547" s="264"/>
      <c r="F547" s="264"/>
      <c r="G547" s="264"/>
      <c r="H547" s="264"/>
      <c r="I547" s="264"/>
      <c r="J547" s="264"/>
      <c r="K547" s="264"/>
      <c r="L547" s="264"/>
      <c r="M547" s="264"/>
      <c r="N547" s="264"/>
      <c r="O547" s="264"/>
      <c r="P547" s="264"/>
      <c r="Q547" s="264"/>
      <c r="R547" s="264"/>
      <c r="S547" s="264"/>
      <c r="T547" s="264"/>
      <c r="U547" s="264"/>
      <c r="V547" s="264"/>
      <c r="W547" s="264"/>
      <c r="X547" s="264"/>
    </row>
    <row r="548">
      <c r="A548" s="264"/>
      <c r="B548" s="264"/>
      <c r="C548" s="264"/>
      <c r="D548" s="264"/>
      <c r="E548" s="264"/>
      <c r="F548" s="264"/>
      <c r="G548" s="264"/>
      <c r="H548" s="264"/>
      <c r="I548" s="264"/>
      <c r="J548" s="264"/>
      <c r="K548" s="264"/>
      <c r="L548" s="264"/>
      <c r="M548" s="264"/>
      <c r="N548" s="264"/>
      <c r="O548" s="264"/>
      <c r="P548" s="264"/>
      <c r="Q548" s="264"/>
      <c r="R548" s="264"/>
      <c r="S548" s="264"/>
      <c r="T548" s="264"/>
      <c r="U548" s="264"/>
      <c r="V548" s="264"/>
      <c r="W548" s="264"/>
      <c r="X548" s="264"/>
    </row>
    <row r="549">
      <c r="A549" s="264"/>
      <c r="B549" s="264"/>
      <c r="C549" s="264"/>
      <c r="D549" s="264"/>
      <c r="E549" s="264"/>
      <c r="F549" s="264"/>
      <c r="G549" s="264"/>
      <c r="H549" s="264"/>
      <c r="I549" s="264"/>
      <c r="J549" s="264"/>
      <c r="K549" s="264"/>
      <c r="L549" s="264"/>
      <c r="M549" s="264"/>
      <c r="N549" s="264"/>
      <c r="O549" s="264"/>
      <c r="P549" s="264"/>
      <c r="Q549" s="264"/>
      <c r="R549" s="264"/>
      <c r="S549" s="264"/>
      <c r="T549" s="264"/>
      <c r="U549" s="264"/>
      <c r="V549" s="264"/>
      <c r="W549" s="264"/>
      <c r="X549" s="264"/>
    </row>
    <row r="550">
      <c r="A550" s="264"/>
      <c r="B550" s="264"/>
      <c r="C550" s="264"/>
      <c r="D550" s="264"/>
      <c r="E550" s="264"/>
      <c r="F550" s="264"/>
      <c r="G550" s="264"/>
      <c r="H550" s="264"/>
      <c r="I550" s="264"/>
      <c r="J550" s="264"/>
      <c r="K550" s="264"/>
      <c r="L550" s="264"/>
      <c r="M550" s="264"/>
      <c r="N550" s="264"/>
      <c r="O550" s="264"/>
      <c r="P550" s="264"/>
      <c r="Q550" s="264"/>
      <c r="R550" s="264"/>
      <c r="S550" s="264"/>
      <c r="T550" s="264"/>
      <c r="U550" s="264"/>
      <c r="V550" s="264"/>
      <c r="W550" s="264"/>
      <c r="X550" s="264"/>
    </row>
    <row r="551">
      <c r="A551" s="264"/>
      <c r="B551" s="264"/>
      <c r="C551" s="264"/>
      <c r="D551" s="264"/>
      <c r="E551" s="264"/>
      <c r="F551" s="264"/>
      <c r="G551" s="264"/>
      <c r="H551" s="264"/>
      <c r="I551" s="264"/>
      <c r="J551" s="264"/>
      <c r="K551" s="264"/>
      <c r="L551" s="264"/>
      <c r="M551" s="264"/>
      <c r="N551" s="264"/>
      <c r="O551" s="264"/>
      <c r="P551" s="264"/>
      <c r="Q551" s="264"/>
      <c r="R551" s="264"/>
      <c r="S551" s="264"/>
      <c r="T551" s="264"/>
      <c r="U551" s="264"/>
      <c r="V551" s="264"/>
      <c r="W551" s="264"/>
      <c r="X551" s="264"/>
    </row>
    <row r="552">
      <c r="A552" s="264"/>
      <c r="B552" s="264"/>
      <c r="C552" s="264"/>
      <c r="D552" s="264"/>
      <c r="E552" s="264"/>
      <c r="F552" s="264"/>
      <c r="G552" s="264"/>
      <c r="H552" s="264"/>
      <c r="I552" s="264"/>
      <c r="J552" s="264"/>
      <c r="K552" s="264"/>
      <c r="L552" s="264"/>
      <c r="M552" s="264"/>
      <c r="N552" s="264"/>
      <c r="O552" s="264"/>
      <c r="P552" s="264"/>
      <c r="Q552" s="264"/>
      <c r="R552" s="264"/>
      <c r="S552" s="264"/>
      <c r="T552" s="264"/>
      <c r="U552" s="264"/>
      <c r="V552" s="264"/>
      <c r="W552" s="264"/>
      <c r="X552" s="264"/>
    </row>
    <row r="553">
      <c r="A553" s="264"/>
      <c r="B553" s="264"/>
      <c r="C553" s="264"/>
      <c r="D553" s="264"/>
      <c r="E553" s="264"/>
      <c r="F553" s="264"/>
      <c r="G553" s="264"/>
      <c r="H553" s="264"/>
      <c r="I553" s="264"/>
      <c r="J553" s="264"/>
      <c r="K553" s="264"/>
      <c r="L553" s="264"/>
      <c r="M553" s="264"/>
      <c r="N553" s="264"/>
      <c r="O553" s="264"/>
      <c r="P553" s="264"/>
      <c r="Q553" s="264"/>
      <c r="R553" s="264"/>
      <c r="S553" s="264"/>
      <c r="T553" s="264"/>
      <c r="U553" s="264"/>
      <c r="V553" s="264"/>
      <c r="W553" s="264"/>
      <c r="X553" s="264"/>
    </row>
    <row r="554">
      <c r="A554" s="264"/>
      <c r="B554" s="264"/>
      <c r="C554" s="264"/>
      <c r="D554" s="264"/>
      <c r="E554" s="264"/>
      <c r="F554" s="264"/>
      <c r="G554" s="264"/>
      <c r="H554" s="264"/>
      <c r="I554" s="264"/>
      <c r="J554" s="264"/>
      <c r="K554" s="264"/>
      <c r="L554" s="264"/>
      <c r="M554" s="264"/>
      <c r="N554" s="264"/>
      <c r="O554" s="264"/>
      <c r="P554" s="264"/>
      <c r="Q554" s="264"/>
      <c r="R554" s="264"/>
      <c r="S554" s="264"/>
      <c r="T554" s="264"/>
      <c r="U554" s="264"/>
      <c r="V554" s="264"/>
      <c r="W554" s="264"/>
      <c r="X554" s="264"/>
    </row>
    <row r="555">
      <c r="A555" s="264"/>
      <c r="B555" s="264"/>
      <c r="C555" s="264"/>
      <c r="D555" s="264"/>
      <c r="E555" s="264"/>
      <c r="F555" s="264"/>
      <c r="G555" s="264"/>
      <c r="H555" s="264"/>
      <c r="I555" s="264"/>
      <c r="J555" s="264"/>
      <c r="K555" s="264"/>
      <c r="L555" s="264"/>
      <c r="M555" s="264"/>
      <c r="N555" s="264"/>
      <c r="O555" s="264"/>
      <c r="P555" s="264"/>
      <c r="Q555" s="264"/>
      <c r="R555" s="264"/>
      <c r="S555" s="264"/>
      <c r="T555" s="264"/>
      <c r="U555" s="264"/>
      <c r="V555" s="264"/>
      <c r="W555" s="264"/>
      <c r="X555" s="264"/>
    </row>
    <row r="556">
      <c r="A556" s="264"/>
      <c r="B556" s="264"/>
      <c r="C556" s="264"/>
      <c r="D556" s="264"/>
      <c r="E556" s="264"/>
      <c r="F556" s="264"/>
      <c r="G556" s="264"/>
      <c r="H556" s="264"/>
      <c r="I556" s="264"/>
      <c r="J556" s="264"/>
      <c r="K556" s="264"/>
      <c r="L556" s="264"/>
      <c r="M556" s="264"/>
      <c r="N556" s="264"/>
      <c r="O556" s="264"/>
      <c r="P556" s="264"/>
      <c r="Q556" s="264"/>
      <c r="R556" s="264"/>
      <c r="S556" s="264"/>
      <c r="T556" s="264"/>
      <c r="U556" s="264"/>
      <c r="V556" s="264"/>
      <c r="W556" s="264"/>
      <c r="X556" s="264"/>
    </row>
    <row r="557">
      <c r="A557" s="264"/>
      <c r="B557" s="264"/>
      <c r="C557" s="264"/>
      <c r="D557" s="264"/>
      <c r="E557" s="264"/>
      <c r="F557" s="264"/>
      <c r="G557" s="264"/>
      <c r="H557" s="264"/>
      <c r="I557" s="264"/>
      <c r="J557" s="264"/>
      <c r="K557" s="264"/>
      <c r="L557" s="264"/>
      <c r="M557" s="264"/>
      <c r="N557" s="264"/>
      <c r="O557" s="264"/>
      <c r="P557" s="264"/>
      <c r="Q557" s="264"/>
      <c r="R557" s="264"/>
      <c r="S557" s="264"/>
      <c r="T557" s="264"/>
      <c r="U557" s="264"/>
      <c r="V557" s="264"/>
      <c r="W557" s="264"/>
      <c r="X557" s="264"/>
    </row>
    <row r="558">
      <c r="A558" s="264"/>
      <c r="B558" s="264"/>
      <c r="C558" s="264"/>
      <c r="D558" s="264"/>
      <c r="E558" s="264"/>
      <c r="F558" s="264"/>
      <c r="G558" s="264"/>
      <c r="H558" s="264"/>
      <c r="I558" s="264"/>
      <c r="J558" s="264"/>
      <c r="K558" s="264"/>
      <c r="L558" s="264"/>
      <c r="M558" s="264"/>
      <c r="N558" s="264"/>
      <c r="O558" s="264"/>
      <c r="P558" s="264"/>
      <c r="Q558" s="264"/>
      <c r="R558" s="264"/>
      <c r="S558" s="264"/>
      <c r="T558" s="264"/>
      <c r="U558" s="264"/>
      <c r="V558" s="264"/>
      <c r="W558" s="264"/>
      <c r="X558" s="264"/>
    </row>
    <row r="559">
      <c r="A559" s="264"/>
      <c r="B559" s="264"/>
      <c r="C559" s="264"/>
      <c r="D559" s="264"/>
      <c r="E559" s="264"/>
      <c r="F559" s="264"/>
      <c r="G559" s="264"/>
      <c r="H559" s="264"/>
      <c r="I559" s="264"/>
      <c r="J559" s="264"/>
      <c r="K559" s="264"/>
      <c r="L559" s="264"/>
      <c r="M559" s="264"/>
      <c r="N559" s="264"/>
      <c r="O559" s="264"/>
      <c r="P559" s="264"/>
      <c r="Q559" s="264"/>
      <c r="R559" s="264"/>
      <c r="S559" s="264"/>
      <c r="T559" s="264"/>
      <c r="U559" s="264"/>
      <c r="V559" s="264"/>
      <c r="W559" s="264"/>
      <c r="X559" s="264"/>
    </row>
    <row r="560">
      <c r="A560" s="264"/>
      <c r="B560" s="264"/>
      <c r="C560" s="264"/>
      <c r="D560" s="264"/>
      <c r="E560" s="264"/>
      <c r="F560" s="264"/>
      <c r="G560" s="264"/>
      <c r="H560" s="264"/>
      <c r="I560" s="264"/>
      <c r="J560" s="264"/>
      <c r="K560" s="264"/>
      <c r="L560" s="264"/>
      <c r="M560" s="264"/>
      <c r="N560" s="264"/>
      <c r="O560" s="264"/>
      <c r="P560" s="264"/>
      <c r="Q560" s="264"/>
      <c r="R560" s="264"/>
      <c r="S560" s="264"/>
      <c r="T560" s="264"/>
      <c r="U560" s="264"/>
      <c r="V560" s="264"/>
      <c r="W560" s="264"/>
      <c r="X560" s="264"/>
    </row>
    <row r="561">
      <c r="A561" s="264"/>
      <c r="B561" s="264"/>
      <c r="C561" s="264"/>
      <c r="D561" s="264"/>
      <c r="E561" s="264"/>
      <c r="F561" s="264"/>
      <c r="G561" s="264"/>
      <c r="H561" s="264"/>
      <c r="I561" s="264"/>
      <c r="J561" s="264"/>
      <c r="K561" s="264"/>
      <c r="L561" s="264"/>
      <c r="M561" s="264"/>
      <c r="N561" s="264"/>
      <c r="O561" s="264"/>
      <c r="P561" s="264"/>
      <c r="Q561" s="264"/>
      <c r="R561" s="264"/>
      <c r="S561" s="264"/>
      <c r="T561" s="264"/>
      <c r="U561" s="264"/>
      <c r="V561" s="264"/>
      <c r="W561" s="264"/>
      <c r="X561" s="264"/>
    </row>
    <row r="562">
      <c r="A562" s="264"/>
      <c r="B562" s="264"/>
      <c r="C562" s="264"/>
      <c r="D562" s="264"/>
      <c r="E562" s="264"/>
      <c r="F562" s="264"/>
      <c r="G562" s="264"/>
      <c r="H562" s="264"/>
      <c r="I562" s="264"/>
      <c r="J562" s="264"/>
      <c r="K562" s="264"/>
      <c r="L562" s="264"/>
      <c r="M562" s="264"/>
      <c r="N562" s="264"/>
      <c r="O562" s="264"/>
      <c r="P562" s="264"/>
      <c r="Q562" s="264"/>
      <c r="R562" s="264"/>
      <c r="S562" s="264"/>
      <c r="T562" s="264"/>
      <c r="U562" s="264"/>
      <c r="V562" s="264"/>
      <c r="W562" s="264"/>
      <c r="X562" s="264"/>
    </row>
    <row r="563">
      <c r="A563" s="264"/>
      <c r="B563" s="264"/>
      <c r="C563" s="264"/>
      <c r="D563" s="264"/>
      <c r="E563" s="264"/>
      <c r="F563" s="264"/>
      <c r="G563" s="264"/>
      <c r="H563" s="264"/>
      <c r="I563" s="264"/>
      <c r="J563" s="264"/>
      <c r="K563" s="264"/>
      <c r="L563" s="264"/>
      <c r="M563" s="264"/>
      <c r="N563" s="264"/>
      <c r="O563" s="264"/>
      <c r="P563" s="264"/>
      <c r="Q563" s="264"/>
      <c r="R563" s="264"/>
      <c r="S563" s="264"/>
      <c r="T563" s="264"/>
      <c r="U563" s="264"/>
      <c r="V563" s="264"/>
      <c r="W563" s="264"/>
      <c r="X563" s="264"/>
    </row>
    <row r="564">
      <c r="A564" s="264"/>
      <c r="B564" s="264"/>
      <c r="C564" s="264"/>
      <c r="D564" s="264"/>
      <c r="E564" s="264"/>
      <c r="F564" s="264"/>
      <c r="G564" s="264"/>
      <c r="H564" s="264"/>
      <c r="I564" s="264"/>
      <c r="J564" s="264"/>
      <c r="K564" s="264"/>
      <c r="L564" s="264"/>
      <c r="M564" s="264"/>
      <c r="N564" s="264"/>
      <c r="O564" s="264"/>
      <c r="P564" s="264"/>
      <c r="Q564" s="264"/>
      <c r="R564" s="264"/>
      <c r="S564" s="264"/>
      <c r="T564" s="264"/>
      <c r="U564" s="264"/>
      <c r="V564" s="264"/>
      <c r="W564" s="264"/>
      <c r="X564" s="264"/>
    </row>
    <row r="565">
      <c r="A565" s="264"/>
      <c r="B565" s="264"/>
      <c r="C565" s="264"/>
      <c r="D565" s="264"/>
      <c r="E565" s="264"/>
      <c r="F565" s="264"/>
      <c r="G565" s="264"/>
      <c r="H565" s="264"/>
      <c r="I565" s="264"/>
      <c r="J565" s="264"/>
      <c r="K565" s="264"/>
      <c r="L565" s="264"/>
      <c r="M565" s="264"/>
      <c r="N565" s="264"/>
      <c r="O565" s="264"/>
      <c r="P565" s="264"/>
      <c r="Q565" s="264"/>
      <c r="R565" s="264"/>
      <c r="S565" s="264"/>
      <c r="T565" s="264"/>
      <c r="U565" s="264"/>
      <c r="V565" s="264"/>
      <c r="W565" s="264"/>
      <c r="X565" s="264"/>
    </row>
    <row r="566">
      <c r="A566" s="264"/>
      <c r="B566" s="264"/>
      <c r="C566" s="264"/>
      <c r="D566" s="264"/>
      <c r="E566" s="264"/>
      <c r="F566" s="264"/>
      <c r="G566" s="264"/>
      <c r="H566" s="264"/>
      <c r="I566" s="264"/>
      <c r="J566" s="264"/>
      <c r="K566" s="264"/>
      <c r="L566" s="264"/>
      <c r="M566" s="264"/>
      <c r="N566" s="264"/>
      <c r="O566" s="264"/>
      <c r="P566" s="264"/>
      <c r="Q566" s="264"/>
      <c r="R566" s="264"/>
      <c r="S566" s="264"/>
      <c r="T566" s="264"/>
      <c r="U566" s="264"/>
      <c r="V566" s="264"/>
      <c r="W566" s="264"/>
      <c r="X566" s="264"/>
    </row>
    <row r="567">
      <c r="A567" s="264"/>
      <c r="B567" s="264"/>
      <c r="C567" s="264"/>
      <c r="D567" s="264"/>
      <c r="E567" s="264"/>
      <c r="F567" s="264"/>
      <c r="G567" s="264"/>
      <c r="H567" s="264"/>
      <c r="I567" s="264"/>
      <c r="J567" s="264"/>
      <c r="K567" s="264"/>
      <c r="L567" s="264"/>
      <c r="M567" s="264"/>
      <c r="N567" s="264"/>
      <c r="O567" s="264"/>
      <c r="P567" s="264"/>
      <c r="Q567" s="264"/>
      <c r="R567" s="264"/>
      <c r="S567" s="264"/>
      <c r="T567" s="264"/>
      <c r="U567" s="264"/>
      <c r="V567" s="264"/>
      <c r="W567" s="264"/>
      <c r="X567" s="264"/>
    </row>
    <row r="568">
      <c r="A568" s="264"/>
      <c r="B568" s="264"/>
      <c r="C568" s="264"/>
      <c r="D568" s="264"/>
      <c r="E568" s="264"/>
      <c r="F568" s="264"/>
      <c r="G568" s="264"/>
      <c r="H568" s="264"/>
      <c r="I568" s="264"/>
      <c r="J568" s="264"/>
      <c r="K568" s="264"/>
      <c r="L568" s="264"/>
      <c r="M568" s="264"/>
      <c r="N568" s="264"/>
      <c r="O568" s="264"/>
      <c r="P568" s="264"/>
      <c r="Q568" s="264"/>
      <c r="R568" s="264"/>
      <c r="S568" s="264"/>
      <c r="T568" s="264"/>
      <c r="U568" s="264"/>
      <c r="V568" s="264"/>
      <c r="W568" s="264"/>
      <c r="X568" s="264"/>
    </row>
    <row r="569">
      <c r="A569" s="264"/>
      <c r="B569" s="264"/>
      <c r="C569" s="264"/>
      <c r="D569" s="264"/>
      <c r="E569" s="264"/>
      <c r="F569" s="264"/>
      <c r="G569" s="264"/>
      <c r="H569" s="264"/>
      <c r="I569" s="264"/>
      <c r="J569" s="264"/>
      <c r="K569" s="264"/>
      <c r="L569" s="264"/>
      <c r="M569" s="264"/>
      <c r="N569" s="264"/>
      <c r="O569" s="264"/>
      <c r="P569" s="264"/>
      <c r="Q569" s="264"/>
      <c r="R569" s="264"/>
      <c r="S569" s="264"/>
      <c r="T569" s="264"/>
      <c r="U569" s="264"/>
      <c r="V569" s="264"/>
      <c r="W569" s="264"/>
      <c r="X569" s="264"/>
    </row>
    <row r="570">
      <c r="A570" s="264"/>
      <c r="B570" s="264"/>
      <c r="C570" s="264"/>
      <c r="D570" s="264"/>
      <c r="E570" s="264"/>
      <c r="F570" s="264"/>
      <c r="G570" s="264"/>
      <c r="H570" s="264"/>
      <c r="I570" s="264"/>
      <c r="J570" s="264"/>
      <c r="K570" s="264"/>
      <c r="L570" s="264"/>
      <c r="M570" s="264"/>
      <c r="N570" s="264"/>
      <c r="O570" s="264"/>
      <c r="P570" s="264"/>
      <c r="Q570" s="264"/>
      <c r="R570" s="264"/>
      <c r="S570" s="264"/>
      <c r="T570" s="264"/>
      <c r="U570" s="264"/>
      <c r="V570" s="264"/>
      <c r="W570" s="264"/>
      <c r="X570" s="264"/>
    </row>
    <row r="571">
      <c r="A571" s="264"/>
      <c r="B571" s="264"/>
      <c r="C571" s="264"/>
      <c r="D571" s="264"/>
      <c r="E571" s="264"/>
      <c r="F571" s="264"/>
      <c r="G571" s="264"/>
      <c r="H571" s="264"/>
      <c r="I571" s="264"/>
      <c r="J571" s="264"/>
      <c r="K571" s="264"/>
      <c r="L571" s="264"/>
      <c r="M571" s="264"/>
      <c r="N571" s="264"/>
      <c r="O571" s="264"/>
      <c r="P571" s="264"/>
      <c r="Q571" s="264"/>
      <c r="R571" s="264"/>
      <c r="S571" s="264"/>
      <c r="T571" s="264"/>
      <c r="U571" s="264"/>
      <c r="V571" s="264"/>
      <c r="W571" s="264"/>
      <c r="X571" s="264"/>
    </row>
    <row r="572">
      <c r="A572" s="264"/>
      <c r="B572" s="264"/>
      <c r="C572" s="264"/>
      <c r="D572" s="264"/>
      <c r="E572" s="264"/>
      <c r="F572" s="264"/>
      <c r="G572" s="264"/>
      <c r="H572" s="264"/>
      <c r="I572" s="264"/>
      <c r="J572" s="264"/>
      <c r="K572" s="264"/>
      <c r="L572" s="264"/>
      <c r="M572" s="264"/>
      <c r="N572" s="264"/>
      <c r="O572" s="264"/>
      <c r="P572" s="264"/>
      <c r="Q572" s="264"/>
      <c r="R572" s="264"/>
      <c r="S572" s="264"/>
      <c r="T572" s="264"/>
      <c r="U572" s="264"/>
      <c r="V572" s="264"/>
      <c r="W572" s="264"/>
      <c r="X572" s="264"/>
    </row>
    <row r="573">
      <c r="A573" s="264"/>
      <c r="B573" s="264"/>
      <c r="C573" s="264"/>
      <c r="D573" s="264"/>
      <c r="E573" s="264"/>
      <c r="F573" s="264"/>
      <c r="G573" s="264"/>
      <c r="H573" s="264"/>
      <c r="I573" s="264"/>
      <c r="J573" s="264"/>
      <c r="K573" s="264"/>
      <c r="L573" s="264"/>
      <c r="M573" s="264"/>
      <c r="N573" s="264"/>
      <c r="O573" s="264"/>
      <c r="P573" s="264"/>
      <c r="Q573" s="264"/>
      <c r="R573" s="264"/>
      <c r="S573" s="264"/>
      <c r="T573" s="264"/>
      <c r="U573" s="264"/>
      <c r="V573" s="264"/>
      <c r="W573" s="264"/>
      <c r="X573" s="264"/>
    </row>
    <row r="574">
      <c r="A574" s="264"/>
      <c r="B574" s="264"/>
      <c r="C574" s="264"/>
      <c r="D574" s="264"/>
      <c r="E574" s="264"/>
      <c r="F574" s="264"/>
      <c r="G574" s="264"/>
      <c r="H574" s="264"/>
      <c r="I574" s="264"/>
      <c r="J574" s="264"/>
      <c r="K574" s="264"/>
      <c r="L574" s="264"/>
      <c r="M574" s="264"/>
      <c r="N574" s="264"/>
      <c r="O574" s="264"/>
      <c r="P574" s="264"/>
      <c r="Q574" s="264"/>
      <c r="R574" s="264"/>
      <c r="S574" s="264"/>
      <c r="T574" s="264"/>
      <c r="U574" s="264"/>
      <c r="V574" s="264"/>
      <c r="W574" s="264"/>
      <c r="X574" s="264"/>
    </row>
    <row r="575">
      <c r="A575" s="264"/>
      <c r="B575" s="264"/>
      <c r="C575" s="264"/>
      <c r="D575" s="264"/>
      <c r="E575" s="264"/>
      <c r="F575" s="264"/>
      <c r="G575" s="264"/>
      <c r="H575" s="264"/>
      <c r="I575" s="264"/>
      <c r="J575" s="264"/>
      <c r="K575" s="264"/>
      <c r="L575" s="264"/>
      <c r="M575" s="264"/>
      <c r="N575" s="264"/>
      <c r="O575" s="264"/>
      <c r="P575" s="264"/>
      <c r="Q575" s="264"/>
      <c r="R575" s="264"/>
      <c r="S575" s="264"/>
      <c r="T575" s="264"/>
      <c r="U575" s="264"/>
      <c r="V575" s="264"/>
      <c r="W575" s="264"/>
      <c r="X575" s="264"/>
    </row>
    <row r="576">
      <c r="A576" s="264"/>
      <c r="B576" s="264"/>
      <c r="C576" s="264"/>
      <c r="D576" s="264"/>
      <c r="E576" s="264"/>
      <c r="F576" s="264"/>
      <c r="G576" s="264"/>
      <c r="H576" s="264"/>
      <c r="I576" s="264"/>
      <c r="J576" s="264"/>
      <c r="K576" s="264"/>
      <c r="L576" s="264"/>
      <c r="M576" s="264"/>
      <c r="N576" s="264"/>
      <c r="O576" s="264"/>
      <c r="P576" s="264"/>
      <c r="Q576" s="264"/>
      <c r="R576" s="264"/>
      <c r="S576" s="264"/>
      <c r="T576" s="264"/>
      <c r="U576" s="264"/>
      <c r="V576" s="264"/>
      <c r="W576" s="264"/>
      <c r="X576" s="264"/>
    </row>
    <row r="577">
      <c r="A577" s="264"/>
      <c r="B577" s="264"/>
      <c r="C577" s="264"/>
      <c r="D577" s="264"/>
      <c r="E577" s="264"/>
      <c r="F577" s="264"/>
      <c r="G577" s="264"/>
      <c r="H577" s="264"/>
      <c r="I577" s="264"/>
      <c r="J577" s="264"/>
      <c r="K577" s="264"/>
      <c r="L577" s="264"/>
      <c r="M577" s="264"/>
      <c r="N577" s="264"/>
      <c r="O577" s="264"/>
      <c r="P577" s="264"/>
      <c r="Q577" s="264"/>
      <c r="R577" s="264"/>
      <c r="S577" s="264"/>
      <c r="T577" s="264"/>
      <c r="U577" s="264"/>
      <c r="V577" s="264"/>
      <c r="W577" s="264"/>
      <c r="X577" s="264"/>
    </row>
    <row r="578">
      <c r="A578" s="264"/>
      <c r="B578" s="264"/>
      <c r="C578" s="264"/>
      <c r="D578" s="264"/>
      <c r="E578" s="264"/>
      <c r="F578" s="264"/>
      <c r="G578" s="264"/>
      <c r="H578" s="264"/>
      <c r="I578" s="264"/>
      <c r="J578" s="264"/>
      <c r="K578" s="264"/>
      <c r="L578" s="264"/>
      <c r="M578" s="264"/>
      <c r="N578" s="264"/>
      <c r="O578" s="264"/>
      <c r="P578" s="264"/>
      <c r="Q578" s="264"/>
      <c r="R578" s="264"/>
      <c r="S578" s="264"/>
      <c r="T578" s="264"/>
      <c r="U578" s="264"/>
      <c r="V578" s="264"/>
      <c r="W578" s="264"/>
      <c r="X578" s="264"/>
    </row>
    <row r="579">
      <c r="A579" s="264"/>
      <c r="B579" s="264"/>
      <c r="C579" s="264"/>
      <c r="D579" s="264"/>
      <c r="E579" s="264"/>
      <c r="F579" s="264"/>
      <c r="G579" s="264"/>
      <c r="H579" s="264"/>
      <c r="I579" s="264"/>
      <c r="J579" s="264"/>
      <c r="K579" s="264"/>
      <c r="L579" s="264"/>
      <c r="M579" s="264"/>
      <c r="N579" s="264"/>
      <c r="O579" s="264"/>
      <c r="P579" s="264"/>
      <c r="Q579" s="264"/>
      <c r="R579" s="264"/>
      <c r="S579" s="264"/>
      <c r="T579" s="264"/>
      <c r="U579" s="264"/>
      <c r="V579" s="264"/>
      <c r="W579" s="264"/>
      <c r="X579" s="264"/>
    </row>
    <row r="580">
      <c r="A580" s="264"/>
      <c r="B580" s="264"/>
      <c r="C580" s="264"/>
      <c r="D580" s="264"/>
      <c r="E580" s="264"/>
      <c r="F580" s="264"/>
      <c r="G580" s="264"/>
      <c r="H580" s="264"/>
      <c r="I580" s="264"/>
      <c r="J580" s="264"/>
      <c r="K580" s="264"/>
      <c r="L580" s="264"/>
      <c r="M580" s="264"/>
      <c r="N580" s="264"/>
      <c r="O580" s="264"/>
      <c r="P580" s="264"/>
      <c r="Q580" s="264"/>
      <c r="R580" s="264"/>
      <c r="S580" s="264"/>
      <c r="T580" s="264"/>
      <c r="U580" s="264"/>
      <c r="V580" s="264"/>
      <c r="W580" s="264"/>
      <c r="X580" s="264"/>
    </row>
    <row r="581">
      <c r="A581" s="264"/>
      <c r="B581" s="264"/>
      <c r="C581" s="264"/>
      <c r="D581" s="264"/>
      <c r="E581" s="264"/>
      <c r="F581" s="264"/>
      <c r="G581" s="264"/>
      <c r="H581" s="264"/>
      <c r="I581" s="264"/>
      <c r="J581" s="264"/>
      <c r="K581" s="264"/>
      <c r="L581" s="264"/>
      <c r="M581" s="264"/>
      <c r="N581" s="264"/>
      <c r="O581" s="264"/>
      <c r="P581" s="264"/>
      <c r="Q581" s="264"/>
      <c r="R581" s="264"/>
      <c r="S581" s="264"/>
      <c r="T581" s="264"/>
      <c r="U581" s="264"/>
      <c r="V581" s="264"/>
      <c r="W581" s="264"/>
      <c r="X581" s="264"/>
    </row>
    <row r="582">
      <c r="A582" s="264"/>
      <c r="B582" s="264"/>
      <c r="C582" s="264"/>
      <c r="D582" s="264"/>
      <c r="E582" s="264"/>
      <c r="F582" s="264"/>
      <c r="G582" s="264"/>
      <c r="H582" s="264"/>
      <c r="I582" s="264"/>
      <c r="J582" s="264"/>
      <c r="K582" s="264"/>
      <c r="L582" s="264"/>
      <c r="M582" s="264"/>
      <c r="N582" s="264"/>
      <c r="O582" s="264"/>
      <c r="P582" s="264"/>
      <c r="Q582" s="264"/>
      <c r="R582" s="264"/>
      <c r="S582" s="264"/>
      <c r="T582" s="264"/>
      <c r="U582" s="264"/>
      <c r="V582" s="264"/>
      <c r="W582" s="264"/>
      <c r="X582" s="264"/>
    </row>
    <row r="583">
      <c r="A583" s="264"/>
      <c r="B583" s="264"/>
      <c r="C583" s="264"/>
      <c r="D583" s="264"/>
      <c r="E583" s="264"/>
      <c r="F583" s="264"/>
      <c r="G583" s="264"/>
      <c r="H583" s="264"/>
      <c r="I583" s="264"/>
      <c r="J583" s="264"/>
      <c r="K583" s="264"/>
      <c r="L583" s="264"/>
      <c r="M583" s="264"/>
      <c r="N583" s="264"/>
      <c r="O583" s="264"/>
      <c r="P583" s="264"/>
      <c r="Q583" s="264"/>
      <c r="R583" s="264"/>
      <c r="S583" s="264"/>
      <c r="T583" s="264"/>
      <c r="U583" s="264"/>
      <c r="V583" s="264"/>
      <c r="W583" s="264"/>
      <c r="X583" s="264"/>
    </row>
    <row r="584">
      <c r="A584" s="264"/>
      <c r="B584" s="264"/>
      <c r="C584" s="264"/>
      <c r="D584" s="264"/>
      <c r="E584" s="264"/>
      <c r="F584" s="264"/>
      <c r="G584" s="264"/>
      <c r="H584" s="264"/>
      <c r="I584" s="264"/>
      <c r="J584" s="264"/>
      <c r="K584" s="264"/>
      <c r="L584" s="264"/>
      <c r="M584" s="264"/>
      <c r="N584" s="264"/>
      <c r="O584" s="264"/>
      <c r="P584" s="264"/>
      <c r="Q584" s="264"/>
      <c r="R584" s="264"/>
      <c r="S584" s="264"/>
      <c r="T584" s="264"/>
      <c r="U584" s="264"/>
      <c r="V584" s="264"/>
      <c r="W584" s="264"/>
      <c r="X584" s="264"/>
    </row>
    <row r="585">
      <c r="A585" s="264"/>
      <c r="B585" s="264"/>
      <c r="C585" s="264"/>
      <c r="D585" s="264"/>
      <c r="E585" s="264"/>
      <c r="F585" s="264"/>
      <c r="G585" s="264"/>
      <c r="H585" s="264"/>
      <c r="I585" s="264"/>
      <c r="J585" s="264"/>
      <c r="K585" s="264"/>
      <c r="L585" s="264"/>
      <c r="M585" s="264"/>
      <c r="N585" s="264"/>
      <c r="O585" s="264"/>
      <c r="P585" s="264"/>
      <c r="Q585" s="264"/>
      <c r="R585" s="264"/>
      <c r="S585" s="264"/>
      <c r="T585" s="264"/>
      <c r="U585" s="264"/>
      <c r="V585" s="264"/>
      <c r="W585" s="264"/>
      <c r="X585" s="264"/>
    </row>
    <row r="586">
      <c r="A586" s="264"/>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row>
    <row r="587">
      <c r="A587" s="264"/>
      <c r="B587" s="264"/>
      <c r="C587" s="264"/>
      <c r="D587" s="264"/>
      <c r="E587" s="264"/>
      <c r="F587" s="264"/>
      <c r="G587" s="264"/>
      <c r="H587" s="264"/>
      <c r="I587" s="264"/>
      <c r="J587" s="264"/>
      <c r="K587" s="264"/>
      <c r="L587" s="264"/>
      <c r="M587" s="264"/>
      <c r="N587" s="264"/>
      <c r="O587" s="264"/>
      <c r="P587" s="264"/>
      <c r="Q587" s="264"/>
      <c r="R587" s="264"/>
      <c r="S587" s="264"/>
      <c r="T587" s="264"/>
      <c r="U587" s="264"/>
      <c r="V587" s="264"/>
      <c r="W587" s="264"/>
      <c r="X587" s="264"/>
    </row>
    <row r="588">
      <c r="A588" s="264"/>
      <c r="B588" s="264"/>
      <c r="C588" s="264"/>
      <c r="D588" s="264"/>
      <c r="E588" s="264"/>
      <c r="F588" s="264"/>
      <c r="G588" s="264"/>
      <c r="H588" s="264"/>
      <c r="I588" s="264"/>
      <c r="J588" s="264"/>
      <c r="K588" s="264"/>
      <c r="L588" s="264"/>
      <c r="M588" s="264"/>
      <c r="N588" s="264"/>
      <c r="O588" s="264"/>
      <c r="P588" s="264"/>
      <c r="Q588" s="264"/>
      <c r="R588" s="264"/>
      <c r="S588" s="264"/>
      <c r="T588" s="264"/>
      <c r="U588" s="264"/>
      <c r="V588" s="264"/>
      <c r="W588" s="264"/>
      <c r="X588" s="264"/>
    </row>
    <row r="589">
      <c r="A589" s="264"/>
      <c r="B589" s="264"/>
      <c r="C589" s="264"/>
      <c r="D589" s="264"/>
      <c r="E589" s="264"/>
      <c r="F589" s="264"/>
      <c r="G589" s="264"/>
      <c r="H589" s="264"/>
      <c r="I589" s="264"/>
      <c r="J589" s="264"/>
      <c r="K589" s="264"/>
      <c r="L589" s="264"/>
      <c r="M589" s="264"/>
      <c r="N589" s="264"/>
      <c r="O589" s="264"/>
      <c r="P589" s="264"/>
      <c r="Q589" s="264"/>
      <c r="R589" s="264"/>
      <c r="S589" s="264"/>
      <c r="T589" s="264"/>
      <c r="U589" s="264"/>
      <c r="V589" s="264"/>
      <c r="W589" s="264"/>
      <c r="X589" s="264"/>
    </row>
    <row r="590">
      <c r="A590" s="264"/>
      <c r="B590" s="264"/>
      <c r="C590" s="264"/>
      <c r="D590" s="264"/>
      <c r="E590" s="264"/>
      <c r="F590" s="264"/>
      <c r="G590" s="264"/>
      <c r="H590" s="264"/>
      <c r="I590" s="264"/>
      <c r="J590" s="264"/>
      <c r="K590" s="264"/>
      <c r="L590" s="264"/>
      <c r="M590" s="264"/>
      <c r="N590" s="264"/>
      <c r="O590" s="264"/>
      <c r="P590" s="264"/>
      <c r="Q590" s="264"/>
      <c r="R590" s="264"/>
      <c r="S590" s="264"/>
      <c r="T590" s="264"/>
      <c r="U590" s="264"/>
      <c r="V590" s="264"/>
      <c r="W590" s="264"/>
      <c r="X590" s="264"/>
    </row>
    <row r="591">
      <c r="A591" s="264"/>
      <c r="B591" s="264"/>
      <c r="C591" s="264"/>
      <c r="D591" s="264"/>
      <c r="E591" s="264"/>
      <c r="F591" s="264"/>
      <c r="G591" s="264"/>
      <c r="H591" s="264"/>
      <c r="I591" s="264"/>
      <c r="J591" s="264"/>
      <c r="K591" s="264"/>
      <c r="L591" s="264"/>
      <c r="M591" s="264"/>
      <c r="N591" s="264"/>
      <c r="O591" s="264"/>
      <c r="P591" s="264"/>
      <c r="Q591" s="264"/>
      <c r="R591" s="264"/>
      <c r="S591" s="264"/>
      <c r="T591" s="264"/>
      <c r="U591" s="264"/>
      <c r="V591" s="264"/>
      <c r="W591" s="264"/>
      <c r="X591" s="264"/>
    </row>
    <row r="592">
      <c r="A592" s="264"/>
      <c r="B592" s="264"/>
      <c r="C592" s="264"/>
      <c r="D592" s="264"/>
      <c r="E592" s="264"/>
      <c r="F592" s="264"/>
      <c r="G592" s="264"/>
      <c r="H592" s="264"/>
      <c r="I592" s="264"/>
      <c r="J592" s="264"/>
      <c r="K592" s="264"/>
      <c r="L592" s="264"/>
      <c r="M592" s="264"/>
      <c r="N592" s="264"/>
      <c r="O592" s="264"/>
      <c r="P592" s="264"/>
      <c r="Q592" s="264"/>
      <c r="R592" s="264"/>
      <c r="S592" s="264"/>
      <c r="T592" s="264"/>
      <c r="U592" s="264"/>
      <c r="V592" s="264"/>
      <c r="W592" s="264"/>
      <c r="X592" s="264"/>
    </row>
    <row r="593">
      <c r="A593" s="264"/>
      <c r="B593" s="264"/>
      <c r="C593" s="264"/>
      <c r="D593" s="264"/>
      <c r="E593" s="264"/>
      <c r="F593" s="264"/>
      <c r="G593" s="264"/>
      <c r="H593" s="264"/>
      <c r="I593" s="264"/>
      <c r="J593" s="264"/>
      <c r="K593" s="264"/>
      <c r="L593" s="264"/>
      <c r="M593" s="264"/>
      <c r="N593" s="264"/>
      <c r="O593" s="264"/>
      <c r="P593" s="264"/>
      <c r="Q593" s="264"/>
      <c r="R593" s="264"/>
      <c r="S593" s="264"/>
      <c r="T593" s="264"/>
      <c r="U593" s="264"/>
      <c r="V593" s="264"/>
      <c r="W593" s="264"/>
      <c r="X593" s="264"/>
    </row>
    <row r="594">
      <c r="A594" s="264"/>
      <c r="B594" s="264"/>
      <c r="C594" s="264"/>
      <c r="D594" s="264"/>
      <c r="E594" s="264"/>
      <c r="F594" s="264"/>
      <c r="G594" s="264"/>
      <c r="H594" s="264"/>
      <c r="I594" s="264"/>
      <c r="J594" s="264"/>
      <c r="K594" s="264"/>
      <c r="L594" s="264"/>
      <c r="M594" s="264"/>
      <c r="N594" s="264"/>
      <c r="O594" s="264"/>
      <c r="P594" s="264"/>
      <c r="Q594" s="264"/>
      <c r="R594" s="264"/>
      <c r="S594" s="264"/>
      <c r="T594" s="264"/>
      <c r="U594" s="264"/>
      <c r="V594" s="264"/>
      <c r="W594" s="264"/>
      <c r="X594" s="264"/>
    </row>
    <row r="595">
      <c r="A595" s="264"/>
      <c r="B595" s="264"/>
      <c r="C595" s="264"/>
      <c r="D595" s="264"/>
      <c r="E595" s="264"/>
      <c r="F595" s="264"/>
      <c r="G595" s="264"/>
      <c r="H595" s="264"/>
      <c r="I595" s="264"/>
      <c r="J595" s="264"/>
      <c r="K595" s="264"/>
      <c r="L595" s="264"/>
      <c r="M595" s="264"/>
      <c r="N595" s="264"/>
      <c r="O595" s="264"/>
      <c r="P595" s="264"/>
      <c r="Q595" s="264"/>
      <c r="R595" s="264"/>
      <c r="S595" s="264"/>
      <c r="T595" s="264"/>
      <c r="U595" s="264"/>
      <c r="V595" s="264"/>
      <c r="W595" s="264"/>
      <c r="X595" s="264"/>
    </row>
    <row r="596">
      <c r="A596" s="264"/>
      <c r="B596" s="264"/>
      <c r="C596" s="264"/>
      <c r="D596" s="264"/>
      <c r="E596" s="264"/>
      <c r="F596" s="264"/>
      <c r="G596" s="264"/>
      <c r="H596" s="264"/>
      <c r="I596" s="264"/>
      <c r="J596" s="264"/>
      <c r="K596" s="264"/>
      <c r="L596" s="264"/>
      <c r="M596" s="264"/>
      <c r="N596" s="264"/>
      <c r="O596" s="264"/>
      <c r="P596" s="264"/>
      <c r="Q596" s="264"/>
      <c r="R596" s="264"/>
      <c r="S596" s="264"/>
      <c r="T596" s="264"/>
      <c r="U596" s="264"/>
      <c r="V596" s="264"/>
      <c r="W596" s="264"/>
      <c r="X596" s="264"/>
    </row>
    <row r="597">
      <c r="A597" s="264"/>
      <c r="B597" s="264"/>
      <c r="C597" s="264"/>
      <c r="D597" s="264"/>
      <c r="E597" s="264"/>
      <c r="F597" s="264"/>
      <c r="G597" s="264"/>
      <c r="H597" s="264"/>
      <c r="I597" s="264"/>
      <c r="J597" s="264"/>
      <c r="K597" s="264"/>
      <c r="L597" s="264"/>
      <c r="M597" s="264"/>
      <c r="N597" s="264"/>
      <c r="O597" s="264"/>
      <c r="P597" s="264"/>
      <c r="Q597" s="264"/>
      <c r="R597" s="264"/>
      <c r="S597" s="264"/>
      <c r="T597" s="264"/>
      <c r="U597" s="264"/>
      <c r="V597" s="264"/>
      <c r="W597" s="264"/>
      <c r="X597" s="264"/>
    </row>
    <row r="598">
      <c r="A598" s="264"/>
      <c r="B598" s="264"/>
      <c r="C598" s="264"/>
      <c r="D598" s="264"/>
      <c r="E598" s="264"/>
      <c r="F598" s="264"/>
      <c r="G598" s="264"/>
      <c r="H598" s="264"/>
      <c r="I598" s="264"/>
      <c r="J598" s="264"/>
      <c r="K598" s="264"/>
      <c r="L598" s="264"/>
      <c r="M598" s="264"/>
      <c r="N598" s="264"/>
      <c r="O598" s="264"/>
      <c r="P598" s="264"/>
      <c r="Q598" s="264"/>
      <c r="R598" s="264"/>
      <c r="S598" s="264"/>
      <c r="T598" s="264"/>
      <c r="U598" s="264"/>
      <c r="V598" s="264"/>
      <c r="W598" s="264"/>
      <c r="X598" s="264"/>
    </row>
    <row r="599">
      <c r="A599" s="264"/>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row>
    <row r="600">
      <c r="A600" s="264"/>
      <c r="B600" s="264"/>
      <c r="C600" s="264"/>
      <c r="D600" s="264"/>
      <c r="E600" s="264"/>
      <c r="F600" s="264"/>
      <c r="G600" s="264"/>
      <c r="H600" s="264"/>
      <c r="I600" s="264"/>
      <c r="J600" s="264"/>
      <c r="K600" s="264"/>
      <c r="L600" s="264"/>
      <c r="M600" s="264"/>
      <c r="N600" s="264"/>
      <c r="O600" s="264"/>
      <c r="P600" s="264"/>
      <c r="Q600" s="264"/>
      <c r="R600" s="264"/>
      <c r="S600" s="264"/>
      <c r="T600" s="264"/>
      <c r="U600" s="264"/>
      <c r="V600" s="264"/>
      <c r="W600" s="264"/>
      <c r="X600" s="264"/>
    </row>
    <row r="601">
      <c r="A601" s="264"/>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row>
    <row r="602">
      <c r="A602" s="264"/>
      <c r="B602" s="264"/>
      <c r="C602" s="264"/>
      <c r="D602" s="264"/>
      <c r="E602" s="264"/>
      <c r="F602" s="264"/>
      <c r="G602" s="264"/>
      <c r="H602" s="264"/>
      <c r="I602" s="264"/>
      <c r="J602" s="264"/>
      <c r="K602" s="264"/>
      <c r="L602" s="264"/>
      <c r="M602" s="264"/>
      <c r="N602" s="264"/>
      <c r="O602" s="264"/>
      <c r="P602" s="264"/>
      <c r="Q602" s="264"/>
      <c r="R602" s="264"/>
      <c r="S602" s="264"/>
      <c r="T602" s="264"/>
      <c r="U602" s="264"/>
      <c r="V602" s="264"/>
      <c r="W602" s="264"/>
      <c r="X602" s="264"/>
    </row>
    <row r="603">
      <c r="A603" s="264"/>
      <c r="B603" s="264"/>
      <c r="C603" s="264"/>
      <c r="D603" s="264"/>
      <c r="E603" s="264"/>
      <c r="F603" s="264"/>
      <c r="G603" s="264"/>
      <c r="H603" s="264"/>
      <c r="I603" s="264"/>
      <c r="J603" s="264"/>
      <c r="K603" s="264"/>
      <c r="L603" s="264"/>
      <c r="M603" s="264"/>
      <c r="N603" s="264"/>
      <c r="O603" s="264"/>
      <c r="P603" s="264"/>
      <c r="Q603" s="264"/>
      <c r="R603" s="264"/>
      <c r="S603" s="264"/>
      <c r="T603" s="264"/>
      <c r="U603" s="264"/>
      <c r="V603" s="264"/>
      <c r="W603" s="264"/>
      <c r="X603" s="264"/>
    </row>
    <row r="604">
      <c r="A604" s="264"/>
      <c r="B604" s="264"/>
      <c r="C604" s="264"/>
      <c r="D604" s="264"/>
      <c r="E604" s="264"/>
      <c r="F604" s="264"/>
      <c r="G604" s="264"/>
      <c r="H604" s="264"/>
      <c r="I604" s="264"/>
      <c r="J604" s="264"/>
      <c r="K604" s="264"/>
      <c r="L604" s="264"/>
      <c r="M604" s="264"/>
      <c r="N604" s="264"/>
      <c r="O604" s="264"/>
      <c r="P604" s="264"/>
      <c r="Q604" s="264"/>
      <c r="R604" s="264"/>
      <c r="S604" s="264"/>
      <c r="T604" s="264"/>
      <c r="U604" s="264"/>
      <c r="V604" s="264"/>
      <c r="W604" s="264"/>
      <c r="X604" s="264"/>
    </row>
    <row r="605">
      <c r="A605" s="264"/>
      <c r="B605" s="264"/>
      <c r="C605" s="264"/>
      <c r="D605" s="264"/>
      <c r="E605" s="264"/>
      <c r="F605" s="264"/>
      <c r="G605" s="264"/>
      <c r="H605" s="264"/>
      <c r="I605" s="264"/>
      <c r="J605" s="264"/>
      <c r="K605" s="264"/>
      <c r="L605" s="264"/>
      <c r="M605" s="264"/>
      <c r="N605" s="264"/>
      <c r="O605" s="264"/>
      <c r="P605" s="264"/>
      <c r="Q605" s="264"/>
      <c r="R605" s="264"/>
      <c r="S605" s="264"/>
      <c r="T605" s="264"/>
      <c r="U605" s="264"/>
      <c r="V605" s="264"/>
      <c r="W605" s="264"/>
      <c r="X605" s="264"/>
    </row>
    <row r="606">
      <c r="A606" s="264"/>
      <c r="B606" s="264"/>
      <c r="C606" s="264"/>
      <c r="D606" s="264"/>
      <c r="E606" s="264"/>
      <c r="F606" s="264"/>
      <c r="G606" s="264"/>
      <c r="H606" s="264"/>
      <c r="I606" s="264"/>
      <c r="J606" s="264"/>
      <c r="K606" s="264"/>
      <c r="L606" s="264"/>
      <c r="M606" s="264"/>
      <c r="N606" s="264"/>
      <c r="O606" s="264"/>
      <c r="P606" s="264"/>
      <c r="Q606" s="264"/>
      <c r="R606" s="264"/>
      <c r="S606" s="264"/>
      <c r="T606" s="264"/>
      <c r="U606" s="264"/>
      <c r="V606" s="264"/>
      <c r="W606" s="264"/>
      <c r="X606" s="264"/>
    </row>
    <row r="607">
      <c r="A607" s="264"/>
      <c r="B607" s="264"/>
      <c r="C607" s="264"/>
      <c r="D607" s="264"/>
      <c r="E607" s="264"/>
      <c r="F607" s="264"/>
      <c r="G607" s="264"/>
      <c r="H607" s="264"/>
      <c r="I607" s="264"/>
      <c r="J607" s="264"/>
      <c r="K607" s="264"/>
      <c r="L607" s="264"/>
      <c r="M607" s="264"/>
      <c r="N607" s="264"/>
      <c r="O607" s="264"/>
      <c r="P607" s="264"/>
      <c r="Q607" s="264"/>
      <c r="R607" s="264"/>
      <c r="S607" s="264"/>
      <c r="T607" s="264"/>
      <c r="U607" s="264"/>
      <c r="V607" s="264"/>
      <c r="W607" s="264"/>
      <c r="X607" s="264"/>
    </row>
    <row r="608">
      <c r="A608" s="264"/>
      <c r="B608" s="264"/>
      <c r="C608" s="264"/>
      <c r="D608" s="264"/>
      <c r="E608" s="264"/>
      <c r="F608" s="264"/>
      <c r="G608" s="264"/>
      <c r="H608" s="264"/>
      <c r="I608" s="264"/>
      <c r="J608" s="264"/>
      <c r="K608" s="264"/>
      <c r="L608" s="264"/>
      <c r="M608" s="264"/>
      <c r="N608" s="264"/>
      <c r="O608" s="264"/>
      <c r="P608" s="264"/>
      <c r="Q608" s="264"/>
      <c r="R608" s="264"/>
      <c r="S608" s="264"/>
      <c r="T608" s="264"/>
      <c r="U608" s="264"/>
      <c r="V608" s="264"/>
      <c r="W608" s="264"/>
      <c r="X608" s="264"/>
    </row>
    <row r="609">
      <c r="A609" s="264"/>
      <c r="B609" s="264"/>
      <c r="C609" s="264"/>
      <c r="D609" s="264"/>
      <c r="E609" s="264"/>
      <c r="F609" s="264"/>
      <c r="G609" s="264"/>
      <c r="H609" s="264"/>
      <c r="I609" s="264"/>
      <c r="J609" s="264"/>
      <c r="K609" s="264"/>
      <c r="L609" s="264"/>
      <c r="M609" s="264"/>
      <c r="N609" s="264"/>
      <c r="O609" s="264"/>
      <c r="P609" s="264"/>
      <c r="Q609" s="264"/>
      <c r="R609" s="264"/>
      <c r="S609" s="264"/>
      <c r="T609" s="264"/>
      <c r="U609" s="264"/>
      <c r="V609" s="264"/>
      <c r="W609" s="264"/>
      <c r="X609" s="264"/>
    </row>
    <row r="610">
      <c r="A610" s="264"/>
      <c r="B610" s="264"/>
      <c r="C610" s="264"/>
      <c r="D610" s="264"/>
      <c r="E610" s="264"/>
      <c r="F610" s="264"/>
      <c r="G610" s="264"/>
      <c r="H610" s="264"/>
      <c r="I610" s="264"/>
      <c r="J610" s="264"/>
      <c r="K610" s="264"/>
      <c r="L610" s="264"/>
      <c r="M610" s="264"/>
      <c r="N610" s="264"/>
      <c r="O610" s="264"/>
      <c r="P610" s="264"/>
      <c r="Q610" s="264"/>
      <c r="R610" s="264"/>
      <c r="S610" s="264"/>
      <c r="T610" s="264"/>
      <c r="U610" s="264"/>
      <c r="V610" s="264"/>
      <c r="W610" s="264"/>
      <c r="X610" s="264"/>
    </row>
    <row r="611">
      <c r="A611" s="264"/>
      <c r="B611" s="264"/>
      <c r="C611" s="264"/>
      <c r="D611" s="264"/>
      <c r="E611" s="264"/>
      <c r="F611" s="264"/>
      <c r="G611" s="264"/>
      <c r="H611" s="264"/>
      <c r="I611" s="264"/>
      <c r="J611" s="264"/>
      <c r="K611" s="264"/>
      <c r="L611" s="264"/>
      <c r="M611" s="264"/>
      <c r="N611" s="264"/>
      <c r="O611" s="264"/>
      <c r="P611" s="264"/>
      <c r="Q611" s="264"/>
      <c r="R611" s="264"/>
      <c r="S611" s="264"/>
      <c r="T611" s="264"/>
      <c r="U611" s="264"/>
      <c r="V611" s="264"/>
      <c r="W611" s="264"/>
      <c r="X611" s="264"/>
    </row>
    <row r="612">
      <c r="A612" s="264"/>
      <c r="B612" s="264"/>
      <c r="C612" s="264"/>
      <c r="D612" s="264"/>
      <c r="E612" s="264"/>
      <c r="F612" s="264"/>
      <c r="G612" s="264"/>
      <c r="H612" s="264"/>
      <c r="I612" s="264"/>
      <c r="J612" s="264"/>
      <c r="K612" s="264"/>
      <c r="L612" s="264"/>
      <c r="M612" s="264"/>
      <c r="N612" s="264"/>
      <c r="O612" s="264"/>
      <c r="P612" s="264"/>
      <c r="Q612" s="264"/>
      <c r="R612" s="264"/>
      <c r="S612" s="264"/>
      <c r="T612" s="264"/>
      <c r="U612" s="264"/>
      <c r="V612" s="264"/>
      <c r="W612" s="264"/>
      <c r="X612" s="264"/>
    </row>
    <row r="613">
      <c r="A613" s="264"/>
      <c r="B613" s="264"/>
      <c r="C613" s="264"/>
      <c r="D613" s="264"/>
      <c r="E613" s="264"/>
      <c r="F613" s="264"/>
      <c r="G613" s="264"/>
      <c r="H613" s="264"/>
      <c r="I613" s="264"/>
      <c r="J613" s="264"/>
      <c r="K613" s="264"/>
      <c r="L613" s="264"/>
      <c r="M613" s="264"/>
      <c r="N613" s="264"/>
      <c r="O613" s="264"/>
      <c r="P613" s="264"/>
      <c r="Q613" s="264"/>
      <c r="R613" s="264"/>
      <c r="S613" s="264"/>
      <c r="T613" s="264"/>
      <c r="U613" s="264"/>
      <c r="V613" s="264"/>
      <c r="W613" s="264"/>
      <c r="X613" s="264"/>
    </row>
    <row r="614">
      <c r="A614" s="264"/>
      <c r="B614" s="264"/>
      <c r="C614" s="264"/>
      <c r="D614" s="264"/>
      <c r="E614" s="264"/>
      <c r="F614" s="264"/>
      <c r="G614" s="264"/>
      <c r="H614" s="264"/>
      <c r="I614" s="264"/>
      <c r="J614" s="264"/>
      <c r="K614" s="264"/>
      <c r="L614" s="264"/>
      <c r="M614" s="264"/>
      <c r="N614" s="264"/>
      <c r="O614" s="264"/>
      <c r="P614" s="264"/>
      <c r="Q614" s="264"/>
      <c r="R614" s="264"/>
      <c r="S614" s="264"/>
      <c r="T614" s="264"/>
      <c r="U614" s="264"/>
      <c r="V614" s="264"/>
      <c r="W614" s="264"/>
      <c r="X614" s="264"/>
    </row>
    <row r="615">
      <c r="A615" s="264"/>
      <c r="B615" s="264"/>
      <c r="C615" s="264"/>
      <c r="D615" s="264"/>
      <c r="E615" s="264"/>
      <c r="F615" s="264"/>
      <c r="G615" s="264"/>
      <c r="H615" s="264"/>
      <c r="I615" s="264"/>
      <c r="J615" s="264"/>
      <c r="K615" s="264"/>
      <c r="L615" s="264"/>
      <c r="M615" s="264"/>
      <c r="N615" s="264"/>
      <c r="O615" s="264"/>
      <c r="P615" s="264"/>
      <c r="Q615" s="264"/>
      <c r="R615" s="264"/>
      <c r="S615" s="264"/>
      <c r="T615" s="264"/>
      <c r="U615" s="264"/>
      <c r="V615" s="264"/>
      <c r="W615" s="264"/>
      <c r="X615" s="264"/>
    </row>
    <row r="616">
      <c r="A616" s="264"/>
      <c r="B616" s="264"/>
      <c r="C616" s="264"/>
      <c r="D616" s="264"/>
      <c r="E616" s="264"/>
      <c r="F616" s="264"/>
      <c r="G616" s="264"/>
      <c r="H616" s="264"/>
      <c r="I616" s="264"/>
      <c r="J616" s="264"/>
      <c r="K616" s="264"/>
      <c r="L616" s="264"/>
      <c r="M616" s="264"/>
      <c r="N616" s="264"/>
      <c r="O616" s="264"/>
      <c r="P616" s="264"/>
      <c r="Q616" s="264"/>
      <c r="R616" s="264"/>
      <c r="S616" s="264"/>
      <c r="T616" s="264"/>
      <c r="U616" s="264"/>
      <c r="V616" s="264"/>
      <c r="W616" s="264"/>
      <c r="X616" s="264"/>
    </row>
    <row r="617">
      <c r="A617" s="264"/>
      <c r="B617" s="264"/>
      <c r="C617" s="264"/>
      <c r="D617" s="264"/>
      <c r="E617" s="264"/>
      <c r="F617" s="264"/>
      <c r="G617" s="264"/>
      <c r="H617" s="264"/>
      <c r="I617" s="264"/>
      <c r="J617" s="264"/>
      <c r="K617" s="264"/>
      <c r="L617" s="264"/>
      <c r="M617" s="264"/>
      <c r="N617" s="264"/>
      <c r="O617" s="264"/>
      <c r="P617" s="264"/>
      <c r="Q617" s="264"/>
      <c r="R617" s="264"/>
      <c r="S617" s="264"/>
      <c r="T617" s="264"/>
      <c r="U617" s="264"/>
      <c r="V617" s="264"/>
      <c r="W617" s="264"/>
      <c r="X617" s="264"/>
    </row>
    <row r="618">
      <c r="A618" s="264"/>
      <c r="B618" s="264"/>
      <c r="C618" s="264"/>
      <c r="D618" s="264"/>
      <c r="E618" s="264"/>
      <c r="F618" s="264"/>
      <c r="G618" s="264"/>
      <c r="H618" s="264"/>
      <c r="I618" s="264"/>
      <c r="J618" s="264"/>
      <c r="K618" s="264"/>
      <c r="L618" s="264"/>
      <c r="M618" s="264"/>
      <c r="N618" s="264"/>
      <c r="O618" s="264"/>
      <c r="P618" s="264"/>
      <c r="Q618" s="264"/>
      <c r="R618" s="264"/>
      <c r="S618" s="264"/>
      <c r="T618" s="264"/>
      <c r="U618" s="264"/>
      <c r="V618" s="264"/>
      <c r="W618" s="264"/>
      <c r="X618" s="264"/>
    </row>
    <row r="619">
      <c r="A619" s="264"/>
      <c r="B619" s="264"/>
      <c r="C619" s="264"/>
      <c r="D619" s="264"/>
      <c r="E619" s="264"/>
      <c r="F619" s="264"/>
      <c r="G619" s="264"/>
      <c r="H619" s="264"/>
      <c r="I619" s="264"/>
      <c r="J619" s="264"/>
      <c r="K619" s="264"/>
      <c r="L619" s="264"/>
      <c r="M619" s="264"/>
      <c r="N619" s="264"/>
      <c r="O619" s="264"/>
      <c r="P619" s="264"/>
      <c r="Q619" s="264"/>
      <c r="R619" s="264"/>
      <c r="S619" s="264"/>
      <c r="T619" s="264"/>
      <c r="U619" s="264"/>
      <c r="V619" s="264"/>
      <c r="W619" s="264"/>
      <c r="X619" s="264"/>
    </row>
    <row r="620">
      <c r="A620" s="264"/>
      <c r="B620" s="264"/>
      <c r="C620" s="264"/>
      <c r="D620" s="264"/>
      <c r="E620" s="264"/>
      <c r="F620" s="264"/>
      <c r="G620" s="264"/>
      <c r="H620" s="264"/>
      <c r="I620" s="264"/>
      <c r="J620" s="264"/>
      <c r="K620" s="264"/>
      <c r="L620" s="264"/>
      <c r="M620" s="264"/>
      <c r="N620" s="264"/>
      <c r="O620" s="264"/>
      <c r="P620" s="264"/>
      <c r="Q620" s="264"/>
      <c r="R620" s="264"/>
      <c r="S620" s="264"/>
      <c r="T620" s="264"/>
      <c r="U620" s="264"/>
      <c r="V620" s="264"/>
      <c r="W620" s="264"/>
      <c r="X620" s="264"/>
    </row>
    <row r="621">
      <c r="A621" s="264"/>
      <c r="B621" s="264"/>
      <c r="C621" s="264"/>
      <c r="D621" s="264"/>
      <c r="E621" s="264"/>
      <c r="F621" s="264"/>
      <c r="G621" s="264"/>
      <c r="H621" s="264"/>
      <c r="I621" s="264"/>
      <c r="J621" s="264"/>
      <c r="K621" s="264"/>
      <c r="L621" s="264"/>
      <c r="M621" s="264"/>
      <c r="N621" s="264"/>
      <c r="O621" s="264"/>
      <c r="P621" s="264"/>
      <c r="Q621" s="264"/>
      <c r="R621" s="264"/>
      <c r="S621" s="264"/>
      <c r="T621" s="264"/>
      <c r="U621" s="264"/>
      <c r="V621" s="264"/>
      <c r="W621" s="264"/>
      <c r="X621" s="264"/>
    </row>
    <row r="622">
      <c r="A622" s="264"/>
      <c r="B622" s="264"/>
      <c r="C622" s="264"/>
      <c r="D622" s="264"/>
      <c r="E622" s="264"/>
      <c r="F622" s="264"/>
      <c r="G622" s="264"/>
      <c r="H622" s="264"/>
      <c r="I622" s="264"/>
      <c r="J622" s="264"/>
      <c r="K622" s="264"/>
      <c r="L622" s="264"/>
      <c r="M622" s="264"/>
      <c r="N622" s="264"/>
      <c r="O622" s="264"/>
      <c r="P622" s="264"/>
      <c r="Q622" s="264"/>
      <c r="R622" s="264"/>
      <c r="S622" s="264"/>
      <c r="T622" s="264"/>
      <c r="U622" s="264"/>
      <c r="V622" s="264"/>
      <c r="W622" s="264"/>
      <c r="X622" s="264"/>
    </row>
    <row r="623">
      <c r="A623" s="264"/>
      <c r="B623" s="264"/>
      <c r="C623" s="264"/>
      <c r="D623" s="264"/>
      <c r="E623" s="264"/>
      <c r="F623" s="264"/>
      <c r="G623" s="264"/>
      <c r="H623" s="264"/>
      <c r="I623" s="264"/>
      <c r="J623" s="264"/>
      <c r="K623" s="264"/>
      <c r="L623" s="264"/>
      <c r="M623" s="264"/>
      <c r="N623" s="264"/>
      <c r="O623" s="264"/>
      <c r="P623" s="264"/>
      <c r="Q623" s="264"/>
      <c r="R623" s="264"/>
      <c r="S623" s="264"/>
      <c r="T623" s="264"/>
      <c r="U623" s="264"/>
      <c r="V623" s="264"/>
      <c r="W623" s="264"/>
      <c r="X623" s="264"/>
    </row>
    <row r="624">
      <c r="A624" s="264"/>
      <c r="B624" s="264"/>
      <c r="C624" s="264"/>
      <c r="D624" s="264"/>
      <c r="E624" s="264"/>
      <c r="F624" s="264"/>
      <c r="G624" s="264"/>
      <c r="H624" s="264"/>
      <c r="I624" s="264"/>
      <c r="J624" s="264"/>
      <c r="K624" s="264"/>
      <c r="L624" s="264"/>
      <c r="M624" s="264"/>
      <c r="N624" s="264"/>
      <c r="O624" s="264"/>
      <c r="P624" s="264"/>
      <c r="Q624" s="264"/>
      <c r="R624" s="264"/>
      <c r="S624" s="264"/>
      <c r="T624" s="264"/>
      <c r="U624" s="264"/>
      <c r="V624" s="264"/>
      <c r="W624" s="264"/>
      <c r="X624" s="264"/>
    </row>
    <row r="625">
      <c r="A625" s="264"/>
      <c r="B625" s="264"/>
      <c r="C625" s="264"/>
      <c r="D625" s="264"/>
      <c r="E625" s="264"/>
      <c r="F625" s="264"/>
      <c r="G625" s="264"/>
      <c r="H625" s="264"/>
      <c r="I625" s="264"/>
      <c r="J625" s="264"/>
      <c r="K625" s="264"/>
      <c r="L625" s="264"/>
      <c r="M625" s="264"/>
      <c r="N625" s="264"/>
      <c r="O625" s="264"/>
      <c r="P625" s="264"/>
      <c r="Q625" s="264"/>
      <c r="R625" s="264"/>
      <c r="S625" s="264"/>
      <c r="T625" s="264"/>
      <c r="U625" s="264"/>
      <c r="V625" s="264"/>
      <c r="W625" s="264"/>
      <c r="X625" s="264"/>
    </row>
    <row r="626">
      <c r="A626" s="264"/>
      <c r="B626" s="264"/>
      <c r="C626" s="264"/>
      <c r="D626" s="264"/>
      <c r="E626" s="264"/>
      <c r="F626" s="264"/>
      <c r="G626" s="264"/>
      <c r="H626" s="264"/>
      <c r="I626" s="264"/>
      <c r="J626" s="264"/>
      <c r="K626" s="264"/>
      <c r="L626" s="264"/>
      <c r="M626" s="264"/>
      <c r="N626" s="264"/>
      <c r="O626" s="264"/>
      <c r="P626" s="264"/>
      <c r="Q626" s="264"/>
      <c r="R626" s="264"/>
      <c r="S626" s="264"/>
      <c r="T626" s="264"/>
      <c r="U626" s="264"/>
      <c r="V626" s="264"/>
      <c r="W626" s="264"/>
      <c r="X626" s="264"/>
    </row>
    <row r="627">
      <c r="A627" s="264"/>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row>
    <row r="628">
      <c r="A628" s="264"/>
      <c r="B628" s="264"/>
      <c r="C628" s="264"/>
      <c r="D628" s="264"/>
      <c r="E628" s="264"/>
      <c r="F628" s="264"/>
      <c r="G628" s="264"/>
      <c r="H628" s="264"/>
      <c r="I628" s="264"/>
      <c r="J628" s="264"/>
      <c r="K628" s="264"/>
      <c r="L628" s="264"/>
      <c r="M628" s="264"/>
      <c r="N628" s="264"/>
      <c r="O628" s="264"/>
      <c r="P628" s="264"/>
      <c r="Q628" s="264"/>
      <c r="R628" s="264"/>
      <c r="S628" s="264"/>
      <c r="T628" s="264"/>
      <c r="U628" s="264"/>
      <c r="V628" s="264"/>
      <c r="W628" s="264"/>
      <c r="X628" s="264"/>
    </row>
    <row r="629">
      <c r="A629" s="264"/>
      <c r="B629" s="264"/>
      <c r="C629" s="264"/>
      <c r="D629" s="264"/>
      <c r="E629" s="264"/>
      <c r="F629" s="264"/>
      <c r="G629" s="264"/>
      <c r="H629" s="264"/>
      <c r="I629" s="264"/>
      <c r="J629" s="264"/>
      <c r="K629" s="264"/>
      <c r="L629" s="264"/>
      <c r="M629" s="264"/>
      <c r="N629" s="264"/>
      <c r="O629" s="264"/>
      <c r="P629" s="264"/>
      <c r="Q629" s="264"/>
      <c r="R629" s="264"/>
      <c r="S629" s="264"/>
      <c r="T629" s="264"/>
      <c r="U629" s="264"/>
      <c r="V629" s="264"/>
      <c r="W629" s="264"/>
      <c r="X629" s="264"/>
    </row>
    <row r="630">
      <c r="A630" s="264"/>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row>
    <row r="631">
      <c r="A631" s="264"/>
      <c r="B631" s="264"/>
      <c r="C631" s="264"/>
      <c r="D631" s="264"/>
      <c r="E631" s="264"/>
      <c r="F631" s="264"/>
      <c r="G631" s="264"/>
      <c r="H631" s="264"/>
      <c r="I631" s="264"/>
      <c r="J631" s="264"/>
      <c r="K631" s="264"/>
      <c r="L631" s="264"/>
      <c r="M631" s="264"/>
      <c r="N631" s="264"/>
      <c r="O631" s="264"/>
      <c r="P631" s="264"/>
      <c r="Q631" s="264"/>
      <c r="R631" s="264"/>
      <c r="S631" s="264"/>
      <c r="T631" s="264"/>
      <c r="U631" s="264"/>
      <c r="V631" s="264"/>
      <c r="W631" s="264"/>
      <c r="X631" s="264"/>
    </row>
    <row r="632">
      <c r="A632" s="264"/>
      <c r="B632" s="264"/>
      <c r="C632" s="264"/>
      <c r="D632" s="264"/>
      <c r="E632" s="264"/>
      <c r="F632" s="264"/>
      <c r="G632" s="264"/>
      <c r="H632" s="264"/>
      <c r="I632" s="264"/>
      <c r="J632" s="264"/>
      <c r="K632" s="264"/>
      <c r="L632" s="264"/>
      <c r="M632" s="264"/>
      <c r="N632" s="264"/>
      <c r="O632" s="264"/>
      <c r="P632" s="264"/>
      <c r="Q632" s="264"/>
      <c r="R632" s="264"/>
      <c r="S632" s="264"/>
      <c r="T632" s="264"/>
      <c r="U632" s="264"/>
      <c r="V632" s="264"/>
      <c r="W632" s="264"/>
      <c r="X632" s="264"/>
    </row>
    <row r="633">
      <c r="A633" s="264"/>
      <c r="B633" s="264"/>
      <c r="C633" s="264"/>
      <c r="D633" s="264"/>
      <c r="E633" s="264"/>
      <c r="F633" s="264"/>
      <c r="G633" s="264"/>
      <c r="H633" s="264"/>
      <c r="I633" s="264"/>
      <c r="J633" s="264"/>
      <c r="K633" s="264"/>
      <c r="L633" s="264"/>
      <c r="M633" s="264"/>
      <c r="N633" s="264"/>
      <c r="O633" s="264"/>
      <c r="P633" s="264"/>
      <c r="Q633" s="264"/>
      <c r="R633" s="264"/>
      <c r="S633" s="264"/>
      <c r="T633" s="264"/>
      <c r="U633" s="264"/>
      <c r="V633" s="264"/>
      <c r="W633" s="264"/>
      <c r="X633" s="264"/>
    </row>
    <row r="634">
      <c r="A634" s="264"/>
      <c r="B634" s="264"/>
      <c r="C634" s="264"/>
      <c r="D634" s="264"/>
      <c r="E634" s="264"/>
      <c r="F634" s="264"/>
      <c r="G634" s="264"/>
      <c r="H634" s="264"/>
      <c r="I634" s="264"/>
      <c r="J634" s="264"/>
      <c r="K634" s="264"/>
      <c r="L634" s="264"/>
      <c r="M634" s="264"/>
      <c r="N634" s="264"/>
      <c r="O634" s="264"/>
      <c r="P634" s="264"/>
      <c r="Q634" s="264"/>
      <c r="R634" s="264"/>
      <c r="S634" s="264"/>
      <c r="T634" s="264"/>
      <c r="U634" s="264"/>
      <c r="V634" s="264"/>
      <c r="W634" s="264"/>
      <c r="X634" s="264"/>
    </row>
    <row r="635">
      <c r="A635" s="264"/>
      <c r="B635" s="264"/>
      <c r="C635" s="264"/>
      <c r="D635" s="264"/>
      <c r="E635" s="264"/>
      <c r="F635" s="264"/>
      <c r="G635" s="264"/>
      <c r="H635" s="264"/>
      <c r="I635" s="264"/>
      <c r="J635" s="264"/>
      <c r="K635" s="264"/>
      <c r="L635" s="264"/>
      <c r="M635" s="264"/>
      <c r="N635" s="264"/>
      <c r="O635" s="264"/>
      <c r="P635" s="264"/>
      <c r="Q635" s="264"/>
      <c r="R635" s="264"/>
      <c r="S635" s="264"/>
      <c r="T635" s="264"/>
      <c r="U635" s="264"/>
      <c r="V635" s="264"/>
      <c r="W635" s="264"/>
      <c r="X635" s="264"/>
    </row>
    <row r="636">
      <c r="A636" s="264"/>
      <c r="B636" s="264"/>
      <c r="C636" s="264"/>
      <c r="D636" s="264"/>
      <c r="E636" s="264"/>
      <c r="F636" s="264"/>
      <c r="G636" s="264"/>
      <c r="H636" s="264"/>
      <c r="I636" s="264"/>
      <c r="J636" s="264"/>
      <c r="K636" s="264"/>
      <c r="L636" s="264"/>
      <c r="M636" s="264"/>
      <c r="N636" s="264"/>
      <c r="O636" s="264"/>
      <c r="P636" s="264"/>
      <c r="Q636" s="264"/>
      <c r="R636" s="264"/>
      <c r="S636" s="264"/>
      <c r="T636" s="264"/>
      <c r="U636" s="264"/>
      <c r="V636" s="264"/>
      <c r="W636" s="264"/>
      <c r="X636" s="264"/>
    </row>
    <row r="637">
      <c r="A637" s="264"/>
      <c r="B637" s="264"/>
      <c r="C637" s="264"/>
      <c r="D637" s="264"/>
      <c r="E637" s="264"/>
      <c r="F637" s="264"/>
      <c r="G637" s="264"/>
      <c r="H637" s="264"/>
      <c r="I637" s="264"/>
      <c r="J637" s="264"/>
      <c r="K637" s="264"/>
      <c r="L637" s="264"/>
      <c r="M637" s="264"/>
      <c r="N637" s="264"/>
      <c r="O637" s="264"/>
      <c r="P637" s="264"/>
      <c r="Q637" s="264"/>
      <c r="R637" s="264"/>
      <c r="S637" s="264"/>
      <c r="T637" s="264"/>
      <c r="U637" s="264"/>
      <c r="V637" s="264"/>
      <c r="W637" s="264"/>
      <c r="X637" s="264"/>
    </row>
    <row r="638">
      <c r="A638" s="264"/>
      <c r="B638" s="264"/>
      <c r="C638" s="264"/>
      <c r="D638" s="264"/>
      <c r="E638" s="264"/>
      <c r="F638" s="264"/>
      <c r="G638" s="264"/>
      <c r="H638" s="264"/>
      <c r="I638" s="264"/>
      <c r="J638" s="264"/>
      <c r="K638" s="264"/>
      <c r="L638" s="264"/>
      <c r="M638" s="264"/>
      <c r="N638" s="264"/>
      <c r="O638" s="264"/>
      <c r="P638" s="264"/>
      <c r="Q638" s="264"/>
      <c r="R638" s="264"/>
      <c r="S638" s="264"/>
      <c r="T638" s="264"/>
      <c r="U638" s="264"/>
      <c r="V638" s="264"/>
      <c r="W638" s="264"/>
      <c r="X638" s="264"/>
    </row>
    <row r="639">
      <c r="A639" s="264"/>
      <c r="B639" s="264"/>
      <c r="C639" s="264"/>
      <c r="D639" s="264"/>
      <c r="E639" s="264"/>
      <c r="F639" s="264"/>
      <c r="G639" s="264"/>
      <c r="H639" s="264"/>
      <c r="I639" s="264"/>
      <c r="J639" s="264"/>
      <c r="K639" s="264"/>
      <c r="L639" s="264"/>
      <c r="M639" s="264"/>
      <c r="N639" s="264"/>
      <c r="O639" s="264"/>
      <c r="P639" s="264"/>
      <c r="Q639" s="264"/>
      <c r="R639" s="264"/>
      <c r="S639" s="264"/>
      <c r="T639" s="264"/>
      <c r="U639" s="264"/>
      <c r="V639" s="264"/>
      <c r="W639" s="264"/>
      <c r="X639" s="264"/>
    </row>
    <row r="640">
      <c r="A640" s="264"/>
      <c r="B640" s="264"/>
      <c r="C640" s="264"/>
      <c r="D640" s="264"/>
      <c r="E640" s="264"/>
      <c r="F640" s="264"/>
      <c r="G640" s="264"/>
      <c r="H640" s="264"/>
      <c r="I640" s="264"/>
      <c r="J640" s="264"/>
      <c r="K640" s="264"/>
      <c r="L640" s="264"/>
      <c r="M640" s="264"/>
      <c r="N640" s="264"/>
      <c r="O640" s="264"/>
      <c r="P640" s="264"/>
      <c r="Q640" s="264"/>
      <c r="R640" s="264"/>
      <c r="S640" s="264"/>
      <c r="T640" s="264"/>
      <c r="U640" s="264"/>
      <c r="V640" s="264"/>
      <c r="W640" s="264"/>
      <c r="X640" s="264"/>
    </row>
    <row r="641">
      <c r="A641" s="264"/>
      <c r="B641" s="264"/>
      <c r="C641" s="264"/>
      <c r="D641" s="264"/>
      <c r="E641" s="264"/>
      <c r="F641" s="264"/>
      <c r="G641" s="264"/>
      <c r="H641" s="264"/>
      <c r="I641" s="264"/>
      <c r="J641" s="264"/>
      <c r="K641" s="264"/>
      <c r="L641" s="264"/>
      <c r="M641" s="264"/>
      <c r="N641" s="264"/>
      <c r="O641" s="264"/>
      <c r="P641" s="264"/>
      <c r="Q641" s="264"/>
      <c r="R641" s="264"/>
      <c r="S641" s="264"/>
      <c r="T641" s="264"/>
      <c r="U641" s="264"/>
      <c r="V641" s="264"/>
      <c r="W641" s="264"/>
      <c r="X641" s="264"/>
    </row>
    <row r="642">
      <c r="A642" s="264"/>
      <c r="B642" s="264"/>
      <c r="C642" s="264"/>
      <c r="D642" s="264"/>
      <c r="E642" s="264"/>
      <c r="F642" s="264"/>
      <c r="G642" s="264"/>
      <c r="H642" s="264"/>
      <c r="I642" s="264"/>
      <c r="J642" s="264"/>
      <c r="K642" s="264"/>
      <c r="L642" s="264"/>
      <c r="M642" s="264"/>
      <c r="N642" s="264"/>
      <c r="O642" s="264"/>
      <c r="P642" s="264"/>
      <c r="Q642" s="264"/>
      <c r="R642" s="264"/>
      <c r="S642" s="264"/>
      <c r="T642" s="264"/>
      <c r="U642" s="264"/>
      <c r="V642" s="264"/>
      <c r="W642" s="264"/>
      <c r="X642" s="264"/>
    </row>
    <row r="643">
      <c r="A643" s="264"/>
      <c r="B643" s="264"/>
      <c r="C643" s="264"/>
      <c r="D643" s="264"/>
      <c r="E643" s="264"/>
      <c r="F643" s="264"/>
      <c r="G643" s="264"/>
      <c r="H643" s="264"/>
      <c r="I643" s="264"/>
      <c r="J643" s="264"/>
      <c r="K643" s="264"/>
      <c r="L643" s="264"/>
      <c r="M643" s="264"/>
      <c r="N643" s="264"/>
      <c r="O643" s="264"/>
      <c r="P643" s="264"/>
      <c r="Q643" s="264"/>
      <c r="R643" s="264"/>
      <c r="S643" s="264"/>
      <c r="T643" s="264"/>
      <c r="U643" s="264"/>
      <c r="V643" s="264"/>
      <c r="W643" s="264"/>
      <c r="X643" s="264"/>
    </row>
    <row r="644">
      <c r="A644" s="264"/>
      <c r="B644" s="264"/>
      <c r="C644" s="264"/>
      <c r="D644" s="264"/>
      <c r="E644" s="264"/>
      <c r="F644" s="264"/>
      <c r="G644" s="264"/>
      <c r="H644" s="264"/>
      <c r="I644" s="264"/>
      <c r="J644" s="264"/>
      <c r="K644" s="264"/>
      <c r="L644" s="264"/>
      <c r="M644" s="264"/>
      <c r="N644" s="264"/>
      <c r="O644" s="264"/>
      <c r="P644" s="264"/>
      <c r="Q644" s="264"/>
      <c r="R644" s="264"/>
      <c r="S644" s="264"/>
      <c r="T644" s="264"/>
      <c r="U644" s="264"/>
      <c r="V644" s="264"/>
      <c r="W644" s="264"/>
      <c r="X644" s="264"/>
    </row>
    <row r="645">
      <c r="A645" s="264"/>
      <c r="B645" s="264"/>
      <c r="C645" s="264"/>
      <c r="D645" s="264"/>
      <c r="E645" s="264"/>
      <c r="F645" s="264"/>
      <c r="G645" s="264"/>
      <c r="H645" s="264"/>
      <c r="I645" s="264"/>
      <c r="J645" s="264"/>
      <c r="K645" s="264"/>
      <c r="L645" s="264"/>
      <c r="M645" s="264"/>
      <c r="N645" s="264"/>
      <c r="O645" s="264"/>
      <c r="P645" s="264"/>
      <c r="Q645" s="264"/>
      <c r="R645" s="264"/>
      <c r="S645" s="264"/>
      <c r="T645" s="264"/>
      <c r="U645" s="264"/>
      <c r="V645" s="264"/>
      <c r="W645" s="264"/>
      <c r="X645" s="264"/>
    </row>
    <row r="646">
      <c r="A646" s="264"/>
      <c r="B646" s="264"/>
      <c r="C646" s="264"/>
      <c r="D646" s="264"/>
      <c r="E646" s="264"/>
      <c r="F646" s="264"/>
      <c r="G646" s="264"/>
      <c r="H646" s="264"/>
      <c r="I646" s="264"/>
      <c r="J646" s="264"/>
      <c r="K646" s="264"/>
      <c r="L646" s="264"/>
      <c r="M646" s="264"/>
      <c r="N646" s="264"/>
      <c r="O646" s="264"/>
      <c r="P646" s="264"/>
      <c r="Q646" s="264"/>
      <c r="R646" s="264"/>
      <c r="S646" s="264"/>
      <c r="T646" s="264"/>
      <c r="U646" s="264"/>
      <c r="V646" s="264"/>
      <c r="W646" s="264"/>
      <c r="X646" s="264"/>
    </row>
    <row r="647">
      <c r="A647" s="264"/>
      <c r="B647" s="264"/>
      <c r="C647" s="264"/>
      <c r="D647" s="264"/>
      <c r="E647" s="264"/>
      <c r="F647" s="264"/>
      <c r="G647" s="264"/>
      <c r="H647" s="264"/>
      <c r="I647" s="264"/>
      <c r="J647" s="264"/>
      <c r="K647" s="264"/>
      <c r="L647" s="264"/>
      <c r="M647" s="264"/>
      <c r="N647" s="264"/>
      <c r="O647" s="264"/>
      <c r="P647" s="264"/>
      <c r="Q647" s="264"/>
      <c r="R647" s="264"/>
      <c r="S647" s="264"/>
      <c r="T647" s="264"/>
      <c r="U647" s="264"/>
      <c r="V647" s="264"/>
      <c r="W647" s="264"/>
      <c r="X647" s="264"/>
    </row>
    <row r="648">
      <c r="A648" s="264"/>
      <c r="B648" s="264"/>
      <c r="C648" s="264"/>
      <c r="D648" s="264"/>
      <c r="E648" s="264"/>
      <c r="F648" s="264"/>
      <c r="G648" s="264"/>
      <c r="H648" s="264"/>
      <c r="I648" s="264"/>
      <c r="J648" s="264"/>
      <c r="K648" s="264"/>
      <c r="L648" s="264"/>
      <c r="M648" s="264"/>
      <c r="N648" s="264"/>
      <c r="O648" s="264"/>
      <c r="P648" s="264"/>
      <c r="Q648" s="264"/>
      <c r="R648" s="264"/>
      <c r="S648" s="264"/>
      <c r="T648" s="264"/>
      <c r="U648" s="264"/>
      <c r="V648" s="264"/>
      <c r="W648" s="264"/>
      <c r="X648" s="264"/>
    </row>
    <row r="649">
      <c r="A649" s="264"/>
      <c r="B649" s="264"/>
      <c r="C649" s="264"/>
      <c r="D649" s="264"/>
      <c r="E649" s="264"/>
      <c r="F649" s="264"/>
      <c r="G649" s="264"/>
      <c r="H649" s="264"/>
      <c r="I649" s="264"/>
      <c r="J649" s="264"/>
      <c r="K649" s="264"/>
      <c r="L649" s="264"/>
      <c r="M649" s="264"/>
      <c r="N649" s="264"/>
      <c r="O649" s="264"/>
      <c r="P649" s="264"/>
      <c r="Q649" s="264"/>
      <c r="R649" s="264"/>
      <c r="S649" s="264"/>
      <c r="T649" s="264"/>
      <c r="U649" s="264"/>
      <c r="V649" s="264"/>
      <c r="W649" s="264"/>
      <c r="X649" s="264"/>
    </row>
    <row r="650">
      <c r="A650" s="264"/>
      <c r="B650" s="264"/>
      <c r="C650" s="264"/>
      <c r="D650" s="264"/>
      <c r="E650" s="264"/>
      <c r="F650" s="264"/>
      <c r="G650" s="264"/>
      <c r="H650" s="264"/>
      <c r="I650" s="264"/>
      <c r="J650" s="264"/>
      <c r="K650" s="264"/>
      <c r="L650" s="264"/>
      <c r="M650" s="264"/>
      <c r="N650" s="264"/>
      <c r="O650" s="264"/>
      <c r="P650" s="264"/>
      <c r="Q650" s="264"/>
      <c r="R650" s="264"/>
      <c r="S650" s="264"/>
      <c r="T650" s="264"/>
      <c r="U650" s="264"/>
      <c r="V650" s="264"/>
      <c r="W650" s="264"/>
      <c r="X650" s="264"/>
    </row>
    <row r="651">
      <c r="A651" s="264"/>
      <c r="B651" s="264"/>
      <c r="C651" s="264"/>
      <c r="D651" s="264"/>
      <c r="E651" s="264"/>
      <c r="F651" s="264"/>
      <c r="G651" s="264"/>
      <c r="H651" s="264"/>
      <c r="I651" s="264"/>
      <c r="J651" s="264"/>
      <c r="K651" s="264"/>
      <c r="L651" s="264"/>
      <c r="M651" s="264"/>
      <c r="N651" s="264"/>
      <c r="O651" s="264"/>
      <c r="P651" s="264"/>
      <c r="Q651" s="264"/>
      <c r="R651" s="264"/>
      <c r="S651" s="264"/>
      <c r="T651" s="264"/>
      <c r="U651" s="264"/>
      <c r="V651" s="264"/>
      <c r="W651" s="264"/>
      <c r="X651" s="264"/>
    </row>
    <row r="652">
      <c r="A652" s="264"/>
      <c r="B652" s="264"/>
      <c r="C652" s="264"/>
      <c r="D652" s="264"/>
      <c r="E652" s="264"/>
      <c r="F652" s="264"/>
      <c r="G652" s="264"/>
      <c r="H652" s="264"/>
      <c r="I652" s="264"/>
      <c r="J652" s="264"/>
      <c r="K652" s="264"/>
      <c r="L652" s="264"/>
      <c r="M652" s="264"/>
      <c r="N652" s="264"/>
      <c r="O652" s="264"/>
      <c r="P652" s="264"/>
      <c r="Q652" s="264"/>
      <c r="R652" s="264"/>
      <c r="S652" s="264"/>
      <c r="T652" s="264"/>
      <c r="U652" s="264"/>
      <c r="V652" s="264"/>
      <c r="W652" s="264"/>
      <c r="X652" s="264"/>
    </row>
    <row r="653">
      <c r="A653" s="264"/>
      <c r="B653" s="264"/>
      <c r="C653" s="264"/>
      <c r="D653" s="264"/>
      <c r="E653" s="264"/>
      <c r="F653" s="264"/>
      <c r="G653" s="264"/>
      <c r="H653" s="264"/>
      <c r="I653" s="264"/>
      <c r="J653" s="264"/>
      <c r="K653" s="264"/>
      <c r="L653" s="264"/>
      <c r="M653" s="264"/>
      <c r="N653" s="264"/>
      <c r="O653" s="264"/>
      <c r="P653" s="264"/>
      <c r="Q653" s="264"/>
      <c r="R653" s="264"/>
      <c r="S653" s="264"/>
      <c r="T653" s="264"/>
      <c r="U653" s="264"/>
      <c r="V653" s="264"/>
      <c r="W653" s="264"/>
      <c r="X653" s="264"/>
    </row>
    <row r="654">
      <c r="A654" s="264"/>
      <c r="B654" s="264"/>
      <c r="C654" s="264"/>
      <c r="D654" s="264"/>
      <c r="E654" s="264"/>
      <c r="F654" s="264"/>
      <c r="G654" s="264"/>
      <c r="H654" s="264"/>
      <c r="I654" s="264"/>
      <c r="J654" s="264"/>
      <c r="K654" s="264"/>
      <c r="L654" s="264"/>
      <c r="M654" s="264"/>
      <c r="N654" s="264"/>
      <c r="O654" s="264"/>
      <c r="P654" s="264"/>
      <c r="Q654" s="264"/>
      <c r="R654" s="264"/>
      <c r="S654" s="264"/>
      <c r="T654" s="264"/>
      <c r="U654" s="264"/>
      <c r="V654" s="264"/>
      <c r="W654" s="264"/>
      <c r="X654" s="264"/>
    </row>
    <row r="655">
      <c r="A655" s="264"/>
      <c r="B655" s="264"/>
      <c r="C655" s="264"/>
      <c r="D655" s="264"/>
      <c r="E655" s="264"/>
      <c r="F655" s="264"/>
      <c r="G655" s="264"/>
      <c r="H655" s="264"/>
      <c r="I655" s="264"/>
      <c r="J655" s="264"/>
      <c r="K655" s="264"/>
      <c r="L655" s="264"/>
      <c r="M655" s="264"/>
      <c r="N655" s="264"/>
      <c r="O655" s="264"/>
      <c r="P655" s="264"/>
      <c r="Q655" s="264"/>
      <c r="R655" s="264"/>
      <c r="S655" s="264"/>
      <c r="T655" s="264"/>
      <c r="U655" s="264"/>
      <c r="V655" s="264"/>
      <c r="W655" s="264"/>
      <c r="X655" s="264"/>
    </row>
    <row r="656">
      <c r="A656" s="264"/>
      <c r="B656" s="264"/>
      <c r="C656" s="264"/>
      <c r="D656" s="264"/>
      <c r="E656" s="264"/>
      <c r="F656" s="264"/>
      <c r="G656" s="264"/>
      <c r="H656" s="264"/>
      <c r="I656" s="264"/>
      <c r="J656" s="264"/>
      <c r="K656" s="264"/>
      <c r="L656" s="264"/>
      <c r="M656" s="264"/>
      <c r="N656" s="264"/>
      <c r="O656" s="264"/>
      <c r="P656" s="264"/>
      <c r="Q656" s="264"/>
      <c r="R656" s="264"/>
      <c r="S656" s="264"/>
      <c r="T656" s="264"/>
      <c r="U656" s="264"/>
      <c r="V656" s="264"/>
      <c r="W656" s="264"/>
      <c r="X656" s="264"/>
    </row>
    <row r="657">
      <c r="A657" s="264"/>
      <c r="B657" s="264"/>
      <c r="C657" s="264"/>
      <c r="D657" s="264"/>
      <c r="E657" s="264"/>
      <c r="F657" s="264"/>
      <c r="G657" s="264"/>
      <c r="H657" s="264"/>
      <c r="I657" s="264"/>
      <c r="J657" s="264"/>
      <c r="K657" s="264"/>
      <c r="L657" s="264"/>
      <c r="M657" s="264"/>
      <c r="N657" s="264"/>
      <c r="O657" s="264"/>
      <c r="P657" s="264"/>
      <c r="Q657" s="264"/>
      <c r="R657" s="264"/>
      <c r="S657" s="264"/>
      <c r="T657" s="264"/>
      <c r="U657" s="264"/>
      <c r="V657" s="264"/>
      <c r="W657" s="264"/>
      <c r="X657" s="264"/>
    </row>
    <row r="658">
      <c r="A658" s="264"/>
      <c r="B658" s="264"/>
      <c r="C658" s="264"/>
      <c r="D658" s="264"/>
      <c r="E658" s="264"/>
      <c r="F658" s="264"/>
      <c r="G658" s="264"/>
      <c r="H658" s="264"/>
      <c r="I658" s="264"/>
      <c r="J658" s="264"/>
      <c r="K658" s="264"/>
      <c r="L658" s="264"/>
      <c r="M658" s="264"/>
      <c r="N658" s="264"/>
      <c r="O658" s="264"/>
      <c r="P658" s="264"/>
      <c r="Q658" s="264"/>
      <c r="R658" s="264"/>
      <c r="S658" s="264"/>
      <c r="T658" s="264"/>
      <c r="U658" s="264"/>
      <c r="V658" s="264"/>
      <c r="W658" s="264"/>
      <c r="X658" s="264"/>
    </row>
    <row r="659">
      <c r="A659" s="264"/>
      <c r="B659" s="264"/>
      <c r="C659" s="264"/>
      <c r="D659" s="264"/>
      <c r="E659" s="264"/>
      <c r="F659" s="264"/>
      <c r="G659" s="264"/>
      <c r="H659" s="264"/>
      <c r="I659" s="264"/>
      <c r="J659" s="264"/>
      <c r="K659" s="264"/>
      <c r="L659" s="264"/>
      <c r="M659" s="264"/>
      <c r="N659" s="264"/>
      <c r="O659" s="264"/>
      <c r="P659" s="264"/>
      <c r="Q659" s="264"/>
      <c r="R659" s="264"/>
      <c r="S659" s="264"/>
      <c r="T659" s="264"/>
      <c r="U659" s="264"/>
      <c r="V659" s="264"/>
      <c r="W659" s="264"/>
      <c r="X659" s="264"/>
    </row>
    <row r="660">
      <c r="A660" s="264"/>
      <c r="B660" s="264"/>
      <c r="C660" s="264"/>
      <c r="D660" s="264"/>
      <c r="E660" s="264"/>
      <c r="F660" s="264"/>
      <c r="G660" s="264"/>
      <c r="H660" s="264"/>
      <c r="I660" s="264"/>
      <c r="J660" s="264"/>
      <c r="K660" s="264"/>
      <c r="L660" s="264"/>
      <c r="M660" s="264"/>
      <c r="N660" s="264"/>
      <c r="O660" s="264"/>
      <c r="P660" s="264"/>
      <c r="Q660" s="264"/>
      <c r="R660" s="264"/>
      <c r="S660" s="264"/>
      <c r="T660" s="264"/>
      <c r="U660" s="264"/>
      <c r="V660" s="264"/>
      <c r="W660" s="264"/>
      <c r="X660" s="264"/>
    </row>
    <row r="661">
      <c r="A661" s="264"/>
      <c r="B661" s="264"/>
      <c r="C661" s="264"/>
      <c r="D661" s="264"/>
      <c r="E661" s="264"/>
      <c r="F661" s="264"/>
      <c r="G661" s="264"/>
      <c r="H661" s="264"/>
      <c r="I661" s="264"/>
      <c r="J661" s="264"/>
      <c r="K661" s="264"/>
      <c r="L661" s="264"/>
      <c r="M661" s="264"/>
      <c r="N661" s="264"/>
      <c r="O661" s="264"/>
      <c r="P661" s="264"/>
      <c r="Q661" s="264"/>
      <c r="R661" s="264"/>
      <c r="S661" s="264"/>
      <c r="T661" s="264"/>
      <c r="U661" s="264"/>
      <c r="V661" s="264"/>
      <c r="W661" s="264"/>
      <c r="X661" s="264"/>
    </row>
    <row r="662">
      <c r="A662" s="264"/>
      <c r="B662" s="264"/>
      <c r="C662" s="264"/>
      <c r="D662" s="264"/>
      <c r="E662" s="264"/>
      <c r="F662" s="264"/>
      <c r="G662" s="264"/>
      <c r="H662" s="264"/>
      <c r="I662" s="264"/>
      <c r="J662" s="264"/>
      <c r="K662" s="264"/>
      <c r="L662" s="264"/>
      <c r="M662" s="264"/>
      <c r="N662" s="264"/>
      <c r="O662" s="264"/>
      <c r="P662" s="264"/>
      <c r="Q662" s="264"/>
      <c r="R662" s="264"/>
      <c r="S662" s="264"/>
      <c r="T662" s="264"/>
      <c r="U662" s="264"/>
      <c r="V662" s="264"/>
      <c r="W662" s="264"/>
      <c r="X662" s="264"/>
    </row>
    <row r="663">
      <c r="A663" s="264"/>
      <c r="B663" s="264"/>
      <c r="C663" s="264"/>
      <c r="D663" s="264"/>
      <c r="E663" s="264"/>
      <c r="F663" s="264"/>
      <c r="G663" s="264"/>
      <c r="H663" s="264"/>
      <c r="I663" s="264"/>
      <c r="J663" s="264"/>
      <c r="K663" s="264"/>
      <c r="L663" s="264"/>
      <c r="M663" s="264"/>
      <c r="N663" s="264"/>
      <c r="O663" s="264"/>
      <c r="P663" s="264"/>
      <c r="Q663" s="264"/>
      <c r="R663" s="264"/>
      <c r="S663" s="264"/>
      <c r="T663" s="264"/>
      <c r="U663" s="264"/>
      <c r="V663" s="264"/>
      <c r="W663" s="264"/>
      <c r="X663" s="264"/>
    </row>
    <row r="664">
      <c r="A664" s="264"/>
      <c r="B664" s="264"/>
      <c r="C664" s="264"/>
      <c r="D664" s="264"/>
      <c r="E664" s="264"/>
      <c r="F664" s="264"/>
      <c r="G664" s="264"/>
      <c r="H664" s="264"/>
      <c r="I664" s="264"/>
      <c r="J664" s="264"/>
      <c r="K664" s="264"/>
      <c r="L664" s="264"/>
      <c r="M664" s="264"/>
      <c r="N664" s="264"/>
      <c r="O664" s="264"/>
      <c r="P664" s="264"/>
      <c r="Q664" s="264"/>
      <c r="R664" s="264"/>
      <c r="S664" s="264"/>
      <c r="T664" s="264"/>
      <c r="U664" s="264"/>
      <c r="V664" s="264"/>
      <c r="W664" s="264"/>
      <c r="X664" s="264"/>
    </row>
    <row r="665">
      <c r="A665" s="264"/>
      <c r="B665" s="264"/>
      <c r="C665" s="264"/>
      <c r="D665" s="264"/>
      <c r="E665" s="264"/>
      <c r="F665" s="264"/>
      <c r="G665" s="264"/>
      <c r="H665" s="264"/>
      <c r="I665" s="264"/>
      <c r="J665" s="264"/>
      <c r="K665" s="264"/>
      <c r="L665" s="264"/>
      <c r="M665" s="264"/>
      <c r="N665" s="264"/>
      <c r="O665" s="264"/>
      <c r="P665" s="264"/>
      <c r="Q665" s="264"/>
      <c r="R665" s="264"/>
      <c r="S665" s="264"/>
      <c r="T665" s="264"/>
      <c r="U665" s="264"/>
      <c r="V665" s="264"/>
      <c r="W665" s="264"/>
      <c r="X665" s="264"/>
    </row>
    <row r="666">
      <c r="A666" s="264"/>
      <c r="B666" s="264"/>
      <c r="C666" s="264"/>
      <c r="D666" s="264"/>
      <c r="E666" s="264"/>
      <c r="F666" s="264"/>
      <c r="G666" s="264"/>
      <c r="H666" s="264"/>
      <c r="I666" s="264"/>
      <c r="J666" s="264"/>
      <c r="K666" s="264"/>
      <c r="L666" s="264"/>
      <c r="M666" s="264"/>
      <c r="N666" s="264"/>
      <c r="O666" s="264"/>
      <c r="P666" s="264"/>
      <c r="Q666" s="264"/>
      <c r="R666" s="264"/>
      <c r="S666" s="264"/>
      <c r="T666" s="264"/>
      <c r="U666" s="264"/>
      <c r="V666" s="264"/>
      <c r="W666" s="264"/>
      <c r="X666" s="264"/>
    </row>
    <row r="667">
      <c r="A667" s="264"/>
      <c r="B667" s="264"/>
      <c r="C667" s="264"/>
      <c r="D667" s="264"/>
      <c r="E667" s="264"/>
      <c r="F667" s="264"/>
      <c r="G667" s="264"/>
      <c r="H667" s="264"/>
      <c r="I667" s="264"/>
      <c r="J667" s="264"/>
      <c r="K667" s="264"/>
      <c r="L667" s="264"/>
      <c r="M667" s="264"/>
      <c r="N667" s="264"/>
      <c r="O667" s="264"/>
      <c r="P667" s="264"/>
      <c r="Q667" s="264"/>
      <c r="R667" s="264"/>
      <c r="S667" s="264"/>
      <c r="T667" s="264"/>
      <c r="U667" s="264"/>
      <c r="V667" s="264"/>
      <c r="W667" s="264"/>
      <c r="X667" s="264"/>
    </row>
    <row r="668">
      <c r="A668" s="264"/>
      <c r="B668" s="264"/>
      <c r="C668" s="264"/>
      <c r="D668" s="264"/>
      <c r="E668" s="264"/>
      <c r="F668" s="264"/>
      <c r="G668" s="264"/>
      <c r="H668" s="264"/>
      <c r="I668" s="264"/>
      <c r="J668" s="264"/>
      <c r="K668" s="264"/>
      <c r="L668" s="264"/>
      <c r="M668" s="264"/>
      <c r="N668" s="264"/>
      <c r="O668" s="264"/>
      <c r="P668" s="264"/>
      <c r="Q668" s="264"/>
      <c r="R668" s="264"/>
      <c r="S668" s="264"/>
      <c r="T668" s="264"/>
      <c r="U668" s="264"/>
      <c r="V668" s="264"/>
      <c r="W668" s="264"/>
      <c r="X668" s="264"/>
    </row>
    <row r="669">
      <c r="A669" s="264"/>
      <c r="B669" s="264"/>
      <c r="C669" s="264"/>
      <c r="D669" s="264"/>
      <c r="E669" s="264"/>
      <c r="F669" s="264"/>
      <c r="G669" s="264"/>
      <c r="H669" s="264"/>
      <c r="I669" s="264"/>
      <c r="J669" s="264"/>
      <c r="K669" s="264"/>
      <c r="L669" s="264"/>
      <c r="M669" s="264"/>
      <c r="N669" s="264"/>
      <c r="O669" s="264"/>
      <c r="P669" s="264"/>
      <c r="Q669" s="264"/>
      <c r="R669" s="264"/>
      <c r="S669" s="264"/>
      <c r="T669" s="264"/>
      <c r="U669" s="264"/>
      <c r="V669" s="264"/>
      <c r="W669" s="264"/>
      <c r="X669" s="264"/>
    </row>
    <row r="670">
      <c r="A670" s="264"/>
      <c r="B670" s="264"/>
      <c r="C670" s="264"/>
      <c r="D670" s="264"/>
      <c r="E670" s="264"/>
      <c r="F670" s="264"/>
      <c r="G670" s="264"/>
      <c r="H670" s="264"/>
      <c r="I670" s="264"/>
      <c r="J670" s="264"/>
      <c r="K670" s="264"/>
      <c r="L670" s="264"/>
      <c r="M670" s="264"/>
      <c r="N670" s="264"/>
      <c r="O670" s="264"/>
      <c r="P670" s="264"/>
      <c r="Q670" s="264"/>
      <c r="R670" s="264"/>
      <c r="S670" s="264"/>
      <c r="T670" s="264"/>
      <c r="U670" s="264"/>
      <c r="V670" s="264"/>
      <c r="W670" s="264"/>
      <c r="X670" s="264"/>
    </row>
    <row r="671">
      <c r="A671" s="264"/>
      <c r="B671" s="264"/>
      <c r="C671" s="264"/>
      <c r="D671" s="264"/>
      <c r="E671" s="264"/>
      <c r="F671" s="264"/>
      <c r="G671" s="264"/>
      <c r="H671" s="264"/>
      <c r="I671" s="264"/>
      <c r="J671" s="264"/>
      <c r="K671" s="264"/>
      <c r="L671" s="264"/>
      <c r="M671" s="264"/>
      <c r="N671" s="264"/>
      <c r="O671" s="264"/>
      <c r="P671" s="264"/>
      <c r="Q671" s="264"/>
      <c r="R671" s="264"/>
      <c r="S671" s="264"/>
      <c r="T671" s="264"/>
      <c r="U671" s="264"/>
      <c r="V671" s="264"/>
      <c r="W671" s="264"/>
      <c r="X671" s="264"/>
    </row>
    <row r="672">
      <c r="A672" s="264"/>
      <c r="B672" s="264"/>
      <c r="C672" s="264"/>
      <c r="D672" s="264"/>
      <c r="E672" s="264"/>
      <c r="F672" s="264"/>
      <c r="G672" s="264"/>
      <c r="H672" s="264"/>
      <c r="I672" s="264"/>
      <c r="J672" s="264"/>
      <c r="K672" s="264"/>
      <c r="L672" s="264"/>
      <c r="M672" s="264"/>
      <c r="N672" s="264"/>
      <c r="O672" s="264"/>
      <c r="P672" s="264"/>
      <c r="Q672" s="264"/>
      <c r="R672" s="264"/>
      <c r="S672" s="264"/>
      <c r="T672" s="264"/>
      <c r="U672" s="264"/>
      <c r="V672" s="264"/>
      <c r="W672" s="264"/>
      <c r="X672" s="264"/>
    </row>
    <row r="673">
      <c r="A673" s="264"/>
      <c r="B673" s="264"/>
      <c r="C673" s="264"/>
      <c r="D673" s="264"/>
      <c r="E673" s="264"/>
      <c r="F673" s="264"/>
      <c r="G673" s="264"/>
      <c r="H673" s="264"/>
      <c r="I673" s="264"/>
      <c r="J673" s="264"/>
      <c r="K673" s="264"/>
      <c r="L673" s="264"/>
      <c r="M673" s="264"/>
      <c r="N673" s="264"/>
      <c r="O673" s="264"/>
      <c r="P673" s="264"/>
      <c r="Q673" s="264"/>
      <c r="R673" s="264"/>
      <c r="S673" s="264"/>
      <c r="T673" s="264"/>
      <c r="U673" s="264"/>
      <c r="V673" s="264"/>
      <c r="W673" s="264"/>
      <c r="X673" s="264"/>
    </row>
    <row r="674">
      <c r="A674" s="264"/>
      <c r="B674" s="264"/>
      <c r="C674" s="264"/>
      <c r="D674" s="264"/>
      <c r="E674" s="264"/>
      <c r="F674" s="264"/>
      <c r="G674" s="264"/>
      <c r="H674" s="264"/>
      <c r="I674" s="264"/>
      <c r="J674" s="264"/>
      <c r="K674" s="264"/>
      <c r="L674" s="264"/>
      <c r="M674" s="264"/>
      <c r="N674" s="264"/>
      <c r="O674" s="264"/>
      <c r="P674" s="264"/>
      <c r="Q674" s="264"/>
      <c r="R674" s="264"/>
      <c r="S674" s="264"/>
      <c r="T674" s="264"/>
      <c r="U674" s="264"/>
      <c r="V674" s="264"/>
      <c r="W674" s="264"/>
      <c r="X674" s="264"/>
    </row>
    <row r="675">
      <c r="A675" s="264"/>
      <c r="B675" s="264"/>
      <c r="C675" s="264"/>
      <c r="D675" s="264"/>
      <c r="E675" s="264"/>
      <c r="F675" s="264"/>
      <c r="G675" s="264"/>
      <c r="H675" s="264"/>
      <c r="I675" s="264"/>
      <c r="J675" s="264"/>
      <c r="K675" s="264"/>
      <c r="L675" s="264"/>
      <c r="M675" s="264"/>
      <c r="N675" s="264"/>
      <c r="O675" s="264"/>
      <c r="P675" s="264"/>
      <c r="Q675" s="264"/>
      <c r="R675" s="264"/>
      <c r="S675" s="264"/>
      <c r="T675" s="264"/>
      <c r="U675" s="264"/>
      <c r="V675" s="264"/>
      <c r="W675" s="264"/>
      <c r="X675" s="264"/>
    </row>
    <row r="676">
      <c r="A676" s="264"/>
      <c r="B676" s="264"/>
      <c r="C676" s="264"/>
      <c r="D676" s="264"/>
      <c r="E676" s="264"/>
      <c r="F676" s="264"/>
      <c r="G676" s="264"/>
      <c r="H676" s="264"/>
      <c r="I676" s="264"/>
      <c r="J676" s="264"/>
      <c r="K676" s="264"/>
      <c r="L676" s="264"/>
      <c r="M676" s="264"/>
      <c r="N676" s="264"/>
      <c r="O676" s="264"/>
      <c r="P676" s="264"/>
      <c r="Q676" s="264"/>
      <c r="R676" s="264"/>
      <c r="S676" s="264"/>
      <c r="T676" s="264"/>
      <c r="U676" s="264"/>
      <c r="V676" s="264"/>
      <c r="W676" s="264"/>
      <c r="X676" s="264"/>
    </row>
    <row r="677">
      <c r="A677" s="264"/>
      <c r="B677" s="264"/>
      <c r="C677" s="264"/>
      <c r="D677" s="264"/>
      <c r="E677" s="264"/>
      <c r="F677" s="264"/>
      <c r="G677" s="264"/>
      <c r="H677" s="264"/>
      <c r="I677" s="264"/>
      <c r="J677" s="264"/>
      <c r="K677" s="264"/>
      <c r="L677" s="264"/>
      <c r="M677" s="264"/>
      <c r="N677" s="264"/>
      <c r="O677" s="264"/>
      <c r="P677" s="264"/>
      <c r="Q677" s="264"/>
      <c r="R677" s="264"/>
      <c r="S677" s="264"/>
      <c r="T677" s="264"/>
      <c r="U677" s="264"/>
      <c r="V677" s="264"/>
      <c r="W677" s="264"/>
      <c r="X677" s="264"/>
    </row>
    <row r="678">
      <c r="A678" s="264"/>
      <c r="B678" s="264"/>
      <c r="C678" s="264"/>
      <c r="D678" s="264"/>
      <c r="E678" s="264"/>
      <c r="F678" s="264"/>
      <c r="G678" s="264"/>
      <c r="H678" s="264"/>
      <c r="I678" s="264"/>
      <c r="J678" s="264"/>
      <c r="K678" s="264"/>
      <c r="L678" s="264"/>
      <c r="M678" s="264"/>
      <c r="N678" s="264"/>
      <c r="O678" s="264"/>
      <c r="P678" s="264"/>
      <c r="Q678" s="264"/>
      <c r="R678" s="264"/>
      <c r="S678" s="264"/>
      <c r="T678" s="264"/>
      <c r="U678" s="264"/>
      <c r="V678" s="264"/>
      <c r="W678" s="264"/>
      <c r="X678" s="264"/>
    </row>
    <row r="679">
      <c r="A679" s="264"/>
      <c r="B679" s="264"/>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row>
    <row r="680">
      <c r="A680" s="264"/>
      <c r="B680" s="264"/>
      <c r="C680" s="264"/>
      <c r="D680" s="264"/>
      <c r="E680" s="264"/>
      <c r="F680" s="264"/>
      <c r="G680" s="264"/>
      <c r="H680" s="264"/>
      <c r="I680" s="264"/>
      <c r="J680" s="264"/>
      <c r="K680" s="264"/>
      <c r="L680" s="264"/>
      <c r="M680" s="264"/>
      <c r="N680" s="264"/>
      <c r="O680" s="264"/>
      <c r="P680" s="264"/>
      <c r="Q680" s="264"/>
      <c r="R680" s="264"/>
      <c r="S680" s="264"/>
      <c r="T680" s="264"/>
      <c r="U680" s="264"/>
      <c r="V680" s="264"/>
      <c r="W680" s="264"/>
      <c r="X680" s="264"/>
    </row>
    <row r="681">
      <c r="A681" s="264"/>
      <c r="B681" s="264"/>
      <c r="C681" s="264"/>
      <c r="D681" s="264"/>
      <c r="E681" s="264"/>
      <c r="F681" s="264"/>
      <c r="G681" s="264"/>
      <c r="H681" s="264"/>
      <c r="I681" s="264"/>
      <c r="J681" s="264"/>
      <c r="K681" s="264"/>
      <c r="L681" s="264"/>
      <c r="M681" s="264"/>
      <c r="N681" s="264"/>
      <c r="O681" s="264"/>
      <c r="P681" s="264"/>
      <c r="Q681" s="264"/>
      <c r="R681" s="264"/>
      <c r="S681" s="264"/>
      <c r="T681" s="264"/>
      <c r="U681" s="264"/>
      <c r="V681" s="264"/>
      <c r="W681" s="264"/>
      <c r="X681" s="264"/>
    </row>
    <row r="682">
      <c r="A682" s="264"/>
      <c r="B682" s="264"/>
      <c r="C682" s="264"/>
      <c r="D682" s="264"/>
      <c r="E682" s="264"/>
      <c r="F682" s="264"/>
      <c r="G682" s="264"/>
      <c r="H682" s="264"/>
      <c r="I682" s="264"/>
      <c r="J682" s="264"/>
      <c r="K682" s="264"/>
      <c r="L682" s="264"/>
      <c r="M682" s="264"/>
      <c r="N682" s="264"/>
      <c r="O682" s="264"/>
      <c r="P682" s="264"/>
      <c r="Q682" s="264"/>
      <c r="R682" s="264"/>
      <c r="S682" s="264"/>
      <c r="T682" s="264"/>
      <c r="U682" s="264"/>
      <c r="V682" s="264"/>
      <c r="W682" s="264"/>
      <c r="X682" s="264"/>
    </row>
    <row r="683">
      <c r="A683" s="264"/>
      <c r="B683" s="264"/>
      <c r="C683" s="264"/>
      <c r="D683" s="264"/>
      <c r="E683" s="264"/>
      <c r="F683" s="264"/>
      <c r="G683" s="264"/>
      <c r="H683" s="264"/>
      <c r="I683" s="264"/>
      <c r="J683" s="264"/>
      <c r="K683" s="264"/>
      <c r="L683" s="264"/>
      <c r="M683" s="264"/>
      <c r="N683" s="264"/>
      <c r="O683" s="264"/>
      <c r="P683" s="264"/>
      <c r="Q683" s="264"/>
      <c r="R683" s="264"/>
      <c r="S683" s="264"/>
      <c r="T683" s="264"/>
      <c r="U683" s="264"/>
      <c r="V683" s="264"/>
      <c r="W683" s="264"/>
      <c r="X683" s="264"/>
    </row>
    <row r="684">
      <c r="A684" s="264"/>
      <c r="B684" s="264"/>
      <c r="C684" s="264"/>
      <c r="D684" s="264"/>
      <c r="E684" s="264"/>
      <c r="F684" s="264"/>
      <c r="G684" s="264"/>
      <c r="H684" s="264"/>
      <c r="I684" s="264"/>
      <c r="J684" s="264"/>
      <c r="K684" s="264"/>
      <c r="L684" s="264"/>
      <c r="M684" s="264"/>
      <c r="N684" s="264"/>
      <c r="O684" s="264"/>
      <c r="P684" s="264"/>
      <c r="Q684" s="264"/>
      <c r="R684" s="264"/>
      <c r="S684" s="264"/>
      <c r="T684" s="264"/>
      <c r="U684" s="264"/>
      <c r="V684" s="264"/>
      <c r="W684" s="264"/>
      <c r="X684" s="264"/>
    </row>
    <row r="685">
      <c r="A685" s="264"/>
      <c r="B685" s="264"/>
      <c r="C685" s="264"/>
      <c r="D685" s="264"/>
      <c r="E685" s="264"/>
      <c r="F685" s="264"/>
      <c r="G685" s="264"/>
      <c r="H685" s="264"/>
      <c r="I685" s="264"/>
      <c r="J685" s="264"/>
      <c r="K685" s="264"/>
      <c r="L685" s="264"/>
      <c r="M685" s="264"/>
      <c r="N685" s="264"/>
      <c r="O685" s="264"/>
      <c r="P685" s="264"/>
      <c r="Q685" s="264"/>
      <c r="R685" s="264"/>
      <c r="S685" s="264"/>
      <c r="T685" s="264"/>
      <c r="U685" s="264"/>
      <c r="V685" s="264"/>
      <c r="W685" s="264"/>
      <c r="X685" s="264"/>
    </row>
    <row r="686">
      <c r="A686" s="264"/>
      <c r="B686" s="264"/>
      <c r="C686" s="264"/>
      <c r="D686" s="264"/>
      <c r="E686" s="264"/>
      <c r="F686" s="264"/>
      <c r="G686" s="264"/>
      <c r="H686" s="264"/>
      <c r="I686" s="264"/>
      <c r="J686" s="264"/>
      <c r="K686" s="264"/>
      <c r="L686" s="264"/>
      <c r="M686" s="264"/>
      <c r="N686" s="264"/>
      <c r="O686" s="264"/>
      <c r="P686" s="264"/>
      <c r="Q686" s="264"/>
      <c r="R686" s="264"/>
      <c r="S686" s="264"/>
      <c r="T686" s="264"/>
      <c r="U686" s="264"/>
      <c r="V686" s="264"/>
      <c r="W686" s="264"/>
      <c r="X686" s="264"/>
    </row>
    <row r="687">
      <c r="A687" s="264"/>
      <c r="B687" s="264"/>
      <c r="C687" s="264"/>
      <c r="D687" s="264"/>
      <c r="E687" s="264"/>
      <c r="F687" s="264"/>
      <c r="G687" s="264"/>
      <c r="H687" s="264"/>
      <c r="I687" s="264"/>
      <c r="J687" s="264"/>
      <c r="K687" s="264"/>
      <c r="L687" s="264"/>
      <c r="M687" s="264"/>
      <c r="N687" s="264"/>
      <c r="O687" s="264"/>
      <c r="P687" s="264"/>
      <c r="Q687" s="264"/>
      <c r="R687" s="264"/>
      <c r="S687" s="264"/>
      <c r="T687" s="264"/>
      <c r="U687" s="264"/>
      <c r="V687" s="264"/>
      <c r="W687" s="264"/>
      <c r="X687" s="264"/>
    </row>
    <row r="688">
      <c r="A688" s="264"/>
      <c r="B688" s="264"/>
      <c r="C688" s="264"/>
      <c r="D688" s="264"/>
      <c r="E688" s="264"/>
      <c r="F688" s="264"/>
      <c r="G688" s="264"/>
      <c r="H688" s="264"/>
      <c r="I688" s="264"/>
      <c r="J688" s="264"/>
      <c r="K688" s="264"/>
      <c r="L688" s="264"/>
      <c r="M688" s="264"/>
      <c r="N688" s="264"/>
      <c r="O688" s="264"/>
      <c r="P688" s="264"/>
      <c r="Q688" s="264"/>
      <c r="R688" s="264"/>
      <c r="S688" s="264"/>
      <c r="T688" s="264"/>
      <c r="U688" s="264"/>
      <c r="V688" s="264"/>
      <c r="W688" s="264"/>
      <c r="X688" s="264"/>
    </row>
    <row r="689">
      <c r="A689" s="264"/>
      <c r="B689" s="264"/>
      <c r="C689" s="264"/>
      <c r="D689" s="264"/>
      <c r="E689" s="264"/>
      <c r="F689" s="264"/>
      <c r="G689" s="264"/>
      <c r="H689" s="264"/>
      <c r="I689" s="264"/>
      <c r="J689" s="264"/>
      <c r="K689" s="264"/>
      <c r="L689" s="264"/>
      <c r="M689" s="264"/>
      <c r="N689" s="264"/>
      <c r="O689" s="264"/>
      <c r="P689" s="264"/>
      <c r="Q689" s="264"/>
      <c r="R689" s="264"/>
      <c r="S689" s="264"/>
      <c r="T689" s="264"/>
      <c r="U689" s="264"/>
      <c r="V689" s="264"/>
      <c r="W689" s="264"/>
      <c r="X689" s="264"/>
    </row>
    <row r="690">
      <c r="A690" s="264"/>
      <c r="B690" s="264"/>
      <c r="C690" s="264"/>
      <c r="D690" s="264"/>
      <c r="E690" s="264"/>
      <c r="F690" s="264"/>
      <c r="G690" s="264"/>
      <c r="H690" s="264"/>
      <c r="I690" s="264"/>
      <c r="J690" s="264"/>
      <c r="K690" s="264"/>
      <c r="L690" s="264"/>
      <c r="M690" s="264"/>
      <c r="N690" s="264"/>
      <c r="O690" s="264"/>
      <c r="P690" s="264"/>
      <c r="Q690" s="264"/>
      <c r="R690" s="264"/>
      <c r="S690" s="264"/>
      <c r="T690" s="264"/>
      <c r="U690" s="264"/>
      <c r="V690" s="264"/>
      <c r="W690" s="264"/>
      <c r="X690" s="264"/>
    </row>
    <row r="691">
      <c r="A691" s="264"/>
      <c r="B691" s="264"/>
      <c r="C691" s="264"/>
      <c r="D691" s="264"/>
      <c r="E691" s="264"/>
      <c r="F691" s="264"/>
      <c r="G691" s="264"/>
      <c r="H691" s="264"/>
      <c r="I691" s="264"/>
      <c r="J691" s="264"/>
      <c r="K691" s="264"/>
      <c r="L691" s="264"/>
      <c r="M691" s="264"/>
      <c r="N691" s="264"/>
      <c r="O691" s="264"/>
      <c r="P691" s="264"/>
      <c r="Q691" s="264"/>
      <c r="R691" s="264"/>
      <c r="S691" s="264"/>
      <c r="T691" s="264"/>
      <c r="U691" s="264"/>
      <c r="V691" s="264"/>
      <c r="W691" s="264"/>
      <c r="X691" s="264"/>
    </row>
    <row r="692">
      <c r="A692" s="264"/>
      <c r="B692" s="264"/>
      <c r="C692" s="264"/>
      <c r="D692" s="264"/>
      <c r="E692" s="264"/>
      <c r="F692" s="264"/>
      <c r="G692" s="264"/>
      <c r="H692" s="264"/>
      <c r="I692" s="264"/>
      <c r="J692" s="264"/>
      <c r="K692" s="264"/>
      <c r="L692" s="264"/>
      <c r="M692" s="264"/>
      <c r="N692" s="264"/>
      <c r="O692" s="264"/>
      <c r="P692" s="264"/>
      <c r="Q692" s="264"/>
      <c r="R692" s="264"/>
      <c r="S692" s="264"/>
      <c r="T692" s="264"/>
      <c r="U692" s="264"/>
      <c r="V692" s="264"/>
      <c r="W692" s="264"/>
      <c r="X692" s="264"/>
    </row>
    <row r="693">
      <c r="A693" s="264"/>
      <c r="B693" s="264"/>
      <c r="C693" s="264"/>
      <c r="D693" s="264"/>
      <c r="E693" s="264"/>
      <c r="F693" s="264"/>
      <c r="G693" s="264"/>
      <c r="H693" s="264"/>
      <c r="I693" s="264"/>
      <c r="J693" s="264"/>
      <c r="K693" s="264"/>
      <c r="L693" s="264"/>
      <c r="M693" s="264"/>
      <c r="N693" s="264"/>
      <c r="O693" s="264"/>
      <c r="P693" s="264"/>
      <c r="Q693" s="264"/>
      <c r="R693" s="264"/>
      <c r="S693" s="264"/>
      <c r="T693" s="264"/>
      <c r="U693" s="264"/>
      <c r="V693" s="264"/>
      <c r="W693" s="264"/>
      <c r="X693" s="264"/>
    </row>
    <row r="694">
      <c r="A694" s="264"/>
      <c r="B694" s="264"/>
      <c r="C694" s="264"/>
      <c r="D694" s="264"/>
      <c r="E694" s="264"/>
      <c r="F694" s="264"/>
      <c r="G694" s="264"/>
      <c r="H694" s="264"/>
      <c r="I694" s="264"/>
      <c r="J694" s="264"/>
      <c r="K694" s="264"/>
      <c r="L694" s="264"/>
      <c r="M694" s="264"/>
      <c r="N694" s="264"/>
      <c r="O694" s="264"/>
      <c r="P694" s="264"/>
      <c r="Q694" s="264"/>
      <c r="R694" s="264"/>
      <c r="S694" s="264"/>
      <c r="T694" s="264"/>
      <c r="U694" s="264"/>
      <c r="V694" s="264"/>
      <c r="W694" s="264"/>
      <c r="X694" s="264"/>
    </row>
    <row r="695">
      <c r="A695" s="264"/>
      <c r="B695" s="264"/>
      <c r="C695" s="264"/>
      <c r="D695" s="264"/>
      <c r="E695" s="264"/>
      <c r="F695" s="264"/>
      <c r="G695" s="264"/>
      <c r="H695" s="264"/>
      <c r="I695" s="264"/>
      <c r="J695" s="264"/>
      <c r="K695" s="264"/>
      <c r="L695" s="264"/>
      <c r="M695" s="264"/>
      <c r="N695" s="264"/>
      <c r="O695" s="264"/>
      <c r="P695" s="264"/>
      <c r="Q695" s="264"/>
      <c r="R695" s="264"/>
      <c r="S695" s="264"/>
      <c r="T695" s="264"/>
      <c r="U695" s="264"/>
      <c r="V695" s="264"/>
      <c r="W695" s="264"/>
      <c r="X695" s="264"/>
    </row>
    <row r="696">
      <c r="A696" s="264"/>
      <c r="B696" s="264"/>
      <c r="C696" s="264"/>
      <c r="D696" s="264"/>
      <c r="E696" s="264"/>
      <c r="F696" s="264"/>
      <c r="G696" s="264"/>
      <c r="H696" s="264"/>
      <c r="I696" s="264"/>
      <c r="J696" s="264"/>
      <c r="K696" s="264"/>
      <c r="L696" s="264"/>
      <c r="M696" s="264"/>
      <c r="N696" s="264"/>
      <c r="O696" s="264"/>
      <c r="P696" s="264"/>
      <c r="Q696" s="264"/>
      <c r="R696" s="264"/>
      <c r="S696" s="264"/>
      <c r="T696" s="264"/>
      <c r="U696" s="264"/>
      <c r="V696" s="264"/>
      <c r="W696" s="264"/>
      <c r="X696" s="264"/>
    </row>
    <row r="697">
      <c r="A697" s="264"/>
      <c r="B697" s="264"/>
      <c r="C697" s="264"/>
      <c r="D697" s="264"/>
      <c r="E697" s="264"/>
      <c r="F697" s="264"/>
      <c r="G697" s="264"/>
      <c r="H697" s="264"/>
      <c r="I697" s="264"/>
      <c r="J697" s="264"/>
      <c r="K697" s="264"/>
      <c r="L697" s="264"/>
      <c r="M697" s="264"/>
      <c r="N697" s="264"/>
      <c r="O697" s="264"/>
      <c r="P697" s="264"/>
      <c r="Q697" s="264"/>
      <c r="R697" s="264"/>
      <c r="S697" s="264"/>
      <c r="T697" s="264"/>
      <c r="U697" s="264"/>
      <c r="V697" s="264"/>
      <c r="W697" s="264"/>
      <c r="X697" s="264"/>
    </row>
    <row r="698">
      <c r="A698" s="264"/>
      <c r="B698" s="264"/>
      <c r="C698" s="264"/>
      <c r="D698" s="264"/>
      <c r="E698" s="264"/>
      <c r="F698" s="264"/>
      <c r="G698" s="264"/>
      <c r="H698" s="264"/>
      <c r="I698" s="264"/>
      <c r="J698" s="264"/>
      <c r="K698" s="264"/>
      <c r="L698" s="264"/>
      <c r="M698" s="264"/>
      <c r="N698" s="264"/>
      <c r="O698" s="264"/>
      <c r="P698" s="264"/>
      <c r="Q698" s="264"/>
      <c r="R698" s="264"/>
      <c r="S698" s="264"/>
      <c r="T698" s="264"/>
      <c r="U698" s="264"/>
      <c r="V698" s="264"/>
      <c r="W698" s="264"/>
      <c r="X698" s="264"/>
    </row>
    <row r="699">
      <c r="A699" s="264"/>
      <c r="B699" s="264"/>
      <c r="C699" s="264"/>
      <c r="D699" s="264"/>
      <c r="E699" s="264"/>
      <c r="F699" s="264"/>
      <c r="G699" s="264"/>
      <c r="H699" s="264"/>
      <c r="I699" s="264"/>
      <c r="J699" s="264"/>
      <c r="K699" s="264"/>
      <c r="L699" s="264"/>
      <c r="M699" s="264"/>
      <c r="N699" s="264"/>
      <c r="O699" s="264"/>
      <c r="P699" s="264"/>
      <c r="Q699" s="264"/>
      <c r="R699" s="264"/>
      <c r="S699" s="264"/>
      <c r="T699" s="264"/>
      <c r="U699" s="264"/>
      <c r="V699" s="264"/>
      <c r="W699" s="264"/>
      <c r="X699" s="264"/>
    </row>
    <row r="700">
      <c r="A700" s="264"/>
      <c r="B700" s="264"/>
      <c r="C700" s="264"/>
      <c r="D700" s="264"/>
      <c r="E700" s="264"/>
      <c r="F700" s="264"/>
      <c r="G700" s="264"/>
      <c r="H700" s="264"/>
      <c r="I700" s="264"/>
      <c r="J700" s="264"/>
      <c r="K700" s="264"/>
      <c r="L700" s="264"/>
      <c r="M700" s="264"/>
      <c r="N700" s="264"/>
      <c r="O700" s="264"/>
      <c r="P700" s="264"/>
      <c r="Q700" s="264"/>
      <c r="R700" s="264"/>
      <c r="S700" s="264"/>
      <c r="T700" s="264"/>
      <c r="U700" s="264"/>
      <c r="V700" s="264"/>
      <c r="W700" s="264"/>
      <c r="X700" s="264"/>
    </row>
    <row r="701">
      <c r="A701" s="264"/>
      <c r="B701" s="264"/>
      <c r="C701" s="264"/>
      <c r="D701" s="264"/>
      <c r="E701" s="264"/>
      <c r="F701" s="264"/>
      <c r="G701" s="264"/>
      <c r="H701" s="264"/>
      <c r="I701" s="264"/>
      <c r="J701" s="264"/>
      <c r="K701" s="264"/>
      <c r="L701" s="264"/>
      <c r="M701" s="264"/>
      <c r="N701" s="264"/>
      <c r="O701" s="264"/>
      <c r="P701" s="264"/>
      <c r="Q701" s="264"/>
      <c r="R701" s="264"/>
      <c r="S701" s="264"/>
      <c r="T701" s="264"/>
      <c r="U701" s="264"/>
      <c r="V701" s="264"/>
      <c r="W701" s="264"/>
      <c r="X701" s="264"/>
    </row>
    <row r="702">
      <c r="A702" s="264"/>
      <c r="B702" s="264"/>
      <c r="C702" s="264"/>
      <c r="D702" s="264"/>
      <c r="E702" s="264"/>
      <c r="F702" s="264"/>
      <c r="G702" s="264"/>
      <c r="H702" s="264"/>
      <c r="I702" s="264"/>
      <c r="J702" s="264"/>
      <c r="K702" s="264"/>
      <c r="L702" s="264"/>
      <c r="M702" s="264"/>
      <c r="N702" s="264"/>
      <c r="O702" s="264"/>
      <c r="P702" s="264"/>
      <c r="Q702" s="264"/>
      <c r="R702" s="264"/>
      <c r="S702" s="264"/>
      <c r="T702" s="264"/>
      <c r="U702" s="264"/>
      <c r="V702" s="264"/>
      <c r="W702" s="264"/>
      <c r="X702" s="264"/>
    </row>
    <row r="703">
      <c r="A703" s="264"/>
      <c r="B703" s="264"/>
      <c r="C703" s="264"/>
      <c r="D703" s="264"/>
      <c r="E703" s="264"/>
      <c r="F703" s="264"/>
      <c r="G703" s="264"/>
      <c r="H703" s="264"/>
      <c r="I703" s="264"/>
      <c r="J703" s="264"/>
      <c r="K703" s="264"/>
      <c r="L703" s="264"/>
      <c r="M703" s="264"/>
      <c r="N703" s="264"/>
      <c r="O703" s="264"/>
      <c r="P703" s="264"/>
      <c r="Q703" s="264"/>
      <c r="R703" s="264"/>
      <c r="S703" s="264"/>
      <c r="T703" s="264"/>
      <c r="U703" s="264"/>
      <c r="V703" s="264"/>
      <c r="W703" s="264"/>
      <c r="X703" s="264"/>
    </row>
    <row r="704">
      <c r="A704" s="264"/>
      <c r="B704" s="264"/>
      <c r="C704" s="264"/>
      <c r="D704" s="264"/>
      <c r="E704" s="264"/>
      <c r="F704" s="264"/>
      <c r="G704" s="264"/>
      <c r="H704" s="264"/>
      <c r="I704" s="264"/>
      <c r="J704" s="264"/>
      <c r="K704" s="264"/>
      <c r="L704" s="264"/>
      <c r="M704" s="264"/>
      <c r="N704" s="264"/>
      <c r="O704" s="264"/>
      <c r="P704" s="264"/>
      <c r="Q704" s="264"/>
      <c r="R704" s="264"/>
      <c r="S704" s="264"/>
      <c r="T704" s="264"/>
      <c r="U704" s="264"/>
      <c r="V704" s="264"/>
      <c r="W704" s="264"/>
      <c r="X704" s="264"/>
    </row>
    <row r="705">
      <c r="A705" s="264"/>
      <c r="B705" s="264"/>
      <c r="C705" s="264"/>
      <c r="D705" s="264"/>
      <c r="E705" s="264"/>
      <c r="F705" s="264"/>
      <c r="G705" s="264"/>
      <c r="H705" s="264"/>
      <c r="I705" s="264"/>
      <c r="J705" s="264"/>
      <c r="K705" s="264"/>
      <c r="L705" s="264"/>
      <c r="M705" s="264"/>
      <c r="N705" s="264"/>
      <c r="O705" s="264"/>
      <c r="P705" s="264"/>
      <c r="Q705" s="264"/>
      <c r="R705" s="264"/>
      <c r="S705" s="264"/>
      <c r="T705" s="264"/>
      <c r="U705" s="264"/>
      <c r="V705" s="264"/>
      <c r="W705" s="264"/>
      <c r="X705" s="264"/>
    </row>
    <row r="706">
      <c r="A706" s="264"/>
      <c r="B706" s="264"/>
      <c r="C706" s="264"/>
      <c r="D706" s="264"/>
      <c r="E706" s="264"/>
      <c r="F706" s="264"/>
      <c r="G706" s="264"/>
      <c r="H706" s="264"/>
      <c r="I706" s="264"/>
      <c r="J706" s="264"/>
      <c r="K706" s="264"/>
      <c r="L706" s="264"/>
      <c r="M706" s="264"/>
      <c r="N706" s="264"/>
      <c r="O706" s="264"/>
      <c r="P706" s="264"/>
      <c r="Q706" s="264"/>
      <c r="R706" s="264"/>
      <c r="S706" s="264"/>
      <c r="T706" s="264"/>
      <c r="U706" s="264"/>
      <c r="V706" s="264"/>
      <c r="W706" s="264"/>
      <c r="X706" s="264"/>
    </row>
    <row r="707">
      <c r="A707" s="264"/>
      <c r="B707" s="264"/>
      <c r="C707" s="264"/>
      <c r="D707" s="264"/>
      <c r="E707" s="264"/>
      <c r="F707" s="264"/>
      <c r="G707" s="264"/>
      <c r="H707" s="264"/>
      <c r="I707" s="264"/>
      <c r="J707" s="264"/>
      <c r="K707" s="264"/>
      <c r="L707" s="264"/>
      <c r="M707" s="264"/>
      <c r="N707" s="264"/>
      <c r="O707" s="264"/>
      <c r="P707" s="264"/>
      <c r="Q707" s="264"/>
      <c r="R707" s="264"/>
      <c r="S707" s="264"/>
      <c r="T707" s="264"/>
      <c r="U707" s="264"/>
      <c r="V707" s="264"/>
      <c r="W707" s="264"/>
      <c r="X707" s="264"/>
    </row>
    <row r="708">
      <c r="A708" s="264"/>
      <c r="B708" s="264"/>
      <c r="C708" s="264"/>
      <c r="D708" s="264"/>
      <c r="E708" s="264"/>
      <c r="F708" s="264"/>
      <c r="G708" s="264"/>
      <c r="H708" s="264"/>
      <c r="I708" s="264"/>
      <c r="J708" s="264"/>
      <c r="K708" s="264"/>
      <c r="L708" s="264"/>
      <c r="M708" s="264"/>
      <c r="N708" s="264"/>
      <c r="O708" s="264"/>
      <c r="P708" s="264"/>
      <c r="Q708" s="264"/>
      <c r="R708" s="264"/>
      <c r="S708" s="264"/>
      <c r="T708" s="264"/>
      <c r="U708" s="264"/>
      <c r="V708" s="264"/>
      <c r="W708" s="264"/>
      <c r="X708" s="264"/>
    </row>
    <row r="709">
      <c r="A709" s="264"/>
      <c r="B709" s="264"/>
      <c r="C709" s="264"/>
      <c r="D709" s="264"/>
      <c r="E709" s="264"/>
      <c r="F709" s="264"/>
      <c r="G709" s="264"/>
      <c r="H709" s="264"/>
      <c r="I709" s="264"/>
      <c r="J709" s="264"/>
      <c r="K709" s="264"/>
      <c r="L709" s="264"/>
      <c r="M709" s="264"/>
      <c r="N709" s="264"/>
      <c r="O709" s="264"/>
      <c r="P709" s="264"/>
      <c r="Q709" s="264"/>
      <c r="R709" s="264"/>
      <c r="S709" s="264"/>
      <c r="T709" s="264"/>
      <c r="U709" s="264"/>
      <c r="V709" s="264"/>
      <c r="W709" s="264"/>
      <c r="X709" s="264"/>
    </row>
    <row r="710">
      <c r="A710" s="264"/>
      <c r="B710" s="264"/>
      <c r="C710" s="264"/>
      <c r="D710" s="264"/>
      <c r="E710" s="264"/>
      <c r="F710" s="264"/>
      <c r="G710" s="264"/>
      <c r="H710" s="264"/>
      <c r="I710" s="264"/>
      <c r="J710" s="264"/>
      <c r="K710" s="264"/>
      <c r="L710" s="264"/>
      <c r="M710" s="264"/>
      <c r="N710" s="264"/>
      <c r="O710" s="264"/>
      <c r="P710" s="264"/>
      <c r="Q710" s="264"/>
      <c r="R710" s="264"/>
      <c r="S710" s="264"/>
      <c r="T710" s="264"/>
      <c r="U710" s="264"/>
      <c r="V710" s="264"/>
      <c r="W710" s="264"/>
      <c r="X710" s="264"/>
    </row>
    <row r="711">
      <c r="A711" s="264"/>
      <c r="B711" s="264"/>
      <c r="C711" s="264"/>
      <c r="D711" s="264"/>
      <c r="E711" s="264"/>
      <c r="F711" s="264"/>
      <c r="G711" s="264"/>
      <c r="H711" s="264"/>
      <c r="I711" s="264"/>
      <c r="J711" s="264"/>
      <c r="K711" s="264"/>
      <c r="L711" s="264"/>
      <c r="M711" s="264"/>
      <c r="N711" s="264"/>
      <c r="O711" s="264"/>
      <c r="P711" s="264"/>
      <c r="Q711" s="264"/>
      <c r="R711" s="264"/>
      <c r="S711" s="264"/>
      <c r="T711" s="264"/>
      <c r="U711" s="264"/>
      <c r="V711" s="264"/>
      <c r="W711" s="264"/>
      <c r="X711" s="264"/>
    </row>
    <row r="712">
      <c r="A712" s="264"/>
      <c r="B712" s="264"/>
      <c r="C712" s="264"/>
      <c r="D712" s="264"/>
      <c r="E712" s="264"/>
      <c r="F712" s="264"/>
      <c r="G712" s="264"/>
      <c r="H712" s="264"/>
      <c r="I712" s="264"/>
      <c r="J712" s="264"/>
      <c r="K712" s="264"/>
      <c r="L712" s="264"/>
      <c r="M712" s="264"/>
      <c r="N712" s="264"/>
      <c r="O712" s="264"/>
      <c r="P712" s="264"/>
      <c r="Q712" s="264"/>
      <c r="R712" s="264"/>
      <c r="S712" s="264"/>
      <c r="T712" s="264"/>
      <c r="U712" s="264"/>
      <c r="V712" s="264"/>
      <c r="W712" s="264"/>
      <c r="X712" s="264"/>
    </row>
    <row r="713">
      <c r="A713" s="264"/>
      <c r="B713" s="264"/>
      <c r="C713" s="264"/>
      <c r="D713" s="264"/>
      <c r="E713" s="264"/>
      <c r="F713" s="264"/>
      <c r="G713" s="264"/>
      <c r="H713" s="264"/>
      <c r="I713" s="264"/>
      <c r="J713" s="264"/>
      <c r="K713" s="264"/>
      <c r="L713" s="264"/>
      <c r="M713" s="264"/>
      <c r="N713" s="264"/>
      <c r="O713" s="264"/>
      <c r="P713" s="264"/>
      <c r="Q713" s="264"/>
      <c r="R713" s="264"/>
      <c r="S713" s="264"/>
      <c r="T713" s="264"/>
      <c r="U713" s="264"/>
      <c r="V713" s="264"/>
      <c r="W713" s="264"/>
      <c r="X713" s="264"/>
    </row>
    <row r="714">
      <c r="A714" s="264"/>
      <c r="B714" s="264"/>
      <c r="C714" s="264"/>
      <c r="D714" s="264"/>
      <c r="E714" s="264"/>
      <c r="F714" s="264"/>
      <c r="G714" s="264"/>
      <c r="H714" s="264"/>
      <c r="I714" s="264"/>
      <c r="J714" s="264"/>
      <c r="K714" s="264"/>
      <c r="L714" s="264"/>
      <c r="M714" s="264"/>
      <c r="N714" s="264"/>
      <c r="O714" s="264"/>
      <c r="P714" s="264"/>
      <c r="Q714" s="264"/>
      <c r="R714" s="264"/>
      <c r="S714" s="264"/>
      <c r="T714" s="264"/>
      <c r="U714" s="264"/>
      <c r="V714" s="264"/>
      <c r="W714" s="264"/>
      <c r="X714" s="264"/>
    </row>
    <row r="715">
      <c r="A715" s="264"/>
      <c r="B715" s="264"/>
      <c r="C715" s="264"/>
      <c r="D715" s="264"/>
      <c r="E715" s="264"/>
      <c r="F715" s="264"/>
      <c r="G715" s="264"/>
      <c r="H715" s="264"/>
      <c r="I715" s="264"/>
      <c r="J715" s="264"/>
      <c r="K715" s="264"/>
      <c r="L715" s="264"/>
      <c r="M715" s="264"/>
      <c r="N715" s="264"/>
      <c r="O715" s="264"/>
      <c r="P715" s="264"/>
      <c r="Q715" s="264"/>
      <c r="R715" s="264"/>
      <c r="S715" s="264"/>
      <c r="T715" s="264"/>
      <c r="U715" s="264"/>
      <c r="V715" s="264"/>
      <c r="W715" s="264"/>
      <c r="X715" s="264"/>
    </row>
    <row r="716">
      <c r="A716" s="264"/>
      <c r="B716" s="264"/>
      <c r="C716" s="264"/>
      <c r="D716" s="264"/>
      <c r="E716" s="264"/>
      <c r="F716" s="264"/>
      <c r="G716" s="264"/>
      <c r="H716" s="264"/>
      <c r="I716" s="264"/>
      <c r="J716" s="264"/>
      <c r="K716" s="264"/>
      <c r="L716" s="264"/>
      <c r="M716" s="264"/>
      <c r="N716" s="264"/>
      <c r="O716" s="264"/>
      <c r="P716" s="264"/>
      <c r="Q716" s="264"/>
      <c r="R716" s="264"/>
      <c r="S716" s="264"/>
      <c r="T716" s="264"/>
      <c r="U716" s="264"/>
      <c r="V716" s="264"/>
      <c r="W716" s="264"/>
      <c r="X716" s="264"/>
    </row>
    <row r="717">
      <c r="A717" s="264"/>
      <c r="B717" s="264"/>
      <c r="C717" s="264"/>
      <c r="D717" s="264"/>
      <c r="E717" s="264"/>
      <c r="F717" s="264"/>
      <c r="G717" s="264"/>
      <c r="H717" s="264"/>
      <c r="I717" s="264"/>
      <c r="J717" s="264"/>
      <c r="K717" s="264"/>
      <c r="L717" s="264"/>
      <c r="M717" s="264"/>
      <c r="N717" s="264"/>
      <c r="O717" s="264"/>
      <c r="P717" s="264"/>
      <c r="Q717" s="264"/>
      <c r="R717" s="264"/>
      <c r="S717" s="264"/>
      <c r="T717" s="264"/>
      <c r="U717" s="264"/>
      <c r="V717" s="264"/>
      <c r="W717" s="264"/>
      <c r="X717" s="264"/>
    </row>
    <row r="718">
      <c r="A718" s="264"/>
      <c r="B718" s="264"/>
      <c r="C718" s="264"/>
      <c r="D718" s="264"/>
      <c r="E718" s="264"/>
      <c r="F718" s="264"/>
      <c r="G718" s="264"/>
      <c r="H718" s="264"/>
      <c r="I718" s="264"/>
      <c r="J718" s="264"/>
      <c r="K718" s="264"/>
      <c r="L718" s="264"/>
      <c r="M718" s="264"/>
      <c r="N718" s="264"/>
      <c r="O718" s="264"/>
      <c r="P718" s="264"/>
      <c r="Q718" s="264"/>
      <c r="R718" s="264"/>
      <c r="S718" s="264"/>
      <c r="T718" s="264"/>
      <c r="U718" s="264"/>
      <c r="V718" s="264"/>
      <c r="W718" s="264"/>
      <c r="X718" s="264"/>
    </row>
    <row r="719">
      <c r="A719" s="264"/>
      <c r="B719" s="264"/>
      <c r="C719" s="264"/>
      <c r="D719" s="264"/>
      <c r="E719" s="264"/>
      <c r="F719" s="264"/>
      <c r="G719" s="264"/>
      <c r="H719" s="264"/>
      <c r="I719" s="264"/>
      <c r="J719" s="264"/>
      <c r="K719" s="264"/>
      <c r="L719" s="264"/>
      <c r="M719" s="264"/>
      <c r="N719" s="264"/>
      <c r="O719" s="264"/>
      <c r="P719" s="264"/>
      <c r="Q719" s="264"/>
      <c r="R719" s="264"/>
      <c r="S719" s="264"/>
      <c r="T719" s="264"/>
      <c r="U719" s="264"/>
      <c r="V719" s="264"/>
      <c r="W719" s="264"/>
      <c r="X719" s="264"/>
    </row>
    <row r="720">
      <c r="A720" s="264"/>
      <c r="B720" s="264"/>
      <c r="C720" s="264"/>
      <c r="D720" s="264"/>
      <c r="E720" s="264"/>
      <c r="F720" s="264"/>
      <c r="G720" s="264"/>
      <c r="H720" s="264"/>
      <c r="I720" s="264"/>
      <c r="J720" s="264"/>
      <c r="K720" s="264"/>
      <c r="L720" s="264"/>
      <c r="M720" s="264"/>
      <c r="N720" s="264"/>
      <c r="O720" s="264"/>
      <c r="P720" s="264"/>
      <c r="Q720" s="264"/>
      <c r="R720" s="264"/>
      <c r="S720" s="264"/>
      <c r="T720" s="264"/>
      <c r="U720" s="264"/>
      <c r="V720" s="264"/>
      <c r="W720" s="264"/>
      <c r="X720" s="264"/>
    </row>
    <row r="721">
      <c r="A721" s="264"/>
      <c r="B721" s="264"/>
      <c r="C721" s="264"/>
      <c r="D721" s="264"/>
      <c r="E721" s="264"/>
      <c r="F721" s="264"/>
      <c r="G721" s="264"/>
      <c r="H721" s="264"/>
      <c r="I721" s="264"/>
      <c r="J721" s="264"/>
      <c r="K721" s="264"/>
      <c r="L721" s="264"/>
      <c r="M721" s="264"/>
      <c r="N721" s="264"/>
      <c r="O721" s="264"/>
      <c r="P721" s="264"/>
      <c r="Q721" s="264"/>
      <c r="R721" s="264"/>
      <c r="S721" s="264"/>
      <c r="T721" s="264"/>
      <c r="U721" s="264"/>
      <c r="V721" s="264"/>
      <c r="W721" s="264"/>
      <c r="X721" s="264"/>
    </row>
    <row r="722">
      <c r="A722" s="264"/>
      <c r="B722" s="264"/>
      <c r="C722" s="264"/>
      <c r="D722" s="264"/>
      <c r="E722" s="264"/>
      <c r="F722" s="264"/>
      <c r="G722" s="264"/>
      <c r="H722" s="264"/>
      <c r="I722" s="264"/>
      <c r="J722" s="264"/>
      <c r="K722" s="264"/>
      <c r="L722" s="264"/>
      <c r="M722" s="264"/>
      <c r="N722" s="264"/>
      <c r="O722" s="264"/>
      <c r="P722" s="264"/>
      <c r="Q722" s="264"/>
      <c r="R722" s="264"/>
      <c r="S722" s="264"/>
      <c r="T722" s="264"/>
      <c r="U722" s="264"/>
      <c r="V722" s="264"/>
      <c r="W722" s="264"/>
      <c r="X722" s="264"/>
    </row>
    <row r="723">
      <c r="A723" s="264"/>
      <c r="B723" s="264"/>
      <c r="C723" s="264"/>
      <c r="D723" s="264"/>
      <c r="E723" s="264"/>
      <c r="F723" s="264"/>
      <c r="G723" s="264"/>
      <c r="H723" s="264"/>
      <c r="I723" s="264"/>
      <c r="J723" s="264"/>
      <c r="K723" s="264"/>
      <c r="L723" s="264"/>
      <c r="M723" s="264"/>
      <c r="N723" s="264"/>
      <c r="O723" s="264"/>
      <c r="P723" s="264"/>
      <c r="Q723" s="264"/>
      <c r="R723" s="264"/>
      <c r="S723" s="264"/>
      <c r="T723" s="264"/>
      <c r="U723" s="264"/>
      <c r="V723" s="264"/>
      <c r="W723" s="264"/>
      <c r="X723" s="264"/>
    </row>
    <row r="724">
      <c r="A724" s="264"/>
      <c r="B724" s="264"/>
      <c r="C724" s="264"/>
      <c r="D724" s="264"/>
      <c r="E724" s="264"/>
      <c r="F724" s="264"/>
      <c r="G724" s="264"/>
      <c r="H724" s="264"/>
      <c r="I724" s="264"/>
      <c r="J724" s="264"/>
      <c r="K724" s="264"/>
      <c r="L724" s="264"/>
      <c r="M724" s="264"/>
      <c r="N724" s="264"/>
      <c r="O724" s="264"/>
      <c r="P724" s="264"/>
      <c r="Q724" s="264"/>
      <c r="R724" s="264"/>
      <c r="S724" s="264"/>
      <c r="T724" s="264"/>
      <c r="U724" s="264"/>
      <c r="V724" s="264"/>
      <c r="W724" s="264"/>
      <c r="X724" s="264"/>
    </row>
    <row r="725">
      <c r="A725" s="264"/>
      <c r="B725" s="264"/>
      <c r="C725" s="264"/>
      <c r="D725" s="264"/>
      <c r="E725" s="264"/>
      <c r="F725" s="264"/>
      <c r="G725" s="264"/>
      <c r="H725" s="264"/>
      <c r="I725" s="264"/>
      <c r="J725" s="264"/>
      <c r="K725" s="264"/>
      <c r="L725" s="264"/>
      <c r="M725" s="264"/>
      <c r="N725" s="264"/>
      <c r="O725" s="264"/>
      <c r="P725" s="264"/>
      <c r="Q725" s="264"/>
      <c r="R725" s="264"/>
      <c r="S725" s="264"/>
      <c r="T725" s="264"/>
      <c r="U725" s="264"/>
      <c r="V725" s="264"/>
      <c r="W725" s="264"/>
      <c r="X725" s="264"/>
    </row>
    <row r="726">
      <c r="A726" s="264"/>
      <c r="B726" s="264"/>
      <c r="C726" s="264"/>
      <c r="D726" s="264"/>
      <c r="E726" s="264"/>
      <c r="F726" s="264"/>
      <c r="G726" s="264"/>
      <c r="H726" s="264"/>
      <c r="I726" s="264"/>
      <c r="J726" s="264"/>
      <c r="K726" s="264"/>
      <c r="L726" s="264"/>
      <c r="M726" s="264"/>
      <c r="N726" s="264"/>
      <c r="O726" s="264"/>
      <c r="P726" s="264"/>
      <c r="Q726" s="264"/>
      <c r="R726" s="264"/>
      <c r="S726" s="264"/>
      <c r="T726" s="264"/>
      <c r="U726" s="264"/>
      <c r="V726" s="264"/>
      <c r="W726" s="264"/>
      <c r="X726" s="264"/>
    </row>
    <row r="727">
      <c r="A727" s="264"/>
      <c r="B727" s="264"/>
      <c r="C727" s="264"/>
      <c r="D727" s="264"/>
      <c r="E727" s="264"/>
      <c r="F727" s="264"/>
      <c r="G727" s="264"/>
      <c r="H727" s="264"/>
      <c r="I727" s="264"/>
      <c r="J727" s="264"/>
      <c r="K727" s="264"/>
      <c r="L727" s="264"/>
      <c r="M727" s="264"/>
      <c r="N727" s="264"/>
      <c r="O727" s="264"/>
      <c r="P727" s="264"/>
      <c r="Q727" s="264"/>
      <c r="R727" s="264"/>
      <c r="S727" s="264"/>
      <c r="T727" s="264"/>
      <c r="U727" s="264"/>
      <c r="V727" s="264"/>
      <c r="W727" s="264"/>
      <c r="X727" s="264"/>
    </row>
    <row r="728">
      <c r="A728" s="264"/>
      <c r="B728" s="264"/>
      <c r="C728" s="264"/>
      <c r="D728" s="264"/>
      <c r="E728" s="264"/>
      <c r="F728" s="264"/>
      <c r="G728" s="264"/>
      <c r="H728" s="264"/>
      <c r="I728" s="264"/>
      <c r="J728" s="264"/>
      <c r="K728" s="264"/>
      <c r="L728" s="264"/>
      <c r="M728" s="264"/>
      <c r="N728" s="264"/>
      <c r="O728" s="264"/>
      <c r="P728" s="264"/>
      <c r="Q728" s="264"/>
      <c r="R728" s="264"/>
      <c r="S728" s="264"/>
      <c r="T728" s="264"/>
      <c r="U728" s="264"/>
      <c r="V728" s="264"/>
      <c r="W728" s="264"/>
      <c r="X728" s="264"/>
    </row>
    <row r="729">
      <c r="A729" s="264"/>
      <c r="B729" s="264"/>
      <c r="C729" s="264"/>
      <c r="D729" s="264"/>
      <c r="E729" s="264"/>
      <c r="F729" s="264"/>
      <c r="G729" s="264"/>
      <c r="H729" s="264"/>
      <c r="I729" s="264"/>
      <c r="J729" s="264"/>
      <c r="K729" s="264"/>
      <c r="L729" s="264"/>
      <c r="M729" s="264"/>
      <c r="N729" s="264"/>
      <c r="O729" s="264"/>
      <c r="P729" s="264"/>
      <c r="Q729" s="264"/>
      <c r="R729" s="264"/>
      <c r="S729" s="264"/>
      <c r="T729" s="264"/>
      <c r="U729" s="264"/>
      <c r="V729" s="264"/>
      <c r="W729" s="264"/>
      <c r="X729" s="264"/>
    </row>
    <row r="730">
      <c r="A730" s="264"/>
      <c r="B730" s="264"/>
      <c r="C730" s="264"/>
      <c r="D730" s="264"/>
      <c r="E730" s="264"/>
      <c r="F730" s="264"/>
      <c r="G730" s="264"/>
      <c r="H730" s="264"/>
      <c r="I730" s="264"/>
      <c r="J730" s="264"/>
      <c r="K730" s="264"/>
      <c r="L730" s="264"/>
      <c r="M730" s="264"/>
      <c r="N730" s="264"/>
      <c r="O730" s="264"/>
      <c r="P730" s="264"/>
      <c r="Q730" s="264"/>
      <c r="R730" s="264"/>
      <c r="S730" s="264"/>
      <c r="T730" s="264"/>
      <c r="U730" s="264"/>
      <c r="V730" s="264"/>
      <c r="W730" s="264"/>
      <c r="X730" s="264"/>
    </row>
    <row r="731">
      <c r="A731" s="264"/>
      <c r="B731" s="264"/>
      <c r="C731" s="264"/>
      <c r="D731" s="264"/>
      <c r="E731" s="264"/>
      <c r="F731" s="264"/>
      <c r="G731" s="264"/>
      <c r="H731" s="264"/>
      <c r="I731" s="264"/>
      <c r="J731" s="264"/>
      <c r="K731" s="264"/>
      <c r="L731" s="264"/>
      <c r="M731" s="264"/>
      <c r="N731" s="264"/>
      <c r="O731" s="264"/>
      <c r="P731" s="264"/>
      <c r="Q731" s="264"/>
      <c r="R731" s="264"/>
      <c r="S731" s="264"/>
      <c r="T731" s="264"/>
      <c r="U731" s="264"/>
      <c r="V731" s="264"/>
      <c r="W731" s="264"/>
      <c r="X731" s="264"/>
    </row>
    <row r="732">
      <c r="A732" s="264"/>
      <c r="B732" s="264"/>
      <c r="C732" s="264"/>
      <c r="D732" s="264"/>
      <c r="E732" s="264"/>
      <c r="F732" s="264"/>
      <c r="G732" s="264"/>
      <c r="H732" s="264"/>
      <c r="I732" s="264"/>
      <c r="J732" s="264"/>
      <c r="K732" s="264"/>
      <c r="L732" s="264"/>
      <c r="M732" s="264"/>
      <c r="N732" s="264"/>
      <c r="O732" s="264"/>
      <c r="P732" s="264"/>
      <c r="Q732" s="264"/>
      <c r="R732" s="264"/>
      <c r="S732" s="264"/>
      <c r="T732" s="264"/>
      <c r="U732" s="264"/>
      <c r="V732" s="264"/>
      <c r="W732" s="264"/>
      <c r="X732" s="264"/>
    </row>
    <row r="733">
      <c r="A733" s="264"/>
      <c r="B733" s="264"/>
      <c r="C733" s="264"/>
      <c r="D733" s="264"/>
      <c r="E733" s="264"/>
      <c r="F733" s="264"/>
      <c r="G733" s="264"/>
      <c r="H733" s="264"/>
      <c r="I733" s="264"/>
      <c r="J733" s="264"/>
      <c r="K733" s="264"/>
      <c r="L733" s="264"/>
      <c r="M733" s="264"/>
      <c r="N733" s="264"/>
      <c r="O733" s="264"/>
      <c r="P733" s="264"/>
      <c r="Q733" s="264"/>
      <c r="R733" s="264"/>
      <c r="S733" s="264"/>
      <c r="T733" s="264"/>
      <c r="U733" s="264"/>
      <c r="V733" s="264"/>
      <c r="W733" s="264"/>
      <c r="X733" s="264"/>
    </row>
    <row r="734">
      <c r="A734" s="264"/>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row>
    <row r="735">
      <c r="A735" s="264"/>
      <c r="B735" s="264"/>
      <c r="C735" s="264"/>
      <c r="D735" s="264"/>
      <c r="E735" s="264"/>
      <c r="F735" s="264"/>
      <c r="G735" s="264"/>
      <c r="H735" s="264"/>
      <c r="I735" s="264"/>
      <c r="J735" s="264"/>
      <c r="K735" s="264"/>
      <c r="L735" s="264"/>
      <c r="M735" s="264"/>
      <c r="N735" s="264"/>
      <c r="O735" s="264"/>
      <c r="P735" s="264"/>
      <c r="Q735" s="264"/>
      <c r="R735" s="264"/>
      <c r="S735" s="264"/>
      <c r="T735" s="264"/>
      <c r="U735" s="264"/>
      <c r="V735" s="264"/>
      <c r="W735" s="264"/>
      <c r="X735" s="264"/>
    </row>
    <row r="736">
      <c r="A736" s="264"/>
      <c r="B736" s="264"/>
      <c r="C736" s="264"/>
      <c r="D736" s="264"/>
      <c r="E736" s="264"/>
      <c r="F736" s="264"/>
      <c r="G736" s="264"/>
      <c r="H736" s="264"/>
      <c r="I736" s="264"/>
      <c r="J736" s="264"/>
      <c r="K736" s="264"/>
      <c r="L736" s="264"/>
      <c r="M736" s="264"/>
      <c r="N736" s="264"/>
      <c r="O736" s="264"/>
      <c r="P736" s="264"/>
      <c r="Q736" s="264"/>
      <c r="R736" s="264"/>
      <c r="S736" s="264"/>
      <c r="T736" s="264"/>
      <c r="U736" s="264"/>
      <c r="V736" s="264"/>
      <c r="W736" s="264"/>
      <c r="X736" s="264"/>
    </row>
    <row r="737">
      <c r="A737" s="264"/>
      <c r="B737" s="264"/>
      <c r="C737" s="264"/>
      <c r="D737" s="264"/>
      <c r="E737" s="264"/>
      <c r="F737" s="264"/>
      <c r="G737" s="264"/>
      <c r="H737" s="264"/>
      <c r="I737" s="264"/>
      <c r="J737" s="264"/>
      <c r="K737" s="264"/>
      <c r="L737" s="264"/>
      <c r="M737" s="264"/>
      <c r="N737" s="264"/>
      <c r="O737" s="264"/>
      <c r="P737" s="264"/>
      <c r="Q737" s="264"/>
      <c r="R737" s="264"/>
      <c r="S737" s="264"/>
      <c r="T737" s="264"/>
      <c r="U737" s="264"/>
      <c r="V737" s="264"/>
      <c r="W737" s="264"/>
      <c r="X737" s="264"/>
    </row>
    <row r="738">
      <c r="A738" s="264"/>
      <c r="B738" s="264"/>
      <c r="C738" s="264"/>
      <c r="D738" s="264"/>
      <c r="E738" s="264"/>
      <c r="F738" s="264"/>
      <c r="G738" s="264"/>
      <c r="H738" s="264"/>
      <c r="I738" s="264"/>
      <c r="J738" s="264"/>
      <c r="K738" s="264"/>
      <c r="L738" s="264"/>
      <c r="M738" s="264"/>
      <c r="N738" s="264"/>
      <c r="O738" s="264"/>
      <c r="P738" s="264"/>
      <c r="Q738" s="264"/>
      <c r="R738" s="264"/>
      <c r="S738" s="264"/>
      <c r="T738" s="264"/>
      <c r="U738" s="264"/>
      <c r="V738" s="264"/>
      <c r="W738" s="264"/>
      <c r="X738" s="264"/>
    </row>
    <row r="739">
      <c r="A739" s="264"/>
      <c r="B739" s="264"/>
      <c r="C739" s="264"/>
      <c r="D739" s="264"/>
      <c r="E739" s="264"/>
      <c r="F739" s="264"/>
      <c r="G739" s="264"/>
      <c r="H739" s="264"/>
      <c r="I739" s="264"/>
      <c r="J739" s="264"/>
      <c r="K739" s="264"/>
      <c r="L739" s="264"/>
      <c r="M739" s="264"/>
      <c r="N739" s="264"/>
      <c r="O739" s="264"/>
      <c r="P739" s="264"/>
      <c r="Q739" s="264"/>
      <c r="R739" s="264"/>
      <c r="S739" s="264"/>
      <c r="T739" s="264"/>
      <c r="U739" s="264"/>
      <c r="V739" s="264"/>
      <c r="W739" s="264"/>
      <c r="X739" s="264"/>
    </row>
    <row r="740">
      <c r="A740" s="264"/>
      <c r="B740" s="264"/>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row>
    <row r="741">
      <c r="A741" s="264"/>
      <c r="B741" s="264"/>
      <c r="C741" s="264"/>
      <c r="D741" s="264"/>
      <c r="E741" s="264"/>
      <c r="F741" s="264"/>
      <c r="G741" s="264"/>
      <c r="H741" s="264"/>
      <c r="I741" s="264"/>
      <c r="J741" s="264"/>
      <c r="K741" s="264"/>
      <c r="L741" s="264"/>
      <c r="M741" s="264"/>
      <c r="N741" s="264"/>
      <c r="O741" s="264"/>
      <c r="P741" s="264"/>
      <c r="Q741" s="264"/>
      <c r="R741" s="264"/>
      <c r="S741" s="264"/>
      <c r="T741" s="264"/>
      <c r="U741" s="264"/>
      <c r="V741" s="264"/>
      <c r="W741" s="264"/>
      <c r="X741" s="264"/>
    </row>
    <row r="742">
      <c r="A742" s="264"/>
      <c r="B742" s="264"/>
      <c r="C742" s="264"/>
      <c r="D742" s="264"/>
      <c r="E742" s="264"/>
      <c r="F742" s="264"/>
      <c r="G742" s="264"/>
      <c r="H742" s="264"/>
      <c r="I742" s="264"/>
      <c r="J742" s="264"/>
      <c r="K742" s="264"/>
      <c r="L742" s="264"/>
      <c r="M742" s="264"/>
      <c r="N742" s="264"/>
      <c r="O742" s="264"/>
      <c r="P742" s="264"/>
      <c r="Q742" s="264"/>
      <c r="R742" s="264"/>
      <c r="S742" s="264"/>
      <c r="T742" s="264"/>
      <c r="U742" s="264"/>
      <c r="V742" s="264"/>
      <c r="W742" s="264"/>
      <c r="X742" s="264"/>
    </row>
    <row r="743">
      <c r="A743" s="264"/>
      <c r="B743" s="264"/>
      <c r="C743" s="264"/>
      <c r="D743" s="264"/>
      <c r="E743" s="264"/>
      <c r="F743" s="264"/>
      <c r="G743" s="264"/>
      <c r="H743" s="264"/>
      <c r="I743" s="264"/>
      <c r="J743" s="264"/>
      <c r="K743" s="264"/>
      <c r="L743" s="264"/>
      <c r="M743" s="264"/>
      <c r="N743" s="264"/>
      <c r="O743" s="264"/>
      <c r="P743" s="264"/>
      <c r="Q743" s="264"/>
      <c r="R743" s="264"/>
      <c r="S743" s="264"/>
      <c r="T743" s="264"/>
      <c r="U743" s="264"/>
      <c r="V743" s="264"/>
      <c r="W743" s="264"/>
      <c r="X743" s="264"/>
    </row>
    <row r="744">
      <c r="A744" s="264"/>
      <c r="B744" s="264"/>
      <c r="C744" s="264"/>
      <c r="D744" s="264"/>
      <c r="E744" s="264"/>
      <c r="F744" s="264"/>
      <c r="G744" s="264"/>
      <c r="H744" s="264"/>
      <c r="I744" s="264"/>
      <c r="J744" s="264"/>
      <c r="K744" s="264"/>
      <c r="L744" s="264"/>
      <c r="M744" s="264"/>
      <c r="N744" s="264"/>
      <c r="O744" s="264"/>
      <c r="P744" s="264"/>
      <c r="Q744" s="264"/>
      <c r="R744" s="264"/>
      <c r="S744" s="264"/>
      <c r="T744" s="264"/>
      <c r="U744" s="264"/>
      <c r="V744" s="264"/>
      <c r="W744" s="264"/>
      <c r="X744" s="264"/>
    </row>
    <row r="745">
      <c r="A745" s="264"/>
      <c r="B745" s="264"/>
      <c r="C745" s="264"/>
      <c r="D745" s="264"/>
      <c r="E745" s="264"/>
      <c r="F745" s="264"/>
      <c r="G745" s="264"/>
      <c r="H745" s="264"/>
      <c r="I745" s="264"/>
      <c r="J745" s="264"/>
      <c r="K745" s="264"/>
      <c r="L745" s="264"/>
      <c r="M745" s="264"/>
      <c r="N745" s="264"/>
      <c r="O745" s="264"/>
      <c r="P745" s="264"/>
      <c r="Q745" s="264"/>
      <c r="R745" s="264"/>
      <c r="S745" s="264"/>
      <c r="T745" s="264"/>
      <c r="U745" s="264"/>
      <c r="V745" s="264"/>
      <c r="W745" s="264"/>
      <c r="X745" s="264"/>
    </row>
    <row r="746">
      <c r="A746" s="264"/>
      <c r="B746" s="264"/>
      <c r="C746" s="264"/>
      <c r="D746" s="264"/>
      <c r="E746" s="264"/>
      <c r="F746" s="264"/>
      <c r="G746" s="264"/>
      <c r="H746" s="264"/>
      <c r="I746" s="264"/>
      <c r="J746" s="264"/>
      <c r="K746" s="264"/>
      <c r="L746" s="264"/>
      <c r="M746" s="264"/>
      <c r="N746" s="264"/>
      <c r="O746" s="264"/>
      <c r="P746" s="264"/>
      <c r="Q746" s="264"/>
      <c r="R746" s="264"/>
      <c r="S746" s="264"/>
      <c r="T746" s="264"/>
      <c r="U746" s="264"/>
      <c r="V746" s="264"/>
      <c r="W746" s="264"/>
      <c r="X746" s="264"/>
    </row>
    <row r="747">
      <c r="A747" s="264"/>
      <c r="B747" s="264"/>
      <c r="C747" s="264"/>
      <c r="D747" s="264"/>
      <c r="E747" s="264"/>
      <c r="F747" s="264"/>
      <c r="G747" s="264"/>
      <c r="H747" s="264"/>
      <c r="I747" s="264"/>
      <c r="J747" s="264"/>
      <c r="K747" s="264"/>
      <c r="L747" s="264"/>
      <c r="M747" s="264"/>
      <c r="N747" s="264"/>
      <c r="O747" s="264"/>
      <c r="P747" s="264"/>
      <c r="Q747" s="264"/>
      <c r="R747" s="264"/>
      <c r="S747" s="264"/>
      <c r="T747" s="264"/>
      <c r="U747" s="264"/>
      <c r="V747" s="264"/>
      <c r="W747" s="264"/>
      <c r="X747" s="264"/>
    </row>
    <row r="748">
      <c r="A748" s="264"/>
      <c r="B748" s="264"/>
      <c r="C748" s="264"/>
      <c r="D748" s="264"/>
      <c r="E748" s="264"/>
      <c r="F748" s="264"/>
      <c r="G748" s="264"/>
      <c r="H748" s="264"/>
      <c r="I748" s="264"/>
      <c r="J748" s="264"/>
      <c r="K748" s="264"/>
      <c r="L748" s="264"/>
      <c r="M748" s="264"/>
      <c r="N748" s="264"/>
      <c r="O748" s="264"/>
      <c r="P748" s="264"/>
      <c r="Q748" s="264"/>
      <c r="R748" s="264"/>
      <c r="S748" s="264"/>
      <c r="T748" s="264"/>
      <c r="U748" s="264"/>
      <c r="V748" s="264"/>
      <c r="W748" s="264"/>
      <c r="X748" s="264"/>
    </row>
    <row r="749">
      <c r="A749" s="264"/>
      <c r="B749" s="264"/>
      <c r="C749" s="264"/>
      <c r="D749" s="264"/>
      <c r="E749" s="264"/>
      <c r="F749" s="264"/>
      <c r="G749" s="264"/>
      <c r="H749" s="264"/>
      <c r="I749" s="264"/>
      <c r="J749" s="264"/>
      <c r="K749" s="264"/>
      <c r="L749" s="264"/>
      <c r="M749" s="264"/>
      <c r="N749" s="264"/>
      <c r="O749" s="264"/>
      <c r="P749" s="264"/>
      <c r="Q749" s="264"/>
      <c r="R749" s="264"/>
      <c r="S749" s="264"/>
      <c r="T749" s="264"/>
      <c r="U749" s="264"/>
      <c r="V749" s="264"/>
      <c r="W749" s="264"/>
      <c r="X749" s="264"/>
    </row>
    <row r="750">
      <c r="A750" s="264"/>
      <c r="B750" s="264"/>
      <c r="C750" s="264"/>
      <c r="D750" s="264"/>
      <c r="E750" s="264"/>
      <c r="F750" s="264"/>
      <c r="G750" s="264"/>
      <c r="H750" s="264"/>
      <c r="I750" s="264"/>
      <c r="J750" s="264"/>
      <c r="K750" s="264"/>
      <c r="L750" s="264"/>
      <c r="M750" s="264"/>
      <c r="N750" s="264"/>
      <c r="O750" s="264"/>
      <c r="P750" s="264"/>
      <c r="Q750" s="264"/>
      <c r="R750" s="264"/>
      <c r="S750" s="264"/>
      <c r="T750" s="264"/>
      <c r="U750" s="264"/>
      <c r="V750" s="264"/>
      <c r="W750" s="264"/>
      <c r="X750" s="264"/>
    </row>
    <row r="751">
      <c r="A751" s="264"/>
      <c r="B751" s="264"/>
      <c r="C751" s="264"/>
      <c r="D751" s="264"/>
      <c r="E751" s="264"/>
      <c r="F751" s="264"/>
      <c r="G751" s="264"/>
      <c r="H751" s="264"/>
      <c r="I751" s="264"/>
      <c r="J751" s="264"/>
      <c r="K751" s="264"/>
      <c r="L751" s="264"/>
      <c r="M751" s="264"/>
      <c r="N751" s="264"/>
      <c r="O751" s="264"/>
      <c r="P751" s="264"/>
      <c r="Q751" s="264"/>
      <c r="R751" s="264"/>
      <c r="S751" s="264"/>
      <c r="T751" s="264"/>
      <c r="U751" s="264"/>
      <c r="V751" s="264"/>
      <c r="W751" s="264"/>
      <c r="X751" s="264"/>
    </row>
    <row r="752">
      <c r="A752" s="264"/>
      <c r="B752" s="264"/>
      <c r="C752" s="264"/>
      <c r="D752" s="264"/>
      <c r="E752" s="264"/>
      <c r="F752" s="264"/>
      <c r="G752" s="264"/>
      <c r="H752" s="264"/>
      <c r="I752" s="264"/>
      <c r="J752" s="264"/>
      <c r="K752" s="264"/>
      <c r="L752" s="264"/>
      <c r="M752" s="264"/>
      <c r="N752" s="264"/>
      <c r="O752" s="264"/>
      <c r="P752" s="264"/>
      <c r="Q752" s="264"/>
      <c r="R752" s="264"/>
      <c r="S752" s="264"/>
      <c r="T752" s="264"/>
      <c r="U752" s="264"/>
      <c r="V752" s="264"/>
      <c r="W752" s="264"/>
      <c r="X752" s="264"/>
    </row>
    <row r="753">
      <c r="A753" s="264"/>
      <c r="B753" s="264"/>
      <c r="C753" s="264"/>
      <c r="D753" s="264"/>
      <c r="E753" s="264"/>
      <c r="F753" s="264"/>
      <c r="G753" s="264"/>
      <c r="H753" s="264"/>
      <c r="I753" s="264"/>
      <c r="J753" s="264"/>
      <c r="K753" s="264"/>
      <c r="L753" s="264"/>
      <c r="M753" s="264"/>
      <c r="N753" s="264"/>
      <c r="O753" s="264"/>
      <c r="P753" s="264"/>
      <c r="Q753" s="264"/>
      <c r="R753" s="264"/>
      <c r="S753" s="264"/>
      <c r="T753" s="264"/>
      <c r="U753" s="264"/>
      <c r="V753" s="264"/>
      <c r="W753" s="264"/>
      <c r="X753" s="264"/>
    </row>
    <row r="754">
      <c r="A754" s="264"/>
      <c r="B754" s="264"/>
      <c r="C754" s="264"/>
      <c r="D754" s="264"/>
      <c r="E754" s="264"/>
      <c r="F754" s="264"/>
      <c r="G754" s="264"/>
      <c r="H754" s="264"/>
      <c r="I754" s="264"/>
      <c r="J754" s="264"/>
      <c r="K754" s="264"/>
      <c r="L754" s="264"/>
      <c r="M754" s="264"/>
      <c r="N754" s="264"/>
      <c r="O754" s="264"/>
      <c r="P754" s="264"/>
      <c r="Q754" s="264"/>
      <c r="R754" s="264"/>
      <c r="S754" s="264"/>
      <c r="T754" s="264"/>
      <c r="U754" s="264"/>
      <c r="V754" s="264"/>
      <c r="W754" s="264"/>
      <c r="X754" s="264"/>
    </row>
    <row r="755">
      <c r="A755" s="264"/>
      <c r="B755" s="264"/>
      <c r="C755" s="264"/>
      <c r="D755" s="264"/>
      <c r="E755" s="264"/>
      <c r="F755" s="264"/>
      <c r="G755" s="264"/>
      <c r="H755" s="264"/>
      <c r="I755" s="264"/>
      <c r="J755" s="264"/>
      <c r="K755" s="264"/>
      <c r="L755" s="264"/>
      <c r="M755" s="264"/>
      <c r="N755" s="264"/>
      <c r="O755" s="264"/>
      <c r="P755" s="264"/>
      <c r="Q755" s="264"/>
      <c r="R755" s="264"/>
      <c r="S755" s="264"/>
      <c r="T755" s="264"/>
      <c r="U755" s="264"/>
      <c r="V755" s="264"/>
      <c r="W755" s="264"/>
      <c r="X755" s="264"/>
    </row>
    <row r="756">
      <c r="A756" s="264"/>
      <c r="B756" s="264"/>
      <c r="C756" s="264"/>
      <c r="D756" s="264"/>
      <c r="E756" s="264"/>
      <c r="F756" s="264"/>
      <c r="G756" s="264"/>
      <c r="H756" s="264"/>
      <c r="I756" s="264"/>
      <c r="J756" s="264"/>
      <c r="K756" s="264"/>
      <c r="L756" s="264"/>
      <c r="M756" s="264"/>
      <c r="N756" s="264"/>
      <c r="O756" s="264"/>
      <c r="P756" s="264"/>
      <c r="Q756" s="264"/>
      <c r="R756" s="264"/>
      <c r="S756" s="264"/>
      <c r="T756" s="264"/>
      <c r="U756" s="264"/>
      <c r="V756" s="264"/>
      <c r="W756" s="264"/>
      <c r="X756" s="264"/>
    </row>
    <row r="757">
      <c r="A757" s="264"/>
      <c r="B757" s="264"/>
      <c r="C757" s="264"/>
      <c r="D757" s="264"/>
      <c r="E757" s="264"/>
      <c r="F757" s="264"/>
      <c r="G757" s="264"/>
      <c r="H757" s="264"/>
      <c r="I757" s="264"/>
      <c r="J757" s="264"/>
      <c r="K757" s="264"/>
      <c r="L757" s="264"/>
      <c r="M757" s="264"/>
      <c r="N757" s="264"/>
      <c r="O757" s="264"/>
      <c r="P757" s="264"/>
      <c r="Q757" s="264"/>
      <c r="R757" s="264"/>
      <c r="S757" s="264"/>
      <c r="T757" s="264"/>
      <c r="U757" s="264"/>
      <c r="V757" s="264"/>
      <c r="W757" s="264"/>
      <c r="X757" s="264"/>
    </row>
    <row r="758">
      <c r="A758" s="264"/>
      <c r="B758" s="264"/>
      <c r="C758" s="264"/>
      <c r="D758" s="264"/>
      <c r="E758" s="264"/>
      <c r="F758" s="264"/>
      <c r="G758" s="264"/>
      <c r="H758" s="264"/>
      <c r="I758" s="264"/>
      <c r="J758" s="264"/>
      <c r="K758" s="264"/>
      <c r="L758" s="264"/>
      <c r="M758" s="264"/>
      <c r="N758" s="264"/>
      <c r="O758" s="264"/>
      <c r="P758" s="264"/>
      <c r="Q758" s="264"/>
      <c r="R758" s="264"/>
      <c r="S758" s="264"/>
      <c r="T758" s="264"/>
      <c r="U758" s="264"/>
      <c r="V758" s="264"/>
      <c r="W758" s="264"/>
      <c r="X758" s="264"/>
    </row>
    <row r="759">
      <c r="A759" s="264"/>
      <c r="B759" s="264"/>
      <c r="C759" s="264"/>
      <c r="D759" s="264"/>
      <c r="E759" s="264"/>
      <c r="F759" s="264"/>
      <c r="G759" s="264"/>
      <c r="H759" s="264"/>
      <c r="I759" s="264"/>
      <c r="J759" s="264"/>
      <c r="K759" s="264"/>
      <c r="L759" s="264"/>
      <c r="M759" s="264"/>
      <c r="N759" s="264"/>
      <c r="O759" s="264"/>
      <c r="P759" s="264"/>
      <c r="Q759" s="264"/>
      <c r="R759" s="264"/>
      <c r="S759" s="264"/>
      <c r="T759" s="264"/>
      <c r="U759" s="264"/>
      <c r="V759" s="264"/>
      <c r="W759" s="264"/>
      <c r="X759" s="264"/>
    </row>
    <row r="760">
      <c r="A760" s="264"/>
      <c r="B760" s="264"/>
      <c r="C760" s="264"/>
      <c r="D760" s="264"/>
      <c r="E760" s="264"/>
      <c r="F760" s="264"/>
      <c r="G760" s="264"/>
      <c r="H760" s="264"/>
      <c r="I760" s="264"/>
      <c r="J760" s="264"/>
      <c r="K760" s="264"/>
      <c r="L760" s="264"/>
      <c r="M760" s="264"/>
      <c r="N760" s="264"/>
      <c r="O760" s="264"/>
      <c r="P760" s="264"/>
      <c r="Q760" s="264"/>
      <c r="R760" s="264"/>
      <c r="S760" s="264"/>
      <c r="T760" s="264"/>
      <c r="U760" s="264"/>
      <c r="V760" s="264"/>
      <c r="W760" s="264"/>
      <c r="X760" s="264"/>
    </row>
    <row r="761">
      <c r="A761" s="264"/>
      <c r="B761" s="264"/>
      <c r="C761" s="264"/>
      <c r="D761" s="264"/>
      <c r="E761" s="264"/>
      <c r="F761" s="264"/>
      <c r="G761" s="264"/>
      <c r="H761" s="264"/>
      <c r="I761" s="264"/>
      <c r="J761" s="264"/>
      <c r="K761" s="264"/>
      <c r="L761" s="264"/>
      <c r="M761" s="264"/>
      <c r="N761" s="264"/>
      <c r="O761" s="264"/>
      <c r="P761" s="264"/>
      <c r="Q761" s="264"/>
      <c r="R761" s="264"/>
      <c r="S761" s="264"/>
      <c r="T761" s="264"/>
      <c r="U761" s="264"/>
      <c r="V761" s="264"/>
      <c r="W761" s="264"/>
      <c r="X761" s="264"/>
    </row>
    <row r="762">
      <c r="A762" s="264"/>
      <c r="B762" s="264"/>
      <c r="C762" s="264"/>
      <c r="D762" s="264"/>
      <c r="E762" s="264"/>
      <c r="F762" s="264"/>
      <c r="G762" s="264"/>
      <c r="H762" s="264"/>
      <c r="I762" s="264"/>
      <c r="J762" s="264"/>
      <c r="K762" s="264"/>
      <c r="L762" s="264"/>
      <c r="M762" s="264"/>
      <c r="N762" s="264"/>
      <c r="O762" s="264"/>
      <c r="P762" s="264"/>
      <c r="Q762" s="264"/>
      <c r="R762" s="264"/>
      <c r="S762" s="264"/>
      <c r="T762" s="264"/>
      <c r="U762" s="264"/>
      <c r="V762" s="264"/>
      <c r="W762" s="264"/>
      <c r="X762" s="264"/>
    </row>
    <row r="763">
      <c r="A763" s="264"/>
      <c r="B763" s="264"/>
      <c r="C763" s="264"/>
      <c r="D763" s="264"/>
      <c r="E763" s="264"/>
      <c r="F763" s="264"/>
      <c r="G763" s="264"/>
      <c r="H763" s="264"/>
      <c r="I763" s="264"/>
      <c r="J763" s="264"/>
      <c r="K763" s="264"/>
      <c r="L763" s="264"/>
      <c r="M763" s="264"/>
      <c r="N763" s="264"/>
      <c r="O763" s="264"/>
      <c r="P763" s="264"/>
      <c r="Q763" s="264"/>
      <c r="R763" s="264"/>
      <c r="S763" s="264"/>
      <c r="T763" s="264"/>
      <c r="U763" s="264"/>
      <c r="V763" s="264"/>
      <c r="W763" s="264"/>
      <c r="X763" s="264"/>
    </row>
    <row r="764">
      <c r="A764" s="264"/>
      <c r="B764" s="264"/>
      <c r="C764" s="264"/>
      <c r="D764" s="264"/>
      <c r="E764" s="264"/>
      <c r="F764" s="264"/>
      <c r="G764" s="264"/>
      <c r="H764" s="264"/>
      <c r="I764" s="264"/>
      <c r="J764" s="264"/>
      <c r="K764" s="264"/>
      <c r="L764" s="264"/>
      <c r="M764" s="264"/>
      <c r="N764" s="264"/>
      <c r="O764" s="264"/>
      <c r="P764" s="264"/>
      <c r="Q764" s="264"/>
      <c r="R764" s="264"/>
      <c r="S764" s="264"/>
      <c r="T764" s="264"/>
      <c r="U764" s="264"/>
      <c r="V764" s="264"/>
      <c r="W764" s="264"/>
      <c r="X764" s="264"/>
    </row>
    <row r="765">
      <c r="A765" s="264"/>
      <c r="B765" s="264"/>
      <c r="C765" s="264"/>
      <c r="D765" s="264"/>
      <c r="E765" s="264"/>
      <c r="F765" s="264"/>
      <c r="G765" s="264"/>
      <c r="H765" s="264"/>
      <c r="I765" s="264"/>
      <c r="J765" s="264"/>
      <c r="K765" s="264"/>
      <c r="L765" s="264"/>
      <c r="M765" s="264"/>
      <c r="N765" s="264"/>
      <c r="O765" s="264"/>
      <c r="P765" s="264"/>
      <c r="Q765" s="264"/>
      <c r="R765" s="264"/>
      <c r="S765" s="264"/>
      <c r="T765" s="264"/>
      <c r="U765" s="264"/>
      <c r="V765" s="264"/>
      <c r="W765" s="264"/>
      <c r="X765" s="264"/>
    </row>
    <row r="766">
      <c r="A766" s="264"/>
      <c r="B766" s="264"/>
      <c r="C766" s="264"/>
      <c r="D766" s="264"/>
      <c r="E766" s="264"/>
      <c r="F766" s="264"/>
      <c r="G766" s="264"/>
      <c r="H766" s="264"/>
      <c r="I766" s="264"/>
      <c r="J766" s="264"/>
      <c r="K766" s="264"/>
      <c r="L766" s="264"/>
      <c r="M766" s="264"/>
      <c r="N766" s="264"/>
      <c r="O766" s="264"/>
      <c r="P766" s="264"/>
      <c r="Q766" s="264"/>
      <c r="R766" s="264"/>
      <c r="S766" s="264"/>
      <c r="T766" s="264"/>
      <c r="U766" s="264"/>
      <c r="V766" s="264"/>
      <c r="W766" s="264"/>
      <c r="X766" s="264"/>
    </row>
    <row r="767">
      <c r="A767" s="264"/>
      <c r="B767" s="264"/>
      <c r="C767" s="264"/>
      <c r="D767" s="264"/>
      <c r="E767" s="264"/>
      <c r="F767" s="264"/>
      <c r="G767" s="264"/>
      <c r="H767" s="264"/>
      <c r="I767" s="264"/>
      <c r="J767" s="264"/>
      <c r="K767" s="264"/>
      <c r="L767" s="264"/>
      <c r="M767" s="264"/>
      <c r="N767" s="264"/>
      <c r="O767" s="264"/>
      <c r="P767" s="264"/>
      <c r="Q767" s="264"/>
      <c r="R767" s="264"/>
      <c r="S767" s="264"/>
      <c r="T767" s="264"/>
      <c r="U767" s="264"/>
      <c r="V767" s="264"/>
      <c r="W767" s="264"/>
      <c r="X767" s="264"/>
    </row>
    <row r="768">
      <c r="A768" s="264"/>
      <c r="B768" s="264"/>
      <c r="C768" s="264"/>
      <c r="D768" s="264"/>
      <c r="E768" s="264"/>
      <c r="F768" s="264"/>
      <c r="G768" s="264"/>
      <c r="H768" s="264"/>
      <c r="I768" s="264"/>
      <c r="J768" s="264"/>
      <c r="K768" s="264"/>
      <c r="L768" s="264"/>
      <c r="M768" s="264"/>
      <c r="N768" s="264"/>
      <c r="O768" s="264"/>
      <c r="P768" s="264"/>
      <c r="Q768" s="264"/>
      <c r="R768" s="264"/>
      <c r="S768" s="264"/>
      <c r="T768" s="264"/>
      <c r="U768" s="264"/>
      <c r="V768" s="264"/>
      <c r="W768" s="264"/>
      <c r="X768" s="264"/>
    </row>
    <row r="769">
      <c r="A769" s="264"/>
      <c r="B769" s="264"/>
      <c r="C769" s="264"/>
      <c r="D769" s="264"/>
      <c r="E769" s="264"/>
      <c r="F769" s="264"/>
      <c r="G769" s="264"/>
      <c r="H769" s="264"/>
      <c r="I769" s="264"/>
      <c r="J769" s="264"/>
      <c r="K769" s="264"/>
      <c r="L769" s="264"/>
      <c r="M769" s="264"/>
      <c r="N769" s="264"/>
      <c r="O769" s="264"/>
      <c r="P769" s="264"/>
      <c r="Q769" s="264"/>
      <c r="R769" s="264"/>
      <c r="S769" s="264"/>
      <c r="T769" s="264"/>
      <c r="U769" s="264"/>
      <c r="V769" s="264"/>
      <c r="W769" s="264"/>
      <c r="X769" s="264"/>
    </row>
    <row r="770">
      <c r="A770" s="264"/>
      <c r="B770" s="264"/>
      <c r="C770" s="264"/>
      <c r="D770" s="264"/>
      <c r="E770" s="264"/>
      <c r="F770" s="264"/>
      <c r="G770" s="264"/>
      <c r="H770" s="264"/>
      <c r="I770" s="264"/>
      <c r="J770" s="264"/>
      <c r="K770" s="264"/>
      <c r="L770" s="264"/>
      <c r="M770" s="264"/>
      <c r="N770" s="264"/>
      <c r="O770" s="264"/>
      <c r="P770" s="264"/>
      <c r="Q770" s="264"/>
      <c r="R770" s="264"/>
      <c r="S770" s="264"/>
      <c r="T770" s="264"/>
      <c r="U770" s="264"/>
      <c r="V770" s="264"/>
      <c r="W770" s="264"/>
      <c r="X770" s="264"/>
    </row>
    <row r="771">
      <c r="A771" s="264"/>
      <c r="B771" s="264"/>
      <c r="C771" s="264"/>
      <c r="D771" s="264"/>
      <c r="E771" s="264"/>
      <c r="F771" s="264"/>
      <c r="G771" s="264"/>
      <c r="H771" s="264"/>
      <c r="I771" s="264"/>
      <c r="J771" s="264"/>
      <c r="K771" s="264"/>
      <c r="L771" s="264"/>
      <c r="M771" s="264"/>
      <c r="N771" s="264"/>
      <c r="O771" s="264"/>
      <c r="P771" s="264"/>
      <c r="Q771" s="264"/>
      <c r="R771" s="264"/>
      <c r="S771" s="264"/>
      <c r="T771" s="264"/>
      <c r="U771" s="264"/>
      <c r="V771" s="264"/>
      <c r="W771" s="264"/>
      <c r="X771" s="264"/>
    </row>
    <row r="772">
      <c r="A772" s="264"/>
      <c r="B772" s="264"/>
      <c r="C772" s="264"/>
      <c r="D772" s="264"/>
      <c r="E772" s="264"/>
      <c r="F772" s="264"/>
      <c r="G772" s="264"/>
      <c r="H772" s="264"/>
      <c r="I772" s="264"/>
      <c r="J772" s="264"/>
      <c r="K772" s="264"/>
      <c r="L772" s="264"/>
      <c r="M772" s="264"/>
      <c r="N772" s="264"/>
      <c r="O772" s="264"/>
      <c r="P772" s="264"/>
      <c r="Q772" s="264"/>
      <c r="R772" s="264"/>
      <c r="S772" s="264"/>
      <c r="T772" s="264"/>
      <c r="U772" s="264"/>
      <c r="V772" s="264"/>
      <c r="W772" s="264"/>
      <c r="X772" s="264"/>
    </row>
    <row r="773">
      <c r="A773" s="264"/>
      <c r="B773" s="264"/>
      <c r="C773" s="264"/>
      <c r="D773" s="264"/>
      <c r="E773" s="264"/>
      <c r="F773" s="264"/>
      <c r="G773" s="264"/>
      <c r="H773" s="264"/>
      <c r="I773" s="264"/>
      <c r="J773" s="264"/>
      <c r="K773" s="264"/>
      <c r="L773" s="264"/>
      <c r="M773" s="264"/>
      <c r="N773" s="264"/>
      <c r="O773" s="264"/>
      <c r="P773" s="264"/>
      <c r="Q773" s="264"/>
      <c r="R773" s="264"/>
      <c r="S773" s="264"/>
      <c r="T773" s="264"/>
      <c r="U773" s="264"/>
      <c r="V773" s="264"/>
      <c r="W773" s="264"/>
      <c r="X773" s="264"/>
    </row>
    <row r="774">
      <c r="A774" s="264"/>
      <c r="B774" s="264"/>
      <c r="C774" s="264"/>
      <c r="D774" s="264"/>
      <c r="E774" s="264"/>
      <c r="F774" s="264"/>
      <c r="G774" s="264"/>
      <c r="H774" s="264"/>
      <c r="I774" s="264"/>
      <c r="J774" s="264"/>
      <c r="K774" s="264"/>
      <c r="L774" s="264"/>
      <c r="M774" s="264"/>
      <c r="N774" s="264"/>
      <c r="O774" s="264"/>
      <c r="P774" s="264"/>
      <c r="Q774" s="264"/>
      <c r="R774" s="264"/>
      <c r="S774" s="264"/>
      <c r="T774" s="264"/>
      <c r="U774" s="264"/>
      <c r="V774" s="264"/>
      <c r="W774" s="264"/>
      <c r="X774" s="264"/>
    </row>
    <row r="775">
      <c r="A775" s="264"/>
      <c r="B775" s="264"/>
      <c r="C775" s="264"/>
      <c r="D775" s="264"/>
      <c r="E775" s="264"/>
      <c r="F775" s="264"/>
      <c r="G775" s="264"/>
      <c r="H775" s="264"/>
      <c r="I775" s="264"/>
      <c r="J775" s="264"/>
      <c r="K775" s="264"/>
      <c r="L775" s="264"/>
      <c r="M775" s="264"/>
      <c r="N775" s="264"/>
      <c r="O775" s="264"/>
      <c r="P775" s="264"/>
      <c r="Q775" s="264"/>
      <c r="R775" s="264"/>
      <c r="S775" s="264"/>
      <c r="T775" s="264"/>
      <c r="U775" s="264"/>
      <c r="V775" s="264"/>
      <c r="W775" s="264"/>
      <c r="X775" s="264"/>
    </row>
    <row r="776">
      <c r="A776" s="264"/>
      <c r="B776" s="264"/>
      <c r="C776" s="264"/>
      <c r="D776" s="264"/>
      <c r="E776" s="264"/>
      <c r="F776" s="264"/>
      <c r="G776" s="264"/>
      <c r="H776" s="264"/>
      <c r="I776" s="264"/>
      <c r="J776" s="264"/>
      <c r="K776" s="264"/>
      <c r="L776" s="264"/>
      <c r="M776" s="264"/>
      <c r="N776" s="264"/>
      <c r="O776" s="264"/>
      <c r="P776" s="264"/>
      <c r="Q776" s="264"/>
      <c r="R776" s="264"/>
      <c r="S776" s="264"/>
      <c r="T776" s="264"/>
      <c r="U776" s="264"/>
      <c r="V776" s="264"/>
      <c r="W776" s="264"/>
      <c r="X776" s="264"/>
    </row>
    <row r="777">
      <c r="A777" s="264"/>
      <c r="B777" s="264"/>
      <c r="C777" s="264"/>
      <c r="D777" s="264"/>
      <c r="E777" s="264"/>
      <c r="F777" s="264"/>
      <c r="G777" s="264"/>
      <c r="H777" s="264"/>
      <c r="I777" s="264"/>
      <c r="J777" s="264"/>
      <c r="K777" s="264"/>
      <c r="L777" s="264"/>
      <c r="M777" s="264"/>
      <c r="N777" s="264"/>
      <c r="O777" s="264"/>
      <c r="P777" s="264"/>
      <c r="Q777" s="264"/>
      <c r="R777" s="264"/>
      <c r="S777" s="264"/>
      <c r="T777" s="264"/>
      <c r="U777" s="264"/>
      <c r="V777" s="264"/>
      <c r="W777" s="264"/>
      <c r="X777" s="264"/>
    </row>
    <row r="778">
      <c r="A778" s="264"/>
      <c r="B778" s="264"/>
      <c r="C778" s="264"/>
      <c r="D778" s="264"/>
      <c r="E778" s="264"/>
      <c r="F778" s="264"/>
      <c r="G778" s="264"/>
      <c r="H778" s="264"/>
      <c r="I778" s="264"/>
      <c r="J778" s="264"/>
      <c r="K778" s="264"/>
      <c r="L778" s="264"/>
      <c r="M778" s="264"/>
      <c r="N778" s="264"/>
      <c r="O778" s="264"/>
      <c r="P778" s="264"/>
      <c r="Q778" s="264"/>
      <c r="R778" s="264"/>
      <c r="S778" s="264"/>
      <c r="T778" s="264"/>
      <c r="U778" s="264"/>
      <c r="V778" s="264"/>
      <c r="W778" s="264"/>
      <c r="X778" s="264"/>
    </row>
    <row r="779">
      <c r="A779" s="264"/>
      <c r="B779" s="264"/>
      <c r="C779" s="264"/>
      <c r="D779" s="264"/>
      <c r="E779" s="264"/>
      <c r="F779" s="264"/>
      <c r="G779" s="264"/>
      <c r="H779" s="264"/>
      <c r="I779" s="264"/>
      <c r="J779" s="264"/>
      <c r="K779" s="264"/>
      <c r="L779" s="264"/>
      <c r="M779" s="264"/>
      <c r="N779" s="264"/>
      <c r="O779" s="264"/>
      <c r="P779" s="264"/>
      <c r="Q779" s="264"/>
      <c r="R779" s="264"/>
      <c r="S779" s="264"/>
      <c r="T779" s="264"/>
      <c r="U779" s="264"/>
      <c r="V779" s="264"/>
      <c r="W779" s="264"/>
      <c r="X779" s="264"/>
    </row>
    <row r="780">
      <c r="A780" s="264"/>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row>
    <row r="781">
      <c r="A781" s="264"/>
      <c r="B781" s="264"/>
      <c r="C781" s="264"/>
      <c r="D781" s="264"/>
      <c r="E781" s="264"/>
      <c r="F781" s="264"/>
      <c r="G781" s="264"/>
      <c r="H781" s="264"/>
      <c r="I781" s="264"/>
      <c r="J781" s="264"/>
      <c r="K781" s="264"/>
      <c r="L781" s="264"/>
      <c r="M781" s="264"/>
      <c r="N781" s="264"/>
      <c r="O781" s="264"/>
      <c r="P781" s="264"/>
      <c r="Q781" s="264"/>
      <c r="R781" s="264"/>
      <c r="S781" s="264"/>
      <c r="T781" s="264"/>
      <c r="U781" s="264"/>
      <c r="V781" s="264"/>
      <c r="W781" s="264"/>
      <c r="X781" s="264"/>
    </row>
    <row r="782">
      <c r="A782" s="264"/>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row>
    <row r="783">
      <c r="A783" s="264"/>
      <c r="B783" s="264"/>
      <c r="C783" s="264"/>
      <c r="D783" s="264"/>
      <c r="E783" s="264"/>
      <c r="F783" s="264"/>
      <c r="G783" s="264"/>
      <c r="H783" s="264"/>
      <c r="I783" s="264"/>
      <c r="J783" s="264"/>
      <c r="K783" s="264"/>
      <c r="L783" s="264"/>
      <c r="M783" s="264"/>
      <c r="N783" s="264"/>
      <c r="O783" s="264"/>
      <c r="P783" s="264"/>
      <c r="Q783" s="264"/>
      <c r="R783" s="264"/>
      <c r="S783" s="264"/>
      <c r="T783" s="264"/>
      <c r="U783" s="264"/>
      <c r="V783" s="264"/>
      <c r="W783" s="264"/>
      <c r="X783" s="264"/>
    </row>
    <row r="784">
      <c r="A784" s="264"/>
      <c r="B784" s="264"/>
      <c r="C784" s="264"/>
      <c r="D784" s="264"/>
      <c r="E784" s="264"/>
      <c r="F784" s="264"/>
      <c r="G784" s="264"/>
      <c r="H784" s="264"/>
      <c r="I784" s="264"/>
      <c r="J784" s="264"/>
      <c r="K784" s="264"/>
      <c r="L784" s="264"/>
      <c r="M784" s="264"/>
      <c r="N784" s="264"/>
      <c r="O784" s="264"/>
      <c r="P784" s="264"/>
      <c r="Q784" s="264"/>
      <c r="R784" s="264"/>
      <c r="S784" s="264"/>
      <c r="T784" s="264"/>
      <c r="U784" s="264"/>
      <c r="V784" s="264"/>
      <c r="W784" s="264"/>
      <c r="X784" s="264"/>
    </row>
    <row r="785">
      <c r="A785" s="264"/>
      <c r="B785" s="264"/>
      <c r="C785" s="264"/>
      <c r="D785" s="264"/>
      <c r="E785" s="264"/>
      <c r="F785" s="264"/>
      <c r="G785" s="264"/>
      <c r="H785" s="264"/>
      <c r="I785" s="264"/>
      <c r="J785" s="264"/>
      <c r="K785" s="264"/>
      <c r="L785" s="264"/>
      <c r="M785" s="264"/>
      <c r="N785" s="264"/>
      <c r="O785" s="264"/>
      <c r="P785" s="264"/>
      <c r="Q785" s="264"/>
      <c r="R785" s="264"/>
      <c r="S785" s="264"/>
      <c r="T785" s="264"/>
      <c r="U785" s="264"/>
      <c r="V785" s="264"/>
      <c r="W785" s="264"/>
      <c r="X785" s="264"/>
    </row>
    <row r="786">
      <c r="A786" s="264"/>
      <c r="B786" s="264"/>
      <c r="C786" s="264"/>
      <c r="D786" s="264"/>
      <c r="E786" s="264"/>
      <c r="F786" s="264"/>
      <c r="G786" s="264"/>
      <c r="H786" s="264"/>
      <c r="I786" s="264"/>
      <c r="J786" s="264"/>
      <c r="K786" s="264"/>
      <c r="L786" s="264"/>
      <c r="M786" s="264"/>
      <c r="N786" s="264"/>
      <c r="O786" s="264"/>
      <c r="P786" s="264"/>
      <c r="Q786" s="264"/>
      <c r="R786" s="264"/>
      <c r="S786" s="264"/>
      <c r="T786" s="264"/>
      <c r="U786" s="264"/>
      <c r="V786" s="264"/>
      <c r="W786" s="264"/>
      <c r="X786" s="264"/>
    </row>
    <row r="787">
      <c r="A787" s="264"/>
      <c r="B787" s="264"/>
      <c r="C787" s="264"/>
      <c r="D787" s="264"/>
      <c r="E787" s="264"/>
      <c r="F787" s="264"/>
      <c r="G787" s="264"/>
      <c r="H787" s="264"/>
      <c r="I787" s="264"/>
      <c r="J787" s="264"/>
      <c r="K787" s="264"/>
      <c r="L787" s="264"/>
      <c r="M787" s="264"/>
      <c r="N787" s="264"/>
      <c r="O787" s="264"/>
      <c r="P787" s="264"/>
      <c r="Q787" s="264"/>
      <c r="R787" s="264"/>
      <c r="S787" s="264"/>
      <c r="T787" s="264"/>
      <c r="U787" s="264"/>
      <c r="V787" s="264"/>
      <c r="W787" s="264"/>
      <c r="X787" s="264"/>
    </row>
    <row r="788">
      <c r="A788" s="264"/>
      <c r="B788" s="264"/>
      <c r="C788" s="264"/>
      <c r="D788" s="264"/>
      <c r="E788" s="264"/>
      <c r="F788" s="264"/>
      <c r="G788" s="264"/>
      <c r="H788" s="264"/>
      <c r="I788" s="264"/>
      <c r="J788" s="264"/>
      <c r="K788" s="264"/>
      <c r="L788" s="264"/>
      <c r="M788" s="264"/>
      <c r="N788" s="264"/>
      <c r="O788" s="264"/>
      <c r="P788" s="264"/>
      <c r="Q788" s="264"/>
      <c r="R788" s="264"/>
      <c r="S788" s="264"/>
      <c r="T788" s="264"/>
      <c r="U788" s="264"/>
      <c r="V788" s="264"/>
      <c r="W788" s="264"/>
      <c r="X788" s="264"/>
    </row>
    <row r="789">
      <c r="A789" s="264"/>
      <c r="B789" s="264"/>
      <c r="C789" s="264"/>
      <c r="D789" s="264"/>
      <c r="E789" s="264"/>
      <c r="F789" s="264"/>
      <c r="G789" s="264"/>
      <c r="H789" s="264"/>
      <c r="I789" s="264"/>
      <c r="J789" s="264"/>
      <c r="K789" s="264"/>
      <c r="L789" s="264"/>
      <c r="M789" s="264"/>
      <c r="N789" s="264"/>
      <c r="O789" s="264"/>
      <c r="P789" s="264"/>
      <c r="Q789" s="264"/>
      <c r="R789" s="264"/>
      <c r="S789" s="264"/>
      <c r="T789" s="264"/>
      <c r="U789" s="264"/>
      <c r="V789" s="264"/>
      <c r="W789" s="264"/>
      <c r="X789" s="264"/>
    </row>
    <row r="790">
      <c r="A790" s="264"/>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row>
    <row r="791">
      <c r="A791" s="264"/>
      <c r="B791" s="264"/>
      <c r="C791" s="264"/>
      <c r="D791" s="264"/>
      <c r="E791" s="264"/>
      <c r="F791" s="264"/>
      <c r="G791" s="264"/>
      <c r="H791" s="264"/>
      <c r="I791" s="264"/>
      <c r="J791" s="264"/>
      <c r="K791" s="264"/>
      <c r="L791" s="264"/>
      <c r="M791" s="264"/>
      <c r="N791" s="264"/>
      <c r="O791" s="264"/>
      <c r="P791" s="264"/>
      <c r="Q791" s="264"/>
      <c r="R791" s="264"/>
      <c r="S791" s="264"/>
      <c r="T791" s="264"/>
      <c r="U791" s="264"/>
      <c r="V791" s="264"/>
      <c r="W791" s="264"/>
      <c r="X791" s="264"/>
    </row>
    <row r="792">
      <c r="A792" s="264"/>
      <c r="B792" s="264"/>
      <c r="C792" s="264"/>
      <c r="D792" s="264"/>
      <c r="E792" s="264"/>
      <c r="F792" s="264"/>
      <c r="G792" s="264"/>
      <c r="H792" s="264"/>
      <c r="I792" s="264"/>
      <c r="J792" s="264"/>
      <c r="K792" s="264"/>
      <c r="L792" s="264"/>
      <c r="M792" s="264"/>
      <c r="N792" s="264"/>
      <c r="O792" s="264"/>
      <c r="P792" s="264"/>
      <c r="Q792" s="264"/>
      <c r="R792" s="264"/>
      <c r="S792" s="264"/>
      <c r="T792" s="264"/>
      <c r="U792" s="264"/>
      <c r="V792" s="264"/>
      <c r="W792" s="264"/>
      <c r="X792" s="264"/>
    </row>
    <row r="793">
      <c r="A793" s="264"/>
      <c r="B793" s="264"/>
      <c r="C793" s="264"/>
      <c r="D793" s="264"/>
      <c r="E793" s="264"/>
      <c r="F793" s="264"/>
      <c r="G793" s="264"/>
      <c r="H793" s="264"/>
      <c r="I793" s="264"/>
      <c r="J793" s="264"/>
      <c r="K793" s="264"/>
      <c r="L793" s="264"/>
      <c r="M793" s="264"/>
      <c r="N793" s="264"/>
      <c r="O793" s="264"/>
      <c r="P793" s="264"/>
      <c r="Q793" s="264"/>
      <c r="R793" s="264"/>
      <c r="S793" s="264"/>
      <c r="T793" s="264"/>
      <c r="U793" s="264"/>
      <c r="V793" s="264"/>
      <c r="W793" s="264"/>
      <c r="X793" s="264"/>
    </row>
    <row r="794">
      <c r="A794" s="264"/>
      <c r="B794" s="264"/>
      <c r="C794" s="264"/>
      <c r="D794" s="264"/>
      <c r="E794" s="264"/>
      <c r="F794" s="264"/>
      <c r="G794" s="264"/>
      <c r="H794" s="264"/>
      <c r="I794" s="264"/>
      <c r="J794" s="264"/>
      <c r="K794" s="264"/>
      <c r="L794" s="264"/>
      <c r="M794" s="264"/>
      <c r="N794" s="264"/>
      <c r="O794" s="264"/>
      <c r="P794" s="264"/>
      <c r="Q794" s="264"/>
      <c r="R794" s="264"/>
      <c r="S794" s="264"/>
      <c r="T794" s="264"/>
      <c r="U794" s="264"/>
      <c r="V794" s="264"/>
      <c r="W794" s="264"/>
      <c r="X794" s="264"/>
    </row>
    <row r="795">
      <c r="A795" s="264"/>
      <c r="B795" s="264"/>
      <c r="C795" s="264"/>
      <c r="D795" s="264"/>
      <c r="E795" s="264"/>
      <c r="F795" s="264"/>
      <c r="G795" s="264"/>
      <c r="H795" s="264"/>
      <c r="I795" s="264"/>
      <c r="J795" s="264"/>
      <c r="K795" s="264"/>
      <c r="L795" s="264"/>
      <c r="M795" s="264"/>
      <c r="N795" s="264"/>
      <c r="O795" s="264"/>
      <c r="P795" s="264"/>
      <c r="Q795" s="264"/>
      <c r="R795" s="264"/>
      <c r="S795" s="264"/>
      <c r="T795" s="264"/>
      <c r="U795" s="264"/>
      <c r="V795" s="264"/>
      <c r="W795" s="264"/>
      <c r="X795" s="264"/>
    </row>
    <row r="796">
      <c r="A796" s="264"/>
      <c r="B796" s="264"/>
      <c r="C796" s="264"/>
      <c r="D796" s="264"/>
      <c r="E796" s="264"/>
      <c r="F796" s="264"/>
      <c r="G796" s="264"/>
      <c r="H796" s="264"/>
      <c r="I796" s="264"/>
      <c r="J796" s="264"/>
      <c r="K796" s="264"/>
      <c r="L796" s="264"/>
      <c r="M796" s="264"/>
      <c r="N796" s="264"/>
      <c r="O796" s="264"/>
      <c r="P796" s="264"/>
      <c r="Q796" s="264"/>
      <c r="R796" s="264"/>
      <c r="S796" s="264"/>
      <c r="T796" s="264"/>
      <c r="U796" s="264"/>
      <c r="V796" s="264"/>
      <c r="W796" s="264"/>
      <c r="X796" s="264"/>
    </row>
    <row r="797">
      <c r="A797" s="264"/>
      <c r="B797" s="264"/>
      <c r="C797" s="264"/>
      <c r="D797" s="264"/>
      <c r="E797" s="264"/>
      <c r="F797" s="264"/>
      <c r="G797" s="264"/>
      <c r="H797" s="264"/>
      <c r="I797" s="264"/>
      <c r="J797" s="264"/>
      <c r="K797" s="264"/>
      <c r="L797" s="264"/>
      <c r="M797" s="264"/>
      <c r="N797" s="264"/>
      <c r="O797" s="264"/>
      <c r="P797" s="264"/>
      <c r="Q797" s="264"/>
      <c r="R797" s="264"/>
      <c r="S797" s="264"/>
      <c r="T797" s="264"/>
      <c r="U797" s="264"/>
      <c r="V797" s="264"/>
      <c r="W797" s="264"/>
      <c r="X797" s="264"/>
    </row>
    <row r="798">
      <c r="A798" s="264"/>
      <c r="B798" s="264"/>
      <c r="C798" s="264"/>
      <c r="D798" s="264"/>
      <c r="E798" s="264"/>
      <c r="F798" s="264"/>
      <c r="G798" s="264"/>
      <c r="H798" s="264"/>
      <c r="I798" s="264"/>
      <c r="J798" s="264"/>
      <c r="K798" s="264"/>
      <c r="L798" s="264"/>
      <c r="M798" s="264"/>
      <c r="N798" s="264"/>
      <c r="O798" s="264"/>
      <c r="P798" s="264"/>
      <c r="Q798" s="264"/>
      <c r="R798" s="264"/>
      <c r="S798" s="264"/>
      <c r="T798" s="264"/>
      <c r="U798" s="264"/>
      <c r="V798" s="264"/>
      <c r="W798" s="264"/>
      <c r="X798" s="264"/>
    </row>
    <row r="799">
      <c r="A799" s="264"/>
      <c r="B799" s="264"/>
      <c r="C799" s="264"/>
      <c r="D799" s="264"/>
      <c r="E799" s="264"/>
      <c r="F799" s="264"/>
      <c r="G799" s="264"/>
      <c r="H799" s="264"/>
      <c r="I799" s="264"/>
      <c r="J799" s="264"/>
      <c r="K799" s="264"/>
      <c r="L799" s="264"/>
      <c r="M799" s="264"/>
      <c r="N799" s="264"/>
      <c r="O799" s="264"/>
      <c r="P799" s="264"/>
      <c r="Q799" s="264"/>
      <c r="R799" s="264"/>
      <c r="S799" s="264"/>
      <c r="T799" s="264"/>
      <c r="U799" s="264"/>
      <c r="V799" s="264"/>
      <c r="W799" s="264"/>
      <c r="X799" s="264"/>
    </row>
    <row r="800">
      <c r="A800" s="264"/>
      <c r="B800" s="264"/>
      <c r="C800" s="264"/>
      <c r="D800" s="264"/>
      <c r="E800" s="264"/>
      <c r="F800" s="264"/>
      <c r="G800" s="264"/>
      <c r="H800" s="264"/>
      <c r="I800" s="264"/>
      <c r="J800" s="264"/>
      <c r="K800" s="264"/>
      <c r="L800" s="264"/>
      <c r="M800" s="264"/>
      <c r="N800" s="264"/>
      <c r="O800" s="264"/>
      <c r="P800" s="264"/>
      <c r="Q800" s="264"/>
      <c r="R800" s="264"/>
      <c r="S800" s="264"/>
      <c r="T800" s="264"/>
      <c r="U800" s="264"/>
      <c r="V800" s="264"/>
      <c r="W800" s="264"/>
      <c r="X800" s="264"/>
    </row>
    <row r="801">
      <c r="A801" s="264"/>
      <c r="B801" s="264"/>
      <c r="C801" s="264"/>
      <c r="D801" s="264"/>
      <c r="E801" s="264"/>
      <c r="F801" s="264"/>
      <c r="G801" s="264"/>
      <c r="H801" s="264"/>
      <c r="I801" s="264"/>
      <c r="J801" s="264"/>
      <c r="K801" s="264"/>
      <c r="L801" s="264"/>
      <c r="M801" s="264"/>
      <c r="N801" s="264"/>
      <c r="O801" s="264"/>
      <c r="P801" s="264"/>
      <c r="Q801" s="264"/>
      <c r="R801" s="264"/>
      <c r="S801" s="264"/>
      <c r="T801" s="264"/>
      <c r="U801" s="264"/>
      <c r="V801" s="264"/>
      <c r="W801" s="264"/>
      <c r="X801" s="264"/>
    </row>
    <row r="802">
      <c r="A802" s="264"/>
      <c r="B802" s="264"/>
      <c r="C802" s="264"/>
      <c r="D802" s="264"/>
      <c r="E802" s="264"/>
      <c r="F802" s="264"/>
      <c r="G802" s="264"/>
      <c r="H802" s="264"/>
      <c r="I802" s="264"/>
      <c r="J802" s="264"/>
      <c r="K802" s="264"/>
      <c r="L802" s="264"/>
      <c r="M802" s="264"/>
      <c r="N802" s="264"/>
      <c r="O802" s="264"/>
      <c r="P802" s="264"/>
      <c r="Q802" s="264"/>
      <c r="R802" s="264"/>
      <c r="S802" s="264"/>
      <c r="T802" s="264"/>
      <c r="U802" s="264"/>
      <c r="V802" s="264"/>
      <c r="W802" s="264"/>
      <c r="X802" s="264"/>
    </row>
    <row r="803">
      <c r="A803" s="264"/>
      <c r="B803" s="264"/>
      <c r="C803" s="264"/>
      <c r="D803" s="264"/>
      <c r="E803" s="264"/>
      <c r="F803" s="264"/>
      <c r="G803" s="264"/>
      <c r="H803" s="264"/>
      <c r="I803" s="264"/>
      <c r="J803" s="264"/>
      <c r="K803" s="264"/>
      <c r="L803" s="264"/>
      <c r="M803" s="264"/>
      <c r="N803" s="264"/>
      <c r="O803" s="264"/>
      <c r="P803" s="264"/>
      <c r="Q803" s="264"/>
      <c r="R803" s="264"/>
      <c r="S803" s="264"/>
      <c r="T803" s="264"/>
      <c r="U803" s="264"/>
      <c r="V803" s="264"/>
      <c r="W803" s="264"/>
      <c r="X803" s="264"/>
    </row>
    <row r="804">
      <c r="A804" s="264"/>
      <c r="B804" s="264"/>
      <c r="C804" s="264"/>
      <c r="D804" s="264"/>
      <c r="E804" s="264"/>
      <c r="F804" s="264"/>
      <c r="G804" s="264"/>
      <c r="H804" s="264"/>
      <c r="I804" s="264"/>
      <c r="J804" s="264"/>
      <c r="K804" s="264"/>
      <c r="L804" s="264"/>
      <c r="M804" s="264"/>
      <c r="N804" s="264"/>
      <c r="O804" s="264"/>
      <c r="P804" s="264"/>
      <c r="Q804" s="264"/>
      <c r="R804" s="264"/>
      <c r="S804" s="264"/>
      <c r="T804" s="264"/>
      <c r="U804" s="264"/>
      <c r="V804" s="264"/>
      <c r="W804" s="264"/>
      <c r="X804" s="264"/>
    </row>
    <row r="805">
      <c r="A805" s="264"/>
      <c r="B805" s="264"/>
      <c r="C805" s="264"/>
      <c r="D805" s="264"/>
      <c r="E805" s="264"/>
      <c r="F805" s="264"/>
      <c r="G805" s="264"/>
      <c r="H805" s="264"/>
      <c r="I805" s="264"/>
      <c r="J805" s="264"/>
      <c r="K805" s="264"/>
      <c r="L805" s="264"/>
      <c r="M805" s="264"/>
      <c r="N805" s="264"/>
      <c r="O805" s="264"/>
      <c r="P805" s="264"/>
      <c r="Q805" s="264"/>
      <c r="R805" s="264"/>
      <c r="S805" s="264"/>
      <c r="T805" s="264"/>
      <c r="U805" s="264"/>
      <c r="V805" s="264"/>
      <c r="W805" s="264"/>
      <c r="X805" s="264"/>
    </row>
    <row r="806">
      <c r="A806" s="264"/>
      <c r="B806" s="264"/>
      <c r="C806" s="264"/>
      <c r="D806" s="264"/>
      <c r="E806" s="264"/>
      <c r="F806" s="264"/>
      <c r="G806" s="264"/>
      <c r="H806" s="264"/>
      <c r="I806" s="264"/>
      <c r="J806" s="264"/>
      <c r="K806" s="264"/>
      <c r="L806" s="264"/>
      <c r="M806" s="264"/>
      <c r="N806" s="264"/>
      <c r="O806" s="264"/>
      <c r="P806" s="264"/>
      <c r="Q806" s="264"/>
      <c r="R806" s="264"/>
      <c r="S806" s="264"/>
      <c r="T806" s="264"/>
      <c r="U806" s="264"/>
      <c r="V806" s="264"/>
      <c r="W806" s="264"/>
      <c r="X806" s="264"/>
    </row>
    <row r="807">
      <c r="A807" s="264"/>
      <c r="B807" s="264"/>
      <c r="C807" s="264"/>
      <c r="D807" s="264"/>
      <c r="E807" s="264"/>
      <c r="F807" s="264"/>
      <c r="G807" s="264"/>
      <c r="H807" s="264"/>
      <c r="I807" s="264"/>
      <c r="J807" s="264"/>
      <c r="K807" s="264"/>
      <c r="L807" s="264"/>
      <c r="M807" s="264"/>
      <c r="N807" s="264"/>
      <c r="O807" s="264"/>
      <c r="P807" s="264"/>
      <c r="Q807" s="264"/>
      <c r="R807" s="264"/>
      <c r="S807" s="264"/>
      <c r="T807" s="264"/>
      <c r="U807" s="264"/>
      <c r="V807" s="264"/>
      <c r="W807" s="264"/>
      <c r="X807" s="264"/>
    </row>
    <row r="808">
      <c r="A808" s="264"/>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row>
    <row r="809">
      <c r="A809" s="264"/>
      <c r="B809" s="264"/>
      <c r="C809" s="264"/>
      <c r="D809" s="264"/>
      <c r="E809" s="264"/>
      <c r="F809" s="264"/>
      <c r="G809" s="264"/>
      <c r="H809" s="264"/>
      <c r="I809" s="264"/>
      <c r="J809" s="264"/>
      <c r="K809" s="264"/>
      <c r="L809" s="264"/>
      <c r="M809" s="264"/>
      <c r="N809" s="264"/>
      <c r="O809" s="264"/>
      <c r="P809" s="264"/>
      <c r="Q809" s="264"/>
      <c r="R809" s="264"/>
      <c r="S809" s="264"/>
      <c r="T809" s="264"/>
      <c r="U809" s="264"/>
      <c r="V809" s="264"/>
      <c r="W809" s="264"/>
      <c r="X809" s="264"/>
    </row>
    <row r="810">
      <c r="A810" s="264"/>
      <c r="B810" s="264"/>
      <c r="C810" s="264"/>
      <c r="D810" s="264"/>
      <c r="E810" s="264"/>
      <c r="F810" s="264"/>
      <c r="G810" s="264"/>
      <c r="H810" s="264"/>
      <c r="I810" s="264"/>
      <c r="J810" s="264"/>
      <c r="K810" s="264"/>
      <c r="L810" s="264"/>
      <c r="M810" s="264"/>
      <c r="N810" s="264"/>
      <c r="O810" s="264"/>
      <c r="P810" s="264"/>
      <c r="Q810" s="264"/>
      <c r="R810" s="264"/>
      <c r="S810" s="264"/>
      <c r="T810" s="264"/>
      <c r="U810" s="264"/>
      <c r="V810" s="264"/>
      <c r="W810" s="264"/>
      <c r="X810" s="264"/>
    </row>
    <row r="811">
      <c r="A811" s="264"/>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row>
    <row r="812">
      <c r="A812" s="264"/>
      <c r="B812" s="264"/>
      <c r="C812" s="264"/>
      <c r="D812" s="264"/>
      <c r="E812" s="264"/>
      <c r="F812" s="264"/>
      <c r="G812" s="264"/>
      <c r="H812" s="264"/>
      <c r="I812" s="264"/>
      <c r="J812" s="264"/>
      <c r="K812" s="264"/>
      <c r="L812" s="264"/>
      <c r="M812" s="264"/>
      <c r="N812" s="264"/>
      <c r="O812" s="264"/>
      <c r="P812" s="264"/>
      <c r="Q812" s="264"/>
      <c r="R812" s="264"/>
      <c r="S812" s="264"/>
      <c r="T812" s="264"/>
      <c r="U812" s="264"/>
      <c r="V812" s="264"/>
      <c r="W812" s="264"/>
      <c r="X812" s="264"/>
    </row>
    <row r="813">
      <c r="A813" s="264"/>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row>
    <row r="814">
      <c r="A814" s="264"/>
      <c r="B814" s="264"/>
      <c r="C814" s="264"/>
      <c r="D814" s="264"/>
      <c r="E814" s="264"/>
      <c r="F814" s="264"/>
      <c r="G814" s="264"/>
      <c r="H814" s="264"/>
      <c r="I814" s="264"/>
      <c r="J814" s="264"/>
      <c r="K814" s="264"/>
      <c r="L814" s="264"/>
      <c r="M814" s="264"/>
      <c r="N814" s="264"/>
      <c r="O814" s="264"/>
      <c r="P814" s="264"/>
      <c r="Q814" s="264"/>
      <c r="R814" s="264"/>
      <c r="S814" s="264"/>
      <c r="T814" s="264"/>
      <c r="U814" s="264"/>
      <c r="V814" s="264"/>
      <c r="W814" s="264"/>
      <c r="X814" s="264"/>
    </row>
    <row r="815">
      <c r="A815" s="264"/>
      <c r="B815" s="264"/>
      <c r="C815" s="264"/>
      <c r="D815" s="264"/>
      <c r="E815" s="264"/>
      <c r="F815" s="264"/>
      <c r="G815" s="264"/>
      <c r="H815" s="264"/>
      <c r="I815" s="264"/>
      <c r="J815" s="264"/>
      <c r="K815" s="264"/>
      <c r="L815" s="264"/>
      <c r="M815" s="264"/>
      <c r="N815" s="264"/>
      <c r="O815" s="264"/>
      <c r="P815" s="264"/>
      <c r="Q815" s="264"/>
      <c r="R815" s="264"/>
      <c r="S815" s="264"/>
      <c r="T815" s="264"/>
      <c r="U815" s="264"/>
      <c r="V815" s="264"/>
      <c r="W815" s="264"/>
      <c r="X815" s="264"/>
    </row>
    <row r="816">
      <c r="A816" s="264"/>
      <c r="B816" s="264"/>
      <c r="C816" s="264"/>
      <c r="D816" s="264"/>
      <c r="E816" s="264"/>
      <c r="F816" s="264"/>
      <c r="G816" s="264"/>
      <c r="H816" s="264"/>
      <c r="I816" s="264"/>
      <c r="J816" s="264"/>
      <c r="K816" s="264"/>
      <c r="L816" s="264"/>
      <c r="M816" s="264"/>
      <c r="N816" s="264"/>
      <c r="O816" s="264"/>
      <c r="P816" s="264"/>
      <c r="Q816" s="264"/>
      <c r="R816" s="264"/>
      <c r="S816" s="264"/>
      <c r="T816" s="264"/>
      <c r="U816" s="264"/>
      <c r="V816" s="264"/>
      <c r="W816" s="264"/>
      <c r="X816" s="264"/>
    </row>
    <row r="817">
      <c r="A817" s="264"/>
      <c r="B817" s="264"/>
      <c r="C817" s="264"/>
      <c r="D817" s="264"/>
      <c r="E817" s="264"/>
      <c r="F817" s="264"/>
      <c r="G817" s="264"/>
      <c r="H817" s="264"/>
      <c r="I817" s="264"/>
      <c r="J817" s="264"/>
      <c r="K817" s="264"/>
      <c r="L817" s="264"/>
      <c r="M817" s="264"/>
      <c r="N817" s="264"/>
      <c r="O817" s="264"/>
      <c r="P817" s="264"/>
      <c r="Q817" s="264"/>
      <c r="R817" s="264"/>
      <c r="S817" s="264"/>
      <c r="T817" s="264"/>
      <c r="U817" s="264"/>
      <c r="V817" s="264"/>
      <c r="W817" s="264"/>
      <c r="X817" s="264"/>
    </row>
    <row r="818">
      <c r="A818" s="264"/>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row>
    <row r="819">
      <c r="A819" s="264"/>
      <c r="B819" s="264"/>
      <c r="C819" s="264"/>
      <c r="D819" s="264"/>
      <c r="E819" s="264"/>
      <c r="F819" s="264"/>
      <c r="G819" s="264"/>
      <c r="H819" s="264"/>
      <c r="I819" s="264"/>
      <c r="J819" s="264"/>
      <c r="K819" s="264"/>
      <c r="L819" s="264"/>
      <c r="M819" s="264"/>
      <c r="N819" s="264"/>
      <c r="O819" s="264"/>
      <c r="P819" s="264"/>
      <c r="Q819" s="264"/>
      <c r="R819" s="264"/>
      <c r="S819" s="264"/>
      <c r="T819" s="264"/>
      <c r="U819" s="264"/>
      <c r="V819" s="264"/>
      <c r="W819" s="264"/>
      <c r="X819" s="264"/>
    </row>
    <row r="820">
      <c r="A820" s="264"/>
      <c r="B820" s="264"/>
      <c r="C820" s="264"/>
      <c r="D820" s="264"/>
      <c r="E820" s="264"/>
      <c r="F820" s="264"/>
      <c r="G820" s="264"/>
      <c r="H820" s="264"/>
      <c r="I820" s="264"/>
      <c r="J820" s="264"/>
      <c r="K820" s="264"/>
      <c r="L820" s="264"/>
      <c r="M820" s="264"/>
      <c r="N820" s="264"/>
      <c r="O820" s="264"/>
      <c r="P820" s="264"/>
      <c r="Q820" s="264"/>
      <c r="R820" s="264"/>
      <c r="S820" s="264"/>
      <c r="T820" s="264"/>
      <c r="U820" s="264"/>
      <c r="V820" s="264"/>
      <c r="W820" s="264"/>
      <c r="X820" s="264"/>
    </row>
    <row r="821">
      <c r="A821" s="264"/>
      <c r="B821" s="264"/>
      <c r="C821" s="264"/>
      <c r="D821" s="264"/>
      <c r="E821" s="264"/>
      <c r="F821" s="264"/>
      <c r="G821" s="264"/>
      <c r="H821" s="264"/>
      <c r="I821" s="264"/>
      <c r="J821" s="264"/>
      <c r="K821" s="264"/>
      <c r="L821" s="264"/>
      <c r="M821" s="264"/>
      <c r="N821" s="264"/>
      <c r="O821" s="264"/>
      <c r="P821" s="264"/>
      <c r="Q821" s="264"/>
      <c r="R821" s="264"/>
      <c r="S821" s="264"/>
      <c r="T821" s="264"/>
      <c r="U821" s="264"/>
      <c r="V821" s="264"/>
      <c r="W821" s="264"/>
      <c r="X821" s="264"/>
    </row>
    <row r="822">
      <c r="A822" s="264"/>
      <c r="B822" s="264"/>
      <c r="C822" s="264"/>
      <c r="D822" s="264"/>
      <c r="E822" s="264"/>
      <c r="F822" s="264"/>
      <c r="G822" s="264"/>
      <c r="H822" s="264"/>
      <c r="I822" s="264"/>
      <c r="J822" s="264"/>
      <c r="K822" s="264"/>
      <c r="L822" s="264"/>
      <c r="M822" s="264"/>
      <c r="N822" s="264"/>
      <c r="O822" s="264"/>
      <c r="P822" s="264"/>
      <c r="Q822" s="264"/>
      <c r="R822" s="264"/>
      <c r="S822" s="264"/>
      <c r="T822" s="264"/>
      <c r="U822" s="264"/>
      <c r="V822" s="264"/>
      <c r="W822" s="264"/>
      <c r="X822" s="264"/>
    </row>
    <row r="823">
      <c r="A823" s="264"/>
      <c r="B823" s="264"/>
      <c r="C823" s="264"/>
      <c r="D823" s="264"/>
      <c r="E823" s="264"/>
      <c r="F823" s="264"/>
      <c r="G823" s="264"/>
      <c r="H823" s="264"/>
      <c r="I823" s="264"/>
      <c r="J823" s="264"/>
      <c r="K823" s="264"/>
      <c r="L823" s="264"/>
      <c r="M823" s="264"/>
      <c r="N823" s="264"/>
      <c r="O823" s="264"/>
      <c r="P823" s="264"/>
      <c r="Q823" s="264"/>
      <c r="R823" s="264"/>
      <c r="S823" s="264"/>
      <c r="T823" s="264"/>
      <c r="U823" s="264"/>
      <c r="V823" s="264"/>
      <c r="W823" s="264"/>
      <c r="X823" s="264"/>
    </row>
    <row r="824">
      <c r="A824" s="264"/>
      <c r="B824" s="264"/>
      <c r="C824" s="264"/>
      <c r="D824" s="264"/>
      <c r="E824" s="264"/>
      <c r="F824" s="264"/>
      <c r="G824" s="264"/>
      <c r="H824" s="264"/>
      <c r="I824" s="264"/>
      <c r="J824" s="264"/>
      <c r="K824" s="264"/>
      <c r="L824" s="264"/>
      <c r="M824" s="264"/>
      <c r="N824" s="264"/>
      <c r="O824" s="264"/>
      <c r="P824" s="264"/>
      <c r="Q824" s="264"/>
      <c r="R824" s="264"/>
      <c r="S824" s="264"/>
      <c r="T824" s="264"/>
      <c r="U824" s="264"/>
      <c r="V824" s="264"/>
      <c r="W824" s="264"/>
      <c r="X824" s="264"/>
    </row>
    <row r="825">
      <c r="A825" s="264"/>
      <c r="B825" s="264"/>
      <c r="C825" s="264"/>
      <c r="D825" s="264"/>
      <c r="E825" s="264"/>
      <c r="F825" s="264"/>
      <c r="G825" s="264"/>
      <c r="H825" s="264"/>
      <c r="I825" s="264"/>
      <c r="J825" s="264"/>
      <c r="K825" s="264"/>
      <c r="L825" s="264"/>
      <c r="M825" s="264"/>
      <c r="N825" s="264"/>
      <c r="O825" s="264"/>
      <c r="P825" s="264"/>
      <c r="Q825" s="264"/>
      <c r="R825" s="264"/>
      <c r="S825" s="264"/>
      <c r="T825" s="264"/>
      <c r="U825" s="264"/>
      <c r="V825" s="264"/>
      <c r="W825" s="264"/>
      <c r="X825" s="264"/>
    </row>
    <row r="826">
      <c r="A826" s="264"/>
      <c r="B826" s="264"/>
      <c r="C826" s="264"/>
      <c r="D826" s="264"/>
      <c r="E826" s="264"/>
      <c r="F826" s="264"/>
      <c r="G826" s="264"/>
      <c r="H826" s="264"/>
      <c r="I826" s="264"/>
      <c r="J826" s="264"/>
      <c r="K826" s="264"/>
      <c r="L826" s="264"/>
      <c r="M826" s="264"/>
      <c r="N826" s="264"/>
      <c r="O826" s="264"/>
      <c r="P826" s="264"/>
      <c r="Q826" s="264"/>
      <c r="R826" s="264"/>
      <c r="S826" s="264"/>
      <c r="T826" s="264"/>
      <c r="U826" s="264"/>
      <c r="V826" s="264"/>
      <c r="W826" s="264"/>
      <c r="X826" s="264"/>
    </row>
    <row r="827">
      <c r="A827" s="264"/>
      <c r="B827" s="264"/>
      <c r="C827" s="264"/>
      <c r="D827" s="264"/>
      <c r="E827" s="264"/>
      <c r="F827" s="264"/>
      <c r="G827" s="264"/>
      <c r="H827" s="264"/>
      <c r="I827" s="264"/>
      <c r="J827" s="264"/>
      <c r="K827" s="264"/>
      <c r="L827" s="264"/>
      <c r="M827" s="264"/>
      <c r="N827" s="264"/>
      <c r="O827" s="264"/>
      <c r="P827" s="264"/>
      <c r="Q827" s="264"/>
      <c r="R827" s="264"/>
      <c r="S827" s="264"/>
      <c r="T827" s="264"/>
      <c r="U827" s="264"/>
      <c r="V827" s="264"/>
      <c r="W827" s="264"/>
      <c r="X827" s="264"/>
    </row>
    <row r="828">
      <c r="A828" s="264"/>
      <c r="B828" s="264"/>
      <c r="C828" s="264"/>
      <c r="D828" s="264"/>
      <c r="E828" s="264"/>
      <c r="F828" s="264"/>
      <c r="G828" s="264"/>
      <c r="H828" s="264"/>
      <c r="I828" s="264"/>
      <c r="J828" s="264"/>
      <c r="K828" s="264"/>
      <c r="L828" s="264"/>
      <c r="M828" s="264"/>
      <c r="N828" s="264"/>
      <c r="O828" s="264"/>
      <c r="P828" s="264"/>
      <c r="Q828" s="264"/>
      <c r="R828" s="264"/>
      <c r="S828" s="264"/>
      <c r="T828" s="264"/>
      <c r="U828" s="264"/>
      <c r="V828" s="264"/>
      <c r="W828" s="264"/>
      <c r="X828" s="264"/>
    </row>
    <row r="829">
      <c r="A829" s="264"/>
      <c r="B829" s="264"/>
      <c r="C829" s="264"/>
      <c r="D829" s="264"/>
      <c r="E829" s="264"/>
      <c r="F829" s="264"/>
      <c r="G829" s="264"/>
      <c r="H829" s="264"/>
      <c r="I829" s="264"/>
      <c r="J829" s="264"/>
      <c r="K829" s="264"/>
      <c r="L829" s="264"/>
      <c r="M829" s="264"/>
      <c r="N829" s="264"/>
      <c r="O829" s="264"/>
      <c r="P829" s="264"/>
      <c r="Q829" s="264"/>
      <c r="R829" s="264"/>
      <c r="S829" s="264"/>
      <c r="T829" s="264"/>
      <c r="U829" s="264"/>
      <c r="V829" s="264"/>
      <c r="W829" s="264"/>
      <c r="X829" s="264"/>
    </row>
    <row r="830">
      <c r="A830" s="264"/>
      <c r="B830" s="264"/>
      <c r="C830" s="264"/>
      <c r="D830" s="264"/>
      <c r="E830" s="264"/>
      <c r="F830" s="264"/>
      <c r="G830" s="264"/>
      <c r="H830" s="264"/>
      <c r="I830" s="264"/>
      <c r="J830" s="264"/>
      <c r="K830" s="264"/>
      <c r="L830" s="264"/>
      <c r="M830" s="264"/>
      <c r="N830" s="264"/>
      <c r="O830" s="264"/>
      <c r="P830" s="264"/>
      <c r="Q830" s="264"/>
      <c r="R830" s="264"/>
      <c r="S830" s="264"/>
      <c r="T830" s="264"/>
      <c r="U830" s="264"/>
      <c r="V830" s="264"/>
      <c r="W830" s="264"/>
      <c r="X830" s="264"/>
    </row>
    <row r="831">
      <c r="A831" s="264"/>
      <c r="B831" s="264"/>
      <c r="C831" s="264"/>
      <c r="D831" s="264"/>
      <c r="E831" s="264"/>
      <c r="F831" s="264"/>
      <c r="G831" s="264"/>
      <c r="H831" s="264"/>
      <c r="I831" s="264"/>
      <c r="J831" s="264"/>
      <c r="K831" s="264"/>
      <c r="L831" s="264"/>
      <c r="M831" s="264"/>
      <c r="N831" s="264"/>
      <c r="O831" s="264"/>
      <c r="P831" s="264"/>
      <c r="Q831" s="264"/>
      <c r="R831" s="264"/>
      <c r="S831" s="264"/>
      <c r="T831" s="264"/>
      <c r="U831" s="264"/>
      <c r="V831" s="264"/>
      <c r="W831" s="264"/>
      <c r="X831" s="264"/>
    </row>
    <row r="832">
      <c r="A832" s="264"/>
      <c r="B832" s="264"/>
      <c r="C832" s="264"/>
      <c r="D832" s="264"/>
      <c r="E832" s="264"/>
      <c r="F832" s="264"/>
      <c r="G832" s="264"/>
      <c r="H832" s="264"/>
      <c r="I832" s="264"/>
      <c r="J832" s="264"/>
      <c r="K832" s="264"/>
      <c r="L832" s="264"/>
      <c r="M832" s="264"/>
      <c r="N832" s="264"/>
      <c r="O832" s="264"/>
      <c r="P832" s="264"/>
      <c r="Q832" s="264"/>
      <c r="R832" s="264"/>
      <c r="S832" s="264"/>
      <c r="T832" s="264"/>
      <c r="U832" s="264"/>
      <c r="V832" s="264"/>
      <c r="W832" s="264"/>
      <c r="X832" s="264"/>
    </row>
    <row r="833">
      <c r="A833" s="264"/>
      <c r="B833" s="264"/>
      <c r="C833" s="264"/>
      <c r="D833" s="264"/>
      <c r="E833" s="264"/>
      <c r="F833" s="264"/>
      <c r="G833" s="264"/>
      <c r="H833" s="264"/>
      <c r="I833" s="264"/>
      <c r="J833" s="264"/>
      <c r="K833" s="264"/>
      <c r="L833" s="264"/>
      <c r="M833" s="264"/>
      <c r="N833" s="264"/>
      <c r="O833" s="264"/>
      <c r="P833" s="264"/>
      <c r="Q833" s="264"/>
      <c r="R833" s="264"/>
      <c r="S833" s="264"/>
      <c r="T833" s="264"/>
      <c r="U833" s="264"/>
      <c r="V833" s="264"/>
      <c r="W833" s="264"/>
      <c r="X833" s="264"/>
    </row>
    <row r="834">
      <c r="A834" s="264"/>
      <c r="B834" s="264"/>
      <c r="C834" s="264"/>
      <c r="D834" s="264"/>
      <c r="E834" s="264"/>
      <c r="F834" s="264"/>
      <c r="G834" s="264"/>
      <c r="H834" s="264"/>
      <c r="I834" s="264"/>
      <c r="J834" s="264"/>
      <c r="K834" s="264"/>
      <c r="L834" s="264"/>
      <c r="M834" s="264"/>
      <c r="N834" s="264"/>
      <c r="O834" s="264"/>
      <c r="P834" s="264"/>
      <c r="Q834" s="264"/>
      <c r="R834" s="264"/>
      <c r="S834" s="264"/>
      <c r="T834" s="264"/>
      <c r="U834" s="264"/>
      <c r="V834" s="264"/>
      <c r="W834" s="264"/>
      <c r="X834" s="264"/>
    </row>
    <row r="835">
      <c r="A835" s="264"/>
      <c r="B835" s="264"/>
      <c r="C835" s="264"/>
      <c r="D835" s="264"/>
      <c r="E835" s="264"/>
      <c r="F835" s="264"/>
      <c r="G835" s="264"/>
      <c r="H835" s="264"/>
      <c r="I835" s="264"/>
      <c r="J835" s="264"/>
      <c r="K835" s="264"/>
      <c r="L835" s="264"/>
      <c r="M835" s="264"/>
      <c r="N835" s="264"/>
      <c r="O835" s="264"/>
      <c r="P835" s="264"/>
      <c r="Q835" s="264"/>
      <c r="R835" s="264"/>
      <c r="S835" s="264"/>
      <c r="T835" s="264"/>
      <c r="U835" s="264"/>
      <c r="V835" s="264"/>
      <c r="W835" s="264"/>
      <c r="X835" s="264"/>
    </row>
    <row r="836">
      <c r="A836" s="264"/>
      <c r="B836" s="264"/>
      <c r="C836" s="264"/>
      <c r="D836" s="264"/>
      <c r="E836" s="264"/>
      <c r="F836" s="264"/>
      <c r="G836" s="264"/>
      <c r="H836" s="264"/>
      <c r="I836" s="264"/>
      <c r="J836" s="264"/>
      <c r="K836" s="264"/>
      <c r="L836" s="264"/>
      <c r="M836" s="264"/>
      <c r="N836" s="264"/>
      <c r="O836" s="264"/>
      <c r="P836" s="264"/>
      <c r="Q836" s="264"/>
      <c r="R836" s="264"/>
      <c r="S836" s="264"/>
      <c r="T836" s="264"/>
      <c r="U836" s="264"/>
      <c r="V836" s="264"/>
      <c r="W836" s="264"/>
      <c r="X836" s="264"/>
    </row>
    <row r="837">
      <c r="A837" s="264"/>
      <c r="B837" s="264"/>
      <c r="C837" s="264"/>
      <c r="D837" s="264"/>
      <c r="E837" s="264"/>
      <c r="F837" s="264"/>
      <c r="G837" s="264"/>
      <c r="H837" s="264"/>
      <c r="I837" s="264"/>
      <c r="J837" s="264"/>
      <c r="K837" s="264"/>
      <c r="L837" s="264"/>
      <c r="M837" s="264"/>
      <c r="N837" s="264"/>
      <c r="O837" s="264"/>
      <c r="P837" s="264"/>
      <c r="Q837" s="264"/>
      <c r="R837" s="264"/>
      <c r="S837" s="264"/>
      <c r="T837" s="264"/>
      <c r="U837" s="264"/>
      <c r="V837" s="264"/>
      <c r="W837" s="264"/>
      <c r="X837" s="264"/>
    </row>
    <row r="838">
      <c r="A838" s="264"/>
      <c r="B838" s="264"/>
      <c r="C838" s="264"/>
      <c r="D838" s="264"/>
      <c r="E838" s="264"/>
      <c r="F838" s="264"/>
      <c r="G838" s="264"/>
      <c r="H838" s="264"/>
      <c r="I838" s="264"/>
      <c r="J838" s="264"/>
      <c r="K838" s="264"/>
      <c r="L838" s="264"/>
      <c r="M838" s="264"/>
      <c r="N838" s="264"/>
      <c r="O838" s="264"/>
      <c r="P838" s="264"/>
      <c r="Q838" s="264"/>
      <c r="R838" s="264"/>
      <c r="S838" s="264"/>
      <c r="T838" s="264"/>
      <c r="U838" s="264"/>
      <c r="V838" s="264"/>
      <c r="W838" s="264"/>
      <c r="X838" s="264"/>
    </row>
    <row r="839">
      <c r="A839" s="264"/>
      <c r="B839" s="264"/>
      <c r="C839" s="264"/>
      <c r="D839" s="264"/>
      <c r="E839" s="264"/>
      <c r="F839" s="264"/>
      <c r="G839" s="264"/>
      <c r="H839" s="264"/>
      <c r="I839" s="264"/>
      <c r="J839" s="264"/>
      <c r="K839" s="264"/>
      <c r="L839" s="264"/>
      <c r="M839" s="264"/>
      <c r="N839" s="264"/>
      <c r="O839" s="264"/>
      <c r="P839" s="264"/>
      <c r="Q839" s="264"/>
      <c r="R839" s="264"/>
      <c r="S839" s="264"/>
      <c r="T839" s="264"/>
      <c r="U839" s="264"/>
      <c r="V839" s="264"/>
      <c r="W839" s="264"/>
      <c r="X839" s="264"/>
    </row>
    <row r="840">
      <c r="A840" s="264"/>
      <c r="B840" s="264"/>
      <c r="C840" s="264"/>
      <c r="D840" s="264"/>
      <c r="E840" s="264"/>
      <c r="F840" s="264"/>
      <c r="G840" s="264"/>
      <c r="H840" s="264"/>
      <c r="I840" s="264"/>
      <c r="J840" s="264"/>
      <c r="K840" s="264"/>
      <c r="L840" s="264"/>
      <c r="M840" s="264"/>
      <c r="N840" s="264"/>
      <c r="O840" s="264"/>
      <c r="P840" s="264"/>
      <c r="Q840" s="264"/>
      <c r="R840" s="264"/>
      <c r="S840" s="264"/>
      <c r="T840" s="264"/>
      <c r="U840" s="264"/>
      <c r="V840" s="264"/>
      <c r="W840" s="264"/>
      <c r="X840" s="264"/>
    </row>
    <row r="841">
      <c r="A841" s="264"/>
      <c r="B841" s="264"/>
      <c r="C841" s="264"/>
      <c r="D841" s="264"/>
      <c r="E841" s="264"/>
      <c r="F841" s="264"/>
      <c r="G841" s="264"/>
      <c r="H841" s="264"/>
      <c r="I841" s="264"/>
      <c r="J841" s="264"/>
      <c r="K841" s="264"/>
      <c r="L841" s="264"/>
      <c r="M841" s="264"/>
      <c r="N841" s="264"/>
      <c r="O841" s="264"/>
      <c r="P841" s="264"/>
      <c r="Q841" s="264"/>
      <c r="R841" s="264"/>
      <c r="S841" s="264"/>
      <c r="T841" s="264"/>
      <c r="U841" s="264"/>
      <c r="V841" s="264"/>
      <c r="W841" s="264"/>
      <c r="X841" s="264"/>
    </row>
    <row r="842">
      <c r="A842" s="264"/>
      <c r="B842" s="264"/>
      <c r="C842" s="264"/>
      <c r="D842" s="264"/>
      <c r="E842" s="264"/>
      <c r="F842" s="264"/>
      <c r="G842" s="264"/>
      <c r="H842" s="264"/>
      <c r="I842" s="264"/>
      <c r="J842" s="264"/>
      <c r="K842" s="264"/>
      <c r="L842" s="264"/>
      <c r="M842" s="264"/>
      <c r="N842" s="264"/>
      <c r="O842" s="264"/>
      <c r="P842" s="264"/>
      <c r="Q842" s="264"/>
      <c r="R842" s="264"/>
      <c r="S842" s="264"/>
      <c r="T842" s="264"/>
      <c r="U842" s="264"/>
      <c r="V842" s="264"/>
      <c r="W842" s="264"/>
      <c r="X842" s="264"/>
    </row>
    <row r="843">
      <c r="A843" s="264"/>
      <c r="B843" s="264"/>
      <c r="C843" s="264"/>
      <c r="D843" s="264"/>
      <c r="E843" s="264"/>
      <c r="F843" s="264"/>
      <c r="G843" s="264"/>
      <c r="H843" s="264"/>
      <c r="I843" s="264"/>
      <c r="J843" s="264"/>
      <c r="K843" s="264"/>
      <c r="L843" s="264"/>
      <c r="M843" s="264"/>
      <c r="N843" s="264"/>
      <c r="O843" s="264"/>
      <c r="P843" s="264"/>
      <c r="Q843" s="264"/>
      <c r="R843" s="264"/>
      <c r="S843" s="264"/>
      <c r="T843" s="264"/>
      <c r="U843" s="264"/>
      <c r="V843" s="264"/>
      <c r="W843" s="264"/>
      <c r="X843" s="264"/>
    </row>
    <row r="844">
      <c r="A844" s="264"/>
      <c r="B844" s="264"/>
      <c r="C844" s="264"/>
      <c r="D844" s="264"/>
      <c r="E844" s="264"/>
      <c r="F844" s="264"/>
      <c r="G844" s="264"/>
      <c r="H844" s="264"/>
      <c r="I844" s="264"/>
      <c r="J844" s="264"/>
      <c r="K844" s="264"/>
      <c r="L844" s="264"/>
      <c r="M844" s="264"/>
      <c r="N844" s="264"/>
      <c r="O844" s="264"/>
      <c r="P844" s="264"/>
      <c r="Q844" s="264"/>
      <c r="R844" s="264"/>
      <c r="S844" s="264"/>
      <c r="T844" s="264"/>
      <c r="U844" s="264"/>
      <c r="V844" s="264"/>
      <c r="W844" s="264"/>
      <c r="X844" s="264"/>
    </row>
    <row r="845">
      <c r="A845" s="264"/>
      <c r="B845" s="264"/>
      <c r="C845" s="264"/>
      <c r="D845" s="264"/>
      <c r="E845" s="264"/>
      <c r="F845" s="264"/>
      <c r="G845" s="264"/>
      <c r="H845" s="264"/>
      <c r="I845" s="264"/>
      <c r="J845" s="264"/>
      <c r="K845" s="264"/>
      <c r="L845" s="264"/>
      <c r="M845" s="264"/>
      <c r="N845" s="264"/>
      <c r="O845" s="264"/>
      <c r="P845" s="264"/>
      <c r="Q845" s="264"/>
      <c r="R845" s="264"/>
      <c r="S845" s="264"/>
      <c r="T845" s="264"/>
      <c r="U845" s="264"/>
      <c r="V845" s="264"/>
      <c r="W845" s="264"/>
      <c r="X845" s="264"/>
    </row>
    <row r="846">
      <c r="A846" s="264"/>
      <c r="B846" s="264"/>
      <c r="C846" s="264"/>
      <c r="D846" s="264"/>
      <c r="E846" s="264"/>
      <c r="F846" s="264"/>
      <c r="G846" s="264"/>
      <c r="H846" s="264"/>
      <c r="I846" s="264"/>
      <c r="J846" s="264"/>
      <c r="K846" s="264"/>
      <c r="L846" s="264"/>
      <c r="M846" s="264"/>
      <c r="N846" s="264"/>
      <c r="O846" s="264"/>
      <c r="P846" s="264"/>
      <c r="Q846" s="264"/>
      <c r="R846" s="264"/>
      <c r="S846" s="264"/>
      <c r="T846" s="264"/>
      <c r="U846" s="264"/>
      <c r="V846" s="264"/>
      <c r="W846" s="264"/>
      <c r="X846" s="264"/>
    </row>
    <row r="847">
      <c r="A847" s="264"/>
      <c r="B847" s="264"/>
      <c r="C847" s="264"/>
      <c r="D847" s="264"/>
      <c r="E847" s="264"/>
      <c r="F847" s="264"/>
      <c r="G847" s="264"/>
      <c r="H847" s="264"/>
      <c r="I847" s="264"/>
      <c r="J847" s="264"/>
      <c r="K847" s="264"/>
      <c r="L847" s="264"/>
      <c r="M847" s="264"/>
      <c r="N847" s="264"/>
      <c r="O847" s="264"/>
      <c r="P847" s="264"/>
      <c r="Q847" s="264"/>
      <c r="R847" s="264"/>
      <c r="S847" s="264"/>
      <c r="T847" s="264"/>
      <c r="U847" s="264"/>
      <c r="V847" s="264"/>
      <c r="W847" s="264"/>
      <c r="X847" s="264"/>
    </row>
    <row r="848">
      <c r="A848" s="264"/>
      <c r="B848" s="264"/>
      <c r="C848" s="264"/>
      <c r="D848" s="264"/>
      <c r="E848" s="264"/>
      <c r="F848" s="264"/>
      <c r="G848" s="264"/>
      <c r="H848" s="264"/>
      <c r="I848" s="264"/>
      <c r="J848" s="264"/>
      <c r="K848" s="264"/>
      <c r="L848" s="264"/>
      <c r="M848" s="264"/>
      <c r="N848" s="264"/>
      <c r="O848" s="264"/>
      <c r="P848" s="264"/>
      <c r="Q848" s="264"/>
      <c r="R848" s="264"/>
      <c r="S848" s="264"/>
      <c r="T848" s="264"/>
      <c r="U848" s="264"/>
      <c r="V848" s="264"/>
      <c r="W848" s="264"/>
      <c r="X848" s="264"/>
    </row>
    <row r="849">
      <c r="A849" s="264"/>
      <c r="B849" s="264"/>
      <c r="C849" s="264"/>
      <c r="D849" s="264"/>
      <c r="E849" s="264"/>
      <c r="F849" s="264"/>
      <c r="G849" s="264"/>
      <c r="H849" s="264"/>
      <c r="I849" s="264"/>
      <c r="J849" s="264"/>
      <c r="K849" s="264"/>
      <c r="L849" s="264"/>
      <c r="M849" s="264"/>
      <c r="N849" s="264"/>
      <c r="O849" s="264"/>
      <c r="P849" s="264"/>
      <c r="Q849" s="264"/>
      <c r="R849" s="264"/>
      <c r="S849" s="264"/>
      <c r="T849" s="264"/>
      <c r="U849" s="264"/>
      <c r="V849" s="264"/>
      <c r="W849" s="264"/>
      <c r="X849" s="264"/>
    </row>
    <row r="850">
      <c r="A850" s="264"/>
      <c r="B850" s="264"/>
      <c r="C850" s="264"/>
      <c r="D850" s="264"/>
      <c r="E850" s="264"/>
      <c r="F850" s="264"/>
      <c r="G850" s="264"/>
      <c r="H850" s="264"/>
      <c r="I850" s="264"/>
      <c r="J850" s="264"/>
      <c r="K850" s="264"/>
      <c r="L850" s="264"/>
      <c r="M850" s="264"/>
      <c r="N850" s="264"/>
      <c r="O850" s="264"/>
      <c r="P850" s="264"/>
      <c r="Q850" s="264"/>
      <c r="R850" s="264"/>
      <c r="S850" s="264"/>
      <c r="T850" s="264"/>
      <c r="U850" s="264"/>
      <c r="V850" s="264"/>
      <c r="W850" s="264"/>
      <c r="X850" s="264"/>
    </row>
    <row r="851">
      <c r="A851" s="264"/>
      <c r="B851" s="264"/>
      <c r="C851" s="264"/>
      <c r="D851" s="264"/>
      <c r="E851" s="264"/>
      <c r="F851" s="264"/>
      <c r="G851" s="264"/>
      <c r="H851" s="264"/>
      <c r="I851" s="264"/>
      <c r="J851" s="264"/>
      <c r="K851" s="264"/>
      <c r="L851" s="264"/>
      <c r="M851" s="264"/>
      <c r="N851" s="264"/>
      <c r="O851" s="264"/>
      <c r="P851" s="264"/>
      <c r="Q851" s="264"/>
      <c r="R851" s="264"/>
      <c r="S851" s="264"/>
      <c r="T851" s="264"/>
      <c r="U851" s="264"/>
      <c r="V851" s="264"/>
      <c r="W851" s="264"/>
      <c r="X851" s="264"/>
    </row>
    <row r="852">
      <c r="A852" s="264"/>
      <c r="B852" s="264"/>
      <c r="C852" s="264"/>
      <c r="D852" s="264"/>
      <c r="E852" s="264"/>
      <c r="F852" s="264"/>
      <c r="G852" s="264"/>
      <c r="H852" s="264"/>
      <c r="I852" s="264"/>
      <c r="J852" s="264"/>
      <c r="K852" s="264"/>
      <c r="L852" s="264"/>
      <c r="M852" s="264"/>
      <c r="N852" s="264"/>
      <c r="O852" s="264"/>
      <c r="P852" s="264"/>
      <c r="Q852" s="264"/>
      <c r="R852" s="264"/>
      <c r="S852" s="264"/>
      <c r="T852" s="264"/>
      <c r="U852" s="264"/>
      <c r="V852" s="264"/>
      <c r="W852" s="264"/>
      <c r="X852" s="264"/>
    </row>
    <row r="853">
      <c r="A853" s="264"/>
      <c r="B853" s="264"/>
      <c r="C853" s="264"/>
      <c r="D853" s="264"/>
      <c r="E853" s="264"/>
      <c r="F853" s="264"/>
      <c r="G853" s="264"/>
      <c r="H853" s="264"/>
      <c r="I853" s="264"/>
      <c r="J853" s="264"/>
      <c r="K853" s="264"/>
      <c r="L853" s="264"/>
      <c r="M853" s="264"/>
      <c r="N853" s="264"/>
      <c r="O853" s="264"/>
      <c r="P853" s="264"/>
      <c r="Q853" s="264"/>
      <c r="R853" s="264"/>
      <c r="S853" s="264"/>
      <c r="T853" s="264"/>
      <c r="U853" s="264"/>
      <c r="V853" s="264"/>
      <c r="W853" s="264"/>
      <c r="X853" s="264"/>
    </row>
    <row r="854">
      <c r="A854" s="264"/>
      <c r="B854" s="264"/>
      <c r="C854" s="264"/>
      <c r="D854" s="264"/>
      <c r="E854" s="264"/>
      <c r="F854" s="264"/>
      <c r="G854" s="264"/>
      <c r="H854" s="264"/>
      <c r="I854" s="264"/>
      <c r="J854" s="264"/>
      <c r="K854" s="264"/>
      <c r="L854" s="264"/>
      <c r="M854" s="264"/>
      <c r="N854" s="264"/>
      <c r="O854" s="264"/>
      <c r="P854" s="264"/>
      <c r="Q854" s="264"/>
      <c r="R854" s="264"/>
      <c r="S854" s="264"/>
      <c r="T854" s="264"/>
      <c r="U854" s="264"/>
      <c r="V854" s="264"/>
      <c r="W854" s="264"/>
      <c r="X854" s="264"/>
    </row>
    <row r="855">
      <c r="A855" s="264"/>
      <c r="B855" s="264"/>
      <c r="C855" s="264"/>
      <c r="D855" s="264"/>
      <c r="E855" s="264"/>
      <c r="F855" s="264"/>
      <c r="G855" s="264"/>
      <c r="H855" s="264"/>
      <c r="I855" s="264"/>
      <c r="J855" s="264"/>
      <c r="K855" s="264"/>
      <c r="L855" s="264"/>
      <c r="M855" s="264"/>
      <c r="N855" s="264"/>
      <c r="O855" s="264"/>
      <c r="P855" s="264"/>
      <c r="Q855" s="264"/>
      <c r="R855" s="264"/>
      <c r="S855" s="264"/>
      <c r="T855" s="264"/>
      <c r="U855" s="264"/>
      <c r="V855" s="264"/>
      <c r="W855" s="264"/>
      <c r="X855" s="264"/>
    </row>
    <row r="856">
      <c r="A856" s="264"/>
      <c r="B856" s="264"/>
      <c r="C856" s="264"/>
      <c r="D856" s="264"/>
      <c r="E856" s="264"/>
      <c r="F856" s="264"/>
      <c r="G856" s="264"/>
      <c r="H856" s="264"/>
      <c r="I856" s="264"/>
      <c r="J856" s="264"/>
      <c r="K856" s="264"/>
      <c r="L856" s="264"/>
      <c r="M856" s="264"/>
      <c r="N856" s="264"/>
      <c r="O856" s="264"/>
      <c r="P856" s="264"/>
      <c r="Q856" s="264"/>
      <c r="R856" s="264"/>
      <c r="S856" s="264"/>
      <c r="T856" s="264"/>
      <c r="U856" s="264"/>
      <c r="V856" s="264"/>
      <c r="W856" s="264"/>
      <c r="X856" s="264"/>
    </row>
    <row r="857">
      <c r="A857" s="264"/>
      <c r="B857" s="264"/>
      <c r="C857" s="264"/>
      <c r="D857" s="264"/>
      <c r="E857" s="264"/>
      <c r="F857" s="264"/>
      <c r="G857" s="264"/>
      <c r="H857" s="264"/>
      <c r="I857" s="264"/>
      <c r="J857" s="264"/>
      <c r="K857" s="264"/>
      <c r="L857" s="264"/>
      <c r="M857" s="264"/>
      <c r="N857" s="264"/>
      <c r="O857" s="264"/>
      <c r="P857" s="264"/>
      <c r="Q857" s="264"/>
      <c r="R857" s="264"/>
      <c r="S857" s="264"/>
      <c r="T857" s="264"/>
      <c r="U857" s="264"/>
      <c r="V857" s="264"/>
      <c r="W857" s="264"/>
      <c r="X857" s="264"/>
    </row>
    <row r="858">
      <c r="A858" s="264"/>
      <c r="B858" s="264"/>
      <c r="C858" s="264"/>
      <c r="D858" s="264"/>
      <c r="E858" s="264"/>
      <c r="F858" s="264"/>
      <c r="G858" s="264"/>
      <c r="H858" s="264"/>
      <c r="I858" s="264"/>
      <c r="J858" s="264"/>
      <c r="K858" s="264"/>
      <c r="L858" s="264"/>
      <c r="M858" s="264"/>
      <c r="N858" s="264"/>
      <c r="O858" s="264"/>
      <c r="P858" s="264"/>
      <c r="Q858" s="264"/>
      <c r="R858" s="264"/>
      <c r="S858" s="264"/>
      <c r="T858" s="264"/>
      <c r="U858" s="264"/>
      <c r="V858" s="264"/>
      <c r="W858" s="264"/>
      <c r="X858" s="264"/>
    </row>
    <row r="859">
      <c r="A859" s="264"/>
      <c r="B859" s="264"/>
      <c r="C859" s="264"/>
      <c r="D859" s="264"/>
      <c r="E859" s="264"/>
      <c r="F859" s="264"/>
      <c r="G859" s="264"/>
      <c r="H859" s="264"/>
      <c r="I859" s="264"/>
      <c r="J859" s="264"/>
      <c r="K859" s="264"/>
      <c r="L859" s="264"/>
      <c r="M859" s="264"/>
      <c r="N859" s="264"/>
      <c r="O859" s="264"/>
      <c r="P859" s="264"/>
      <c r="Q859" s="264"/>
      <c r="R859" s="264"/>
      <c r="S859" s="264"/>
      <c r="T859" s="264"/>
      <c r="U859" s="264"/>
      <c r="V859" s="264"/>
      <c r="W859" s="264"/>
      <c r="X859" s="264"/>
    </row>
    <row r="860">
      <c r="A860" s="264"/>
      <c r="B860" s="264"/>
      <c r="C860" s="264"/>
      <c r="D860" s="264"/>
      <c r="E860" s="264"/>
      <c r="F860" s="264"/>
      <c r="G860" s="264"/>
      <c r="H860" s="264"/>
      <c r="I860" s="264"/>
      <c r="J860" s="264"/>
      <c r="K860" s="264"/>
      <c r="L860" s="264"/>
      <c r="M860" s="264"/>
      <c r="N860" s="264"/>
      <c r="O860" s="264"/>
      <c r="P860" s="264"/>
      <c r="Q860" s="264"/>
      <c r="R860" s="264"/>
      <c r="S860" s="264"/>
      <c r="T860" s="264"/>
      <c r="U860" s="264"/>
      <c r="V860" s="264"/>
      <c r="W860" s="264"/>
      <c r="X860" s="264"/>
    </row>
    <row r="861">
      <c r="A861" s="264"/>
      <c r="B861" s="264"/>
      <c r="C861" s="264"/>
      <c r="D861" s="264"/>
      <c r="E861" s="264"/>
      <c r="F861" s="264"/>
      <c r="G861" s="264"/>
      <c r="H861" s="264"/>
      <c r="I861" s="264"/>
      <c r="J861" s="264"/>
      <c r="K861" s="264"/>
      <c r="L861" s="264"/>
      <c r="M861" s="264"/>
      <c r="N861" s="264"/>
      <c r="O861" s="264"/>
      <c r="P861" s="264"/>
      <c r="Q861" s="264"/>
      <c r="R861" s="264"/>
      <c r="S861" s="264"/>
      <c r="T861" s="264"/>
      <c r="U861" s="264"/>
      <c r="V861" s="264"/>
      <c r="W861" s="264"/>
      <c r="X861" s="264"/>
    </row>
    <row r="862">
      <c r="A862" s="264"/>
      <c r="B862" s="264"/>
      <c r="C862" s="264"/>
      <c r="D862" s="264"/>
      <c r="E862" s="264"/>
      <c r="F862" s="264"/>
      <c r="G862" s="264"/>
      <c r="H862" s="264"/>
      <c r="I862" s="264"/>
      <c r="J862" s="264"/>
      <c r="K862" s="264"/>
      <c r="L862" s="264"/>
      <c r="M862" s="264"/>
      <c r="N862" s="264"/>
      <c r="O862" s="264"/>
      <c r="P862" s="264"/>
      <c r="Q862" s="264"/>
      <c r="R862" s="264"/>
      <c r="S862" s="264"/>
      <c r="T862" s="264"/>
      <c r="U862" s="264"/>
      <c r="V862" s="264"/>
      <c r="W862" s="264"/>
      <c r="X862" s="264"/>
    </row>
    <row r="863">
      <c r="A863" s="264"/>
      <c r="B863" s="264"/>
      <c r="C863" s="264"/>
      <c r="D863" s="264"/>
      <c r="E863" s="264"/>
      <c r="F863" s="264"/>
      <c r="G863" s="264"/>
      <c r="H863" s="264"/>
      <c r="I863" s="264"/>
      <c r="J863" s="264"/>
      <c r="K863" s="264"/>
      <c r="L863" s="264"/>
      <c r="M863" s="264"/>
      <c r="N863" s="264"/>
      <c r="O863" s="264"/>
      <c r="P863" s="264"/>
      <c r="Q863" s="264"/>
      <c r="R863" s="264"/>
      <c r="S863" s="264"/>
      <c r="T863" s="264"/>
      <c r="U863" s="264"/>
      <c r="V863" s="264"/>
      <c r="W863" s="264"/>
      <c r="X863" s="264"/>
    </row>
    <row r="864">
      <c r="A864" s="264"/>
      <c r="B864" s="264"/>
      <c r="C864" s="264"/>
      <c r="D864" s="264"/>
      <c r="E864" s="264"/>
      <c r="F864" s="264"/>
      <c r="G864" s="264"/>
      <c r="H864" s="264"/>
      <c r="I864" s="264"/>
      <c r="J864" s="264"/>
      <c r="K864" s="264"/>
      <c r="L864" s="264"/>
      <c r="M864" s="264"/>
      <c r="N864" s="264"/>
      <c r="O864" s="264"/>
      <c r="P864" s="264"/>
      <c r="Q864" s="264"/>
      <c r="R864" s="264"/>
      <c r="S864" s="264"/>
      <c r="T864" s="264"/>
      <c r="U864" s="264"/>
      <c r="V864" s="264"/>
      <c r="W864" s="264"/>
      <c r="X864" s="264"/>
    </row>
    <row r="865">
      <c r="A865" s="264"/>
      <c r="B865" s="264"/>
      <c r="C865" s="264"/>
      <c r="D865" s="264"/>
      <c r="E865" s="264"/>
      <c r="F865" s="264"/>
      <c r="G865" s="264"/>
      <c r="H865" s="264"/>
      <c r="I865" s="264"/>
      <c r="J865" s="264"/>
      <c r="K865" s="264"/>
      <c r="L865" s="264"/>
      <c r="M865" s="264"/>
      <c r="N865" s="264"/>
      <c r="O865" s="264"/>
      <c r="P865" s="264"/>
      <c r="Q865" s="264"/>
      <c r="R865" s="264"/>
      <c r="S865" s="264"/>
      <c r="T865" s="264"/>
      <c r="U865" s="264"/>
      <c r="V865" s="264"/>
      <c r="W865" s="264"/>
      <c r="X865" s="264"/>
    </row>
    <row r="866">
      <c r="A866" s="264"/>
      <c r="B866" s="264"/>
      <c r="C866" s="264"/>
      <c r="D866" s="264"/>
      <c r="E866" s="264"/>
      <c r="F866" s="264"/>
      <c r="G866" s="264"/>
      <c r="H866" s="264"/>
      <c r="I866" s="264"/>
      <c r="J866" s="264"/>
      <c r="K866" s="264"/>
      <c r="L866" s="264"/>
      <c r="M866" s="264"/>
      <c r="N866" s="264"/>
      <c r="O866" s="264"/>
      <c r="P866" s="264"/>
      <c r="Q866" s="264"/>
      <c r="R866" s="264"/>
      <c r="S866" s="264"/>
      <c r="T866" s="264"/>
      <c r="U866" s="264"/>
      <c r="V866" s="264"/>
      <c r="W866" s="264"/>
      <c r="X866" s="264"/>
    </row>
    <row r="867">
      <c r="A867" s="264"/>
      <c r="B867" s="264"/>
      <c r="C867" s="264"/>
      <c r="D867" s="264"/>
      <c r="E867" s="264"/>
      <c r="F867" s="264"/>
      <c r="G867" s="264"/>
      <c r="H867" s="264"/>
      <c r="I867" s="264"/>
      <c r="J867" s="264"/>
      <c r="K867" s="264"/>
      <c r="L867" s="264"/>
      <c r="M867" s="264"/>
      <c r="N867" s="264"/>
      <c r="O867" s="264"/>
      <c r="P867" s="264"/>
      <c r="Q867" s="264"/>
      <c r="R867" s="264"/>
      <c r="S867" s="264"/>
      <c r="T867" s="264"/>
      <c r="U867" s="264"/>
      <c r="V867" s="264"/>
      <c r="W867" s="264"/>
      <c r="X867" s="264"/>
    </row>
    <row r="868">
      <c r="A868" s="264"/>
      <c r="B868" s="264"/>
      <c r="C868" s="264"/>
      <c r="D868" s="264"/>
      <c r="E868" s="264"/>
      <c r="F868" s="264"/>
      <c r="G868" s="264"/>
      <c r="H868" s="264"/>
      <c r="I868" s="264"/>
      <c r="J868" s="264"/>
      <c r="K868" s="264"/>
      <c r="L868" s="264"/>
      <c r="M868" s="264"/>
      <c r="N868" s="264"/>
      <c r="O868" s="264"/>
      <c r="P868" s="264"/>
      <c r="Q868" s="264"/>
      <c r="R868" s="264"/>
      <c r="S868" s="264"/>
      <c r="T868" s="264"/>
      <c r="U868" s="264"/>
      <c r="V868" s="264"/>
      <c r="W868" s="264"/>
      <c r="X868" s="264"/>
    </row>
    <row r="869">
      <c r="A869" s="264"/>
      <c r="B869" s="264"/>
      <c r="C869" s="264"/>
      <c r="D869" s="264"/>
      <c r="E869" s="264"/>
      <c r="F869" s="264"/>
      <c r="G869" s="264"/>
      <c r="H869" s="264"/>
      <c r="I869" s="264"/>
      <c r="J869" s="264"/>
      <c r="K869" s="264"/>
      <c r="L869" s="264"/>
      <c r="M869" s="264"/>
      <c r="N869" s="264"/>
      <c r="O869" s="264"/>
      <c r="P869" s="264"/>
      <c r="Q869" s="264"/>
      <c r="R869" s="264"/>
      <c r="S869" s="264"/>
      <c r="T869" s="264"/>
      <c r="U869" s="264"/>
      <c r="V869" s="264"/>
      <c r="W869" s="264"/>
      <c r="X869" s="264"/>
    </row>
    <row r="870">
      <c r="A870" s="264"/>
      <c r="B870" s="264"/>
      <c r="C870" s="264"/>
      <c r="D870" s="264"/>
      <c r="E870" s="264"/>
      <c r="F870" s="264"/>
      <c r="G870" s="264"/>
      <c r="H870" s="264"/>
      <c r="I870" s="264"/>
      <c r="J870" s="264"/>
      <c r="K870" s="264"/>
      <c r="L870" s="264"/>
      <c r="M870" s="264"/>
      <c r="N870" s="264"/>
      <c r="O870" s="264"/>
      <c r="P870" s="264"/>
      <c r="Q870" s="264"/>
      <c r="R870" s="264"/>
      <c r="S870" s="264"/>
      <c r="T870" s="264"/>
      <c r="U870" s="264"/>
      <c r="V870" s="264"/>
      <c r="W870" s="264"/>
      <c r="X870" s="264"/>
    </row>
    <row r="871">
      <c r="A871" s="264"/>
      <c r="B871" s="264"/>
      <c r="C871" s="264"/>
      <c r="D871" s="264"/>
      <c r="E871" s="264"/>
      <c r="F871" s="264"/>
      <c r="G871" s="264"/>
      <c r="H871" s="264"/>
      <c r="I871" s="264"/>
      <c r="J871" s="264"/>
      <c r="K871" s="264"/>
      <c r="L871" s="264"/>
      <c r="M871" s="264"/>
      <c r="N871" s="264"/>
      <c r="O871" s="264"/>
      <c r="P871" s="264"/>
      <c r="Q871" s="264"/>
      <c r="R871" s="264"/>
      <c r="S871" s="264"/>
      <c r="T871" s="264"/>
      <c r="U871" s="264"/>
      <c r="V871" s="264"/>
      <c r="W871" s="264"/>
      <c r="X871" s="264"/>
    </row>
    <row r="872">
      <c r="A872" s="264"/>
      <c r="B872" s="264"/>
      <c r="C872" s="264"/>
      <c r="D872" s="264"/>
      <c r="E872" s="264"/>
      <c r="F872" s="264"/>
      <c r="G872" s="264"/>
      <c r="H872" s="264"/>
      <c r="I872" s="264"/>
      <c r="J872" s="264"/>
      <c r="K872" s="264"/>
      <c r="L872" s="264"/>
      <c r="M872" s="264"/>
      <c r="N872" s="264"/>
      <c r="O872" s="264"/>
      <c r="P872" s="264"/>
      <c r="Q872" s="264"/>
      <c r="R872" s="264"/>
      <c r="S872" s="264"/>
      <c r="T872" s="264"/>
      <c r="U872" s="264"/>
      <c r="V872" s="264"/>
      <c r="W872" s="264"/>
      <c r="X872" s="264"/>
    </row>
    <row r="873">
      <c r="A873" s="264"/>
      <c r="B873" s="264"/>
      <c r="C873" s="264"/>
      <c r="D873" s="264"/>
      <c r="E873" s="264"/>
      <c r="F873" s="264"/>
      <c r="G873" s="264"/>
      <c r="H873" s="264"/>
      <c r="I873" s="264"/>
      <c r="J873" s="264"/>
      <c r="K873" s="264"/>
      <c r="L873" s="264"/>
      <c r="M873" s="264"/>
      <c r="N873" s="264"/>
      <c r="O873" s="264"/>
      <c r="P873" s="264"/>
      <c r="Q873" s="264"/>
      <c r="R873" s="264"/>
      <c r="S873" s="264"/>
      <c r="T873" s="264"/>
      <c r="U873" s="264"/>
      <c r="V873" s="264"/>
      <c r="W873" s="264"/>
      <c r="X873" s="264"/>
    </row>
    <row r="874">
      <c r="A874" s="264"/>
      <c r="B874" s="264"/>
      <c r="C874" s="264"/>
      <c r="D874" s="264"/>
      <c r="E874" s="264"/>
      <c r="F874" s="264"/>
      <c r="G874" s="264"/>
      <c r="H874" s="264"/>
      <c r="I874" s="264"/>
      <c r="J874" s="264"/>
      <c r="K874" s="264"/>
      <c r="L874" s="264"/>
      <c r="M874" s="264"/>
      <c r="N874" s="264"/>
      <c r="O874" s="264"/>
      <c r="P874" s="264"/>
      <c r="Q874" s="264"/>
      <c r="R874" s="264"/>
      <c r="S874" s="264"/>
      <c r="T874" s="264"/>
      <c r="U874" s="264"/>
      <c r="V874" s="264"/>
      <c r="W874" s="264"/>
      <c r="X874" s="264"/>
    </row>
    <row r="875">
      <c r="A875" s="264"/>
      <c r="B875" s="264"/>
      <c r="C875" s="264"/>
      <c r="D875" s="264"/>
      <c r="E875" s="264"/>
      <c r="F875" s="264"/>
      <c r="G875" s="264"/>
      <c r="H875" s="264"/>
      <c r="I875" s="264"/>
      <c r="J875" s="264"/>
      <c r="K875" s="264"/>
      <c r="L875" s="264"/>
      <c r="M875" s="264"/>
      <c r="N875" s="264"/>
      <c r="O875" s="264"/>
      <c r="P875" s="264"/>
      <c r="Q875" s="264"/>
      <c r="R875" s="264"/>
      <c r="S875" s="264"/>
      <c r="T875" s="264"/>
      <c r="U875" s="264"/>
      <c r="V875" s="264"/>
      <c r="W875" s="264"/>
      <c r="X875" s="264"/>
    </row>
    <row r="876">
      <c r="A876" s="264"/>
      <c r="B876" s="264"/>
      <c r="C876" s="264"/>
      <c r="D876" s="264"/>
      <c r="E876" s="264"/>
      <c r="F876" s="264"/>
      <c r="G876" s="264"/>
      <c r="H876" s="264"/>
      <c r="I876" s="264"/>
      <c r="J876" s="264"/>
      <c r="K876" s="264"/>
      <c r="L876" s="264"/>
      <c r="M876" s="264"/>
      <c r="N876" s="264"/>
      <c r="O876" s="264"/>
      <c r="P876" s="264"/>
      <c r="Q876" s="264"/>
      <c r="R876" s="264"/>
      <c r="S876" s="264"/>
      <c r="T876" s="264"/>
      <c r="U876" s="264"/>
      <c r="V876" s="264"/>
      <c r="W876" s="264"/>
      <c r="X876" s="264"/>
    </row>
    <row r="877">
      <c r="A877" s="264"/>
      <c r="B877" s="264"/>
      <c r="C877" s="264"/>
      <c r="D877" s="264"/>
      <c r="E877" s="264"/>
      <c r="F877" s="264"/>
      <c r="G877" s="264"/>
      <c r="H877" s="264"/>
      <c r="I877" s="264"/>
      <c r="J877" s="264"/>
      <c r="K877" s="264"/>
      <c r="L877" s="264"/>
      <c r="M877" s="264"/>
      <c r="N877" s="264"/>
      <c r="O877" s="264"/>
      <c r="P877" s="264"/>
      <c r="Q877" s="264"/>
      <c r="R877" s="264"/>
      <c r="S877" s="264"/>
      <c r="T877" s="264"/>
      <c r="U877" s="264"/>
      <c r="V877" s="264"/>
      <c r="W877" s="264"/>
      <c r="X877" s="264"/>
    </row>
    <row r="878">
      <c r="A878" s="264"/>
      <c r="B878" s="264"/>
      <c r="C878" s="264"/>
      <c r="D878" s="264"/>
      <c r="E878" s="264"/>
      <c r="F878" s="264"/>
      <c r="G878" s="264"/>
      <c r="H878" s="264"/>
      <c r="I878" s="264"/>
      <c r="J878" s="264"/>
      <c r="K878" s="264"/>
      <c r="L878" s="264"/>
      <c r="M878" s="264"/>
      <c r="N878" s="264"/>
      <c r="O878" s="264"/>
      <c r="P878" s="264"/>
      <c r="Q878" s="264"/>
      <c r="R878" s="264"/>
      <c r="S878" s="264"/>
      <c r="T878" s="264"/>
      <c r="U878" s="264"/>
      <c r="V878" s="264"/>
      <c r="W878" s="264"/>
      <c r="X878" s="264"/>
    </row>
    <row r="879">
      <c r="A879" s="264"/>
      <c r="B879" s="264"/>
      <c r="C879" s="264"/>
      <c r="D879" s="264"/>
      <c r="E879" s="264"/>
      <c r="F879" s="264"/>
      <c r="G879" s="264"/>
      <c r="H879" s="264"/>
      <c r="I879" s="264"/>
      <c r="J879" s="264"/>
      <c r="K879" s="264"/>
      <c r="L879" s="264"/>
      <c r="M879" s="264"/>
      <c r="N879" s="264"/>
      <c r="O879" s="264"/>
      <c r="P879" s="264"/>
      <c r="Q879" s="264"/>
      <c r="R879" s="264"/>
      <c r="S879" s="264"/>
      <c r="T879" s="264"/>
      <c r="U879" s="264"/>
      <c r="V879" s="264"/>
      <c r="W879" s="264"/>
      <c r="X879" s="264"/>
    </row>
    <row r="880">
      <c r="A880" s="264"/>
      <c r="B880" s="264"/>
      <c r="C880" s="264"/>
      <c r="D880" s="264"/>
      <c r="E880" s="264"/>
      <c r="F880" s="264"/>
      <c r="G880" s="264"/>
      <c r="H880" s="264"/>
      <c r="I880" s="264"/>
      <c r="J880" s="264"/>
      <c r="K880" s="264"/>
      <c r="L880" s="264"/>
      <c r="M880" s="264"/>
      <c r="N880" s="264"/>
      <c r="O880" s="264"/>
      <c r="P880" s="264"/>
      <c r="Q880" s="264"/>
      <c r="R880" s="264"/>
      <c r="S880" s="264"/>
      <c r="T880" s="264"/>
      <c r="U880" s="264"/>
      <c r="V880" s="264"/>
      <c r="W880" s="264"/>
      <c r="X880" s="264"/>
    </row>
    <row r="881">
      <c r="A881" s="264"/>
      <c r="B881" s="264"/>
      <c r="C881" s="264"/>
      <c r="D881" s="264"/>
      <c r="E881" s="264"/>
      <c r="F881" s="264"/>
      <c r="G881" s="264"/>
      <c r="H881" s="264"/>
      <c r="I881" s="264"/>
      <c r="J881" s="264"/>
      <c r="K881" s="264"/>
      <c r="L881" s="264"/>
      <c r="M881" s="264"/>
      <c r="N881" s="264"/>
      <c r="O881" s="264"/>
      <c r="P881" s="264"/>
      <c r="Q881" s="264"/>
      <c r="R881" s="264"/>
      <c r="S881" s="264"/>
      <c r="T881" s="264"/>
      <c r="U881" s="264"/>
      <c r="V881" s="264"/>
      <c r="W881" s="264"/>
      <c r="X881" s="264"/>
    </row>
    <row r="882">
      <c r="A882" s="264"/>
      <c r="B882" s="264"/>
      <c r="C882" s="264"/>
      <c r="D882" s="264"/>
      <c r="E882" s="264"/>
      <c r="F882" s="264"/>
      <c r="G882" s="264"/>
      <c r="H882" s="264"/>
      <c r="I882" s="264"/>
      <c r="J882" s="264"/>
      <c r="K882" s="264"/>
      <c r="L882" s="264"/>
      <c r="M882" s="264"/>
      <c r="N882" s="264"/>
      <c r="O882" s="264"/>
      <c r="P882" s="264"/>
      <c r="Q882" s="264"/>
      <c r="R882" s="264"/>
      <c r="S882" s="264"/>
      <c r="T882" s="264"/>
      <c r="U882" s="264"/>
      <c r="V882" s="264"/>
      <c r="W882" s="264"/>
      <c r="X882" s="264"/>
    </row>
    <row r="883">
      <c r="A883" s="264"/>
      <c r="B883" s="264"/>
      <c r="C883" s="264"/>
      <c r="D883" s="264"/>
      <c r="E883" s="264"/>
      <c r="F883" s="264"/>
      <c r="G883" s="264"/>
      <c r="H883" s="264"/>
      <c r="I883" s="264"/>
      <c r="J883" s="264"/>
      <c r="K883" s="264"/>
      <c r="L883" s="264"/>
      <c r="M883" s="264"/>
      <c r="N883" s="264"/>
      <c r="O883" s="264"/>
      <c r="P883" s="264"/>
      <c r="Q883" s="264"/>
      <c r="R883" s="264"/>
      <c r="S883" s="264"/>
      <c r="T883" s="264"/>
      <c r="U883" s="264"/>
      <c r="V883" s="264"/>
      <c r="W883" s="264"/>
      <c r="X883" s="264"/>
    </row>
    <row r="884">
      <c r="A884" s="264"/>
      <c r="B884" s="264"/>
      <c r="C884" s="264"/>
      <c r="D884" s="264"/>
      <c r="E884" s="264"/>
      <c r="F884" s="264"/>
      <c r="G884" s="264"/>
      <c r="H884" s="264"/>
      <c r="I884" s="264"/>
      <c r="J884" s="264"/>
      <c r="K884" s="264"/>
      <c r="L884" s="264"/>
      <c r="M884" s="264"/>
      <c r="N884" s="264"/>
      <c r="O884" s="264"/>
      <c r="P884" s="264"/>
      <c r="Q884" s="264"/>
      <c r="R884" s="264"/>
      <c r="S884" s="264"/>
      <c r="T884" s="264"/>
      <c r="U884" s="264"/>
      <c r="V884" s="264"/>
      <c r="W884" s="264"/>
      <c r="X884" s="264"/>
    </row>
    <row r="885">
      <c r="A885" s="264"/>
      <c r="B885" s="264"/>
      <c r="C885" s="264"/>
      <c r="D885" s="264"/>
      <c r="E885" s="264"/>
      <c r="F885" s="264"/>
      <c r="G885" s="264"/>
      <c r="H885" s="264"/>
      <c r="I885" s="264"/>
      <c r="J885" s="264"/>
      <c r="K885" s="264"/>
      <c r="L885" s="264"/>
      <c r="M885" s="264"/>
      <c r="N885" s="264"/>
      <c r="O885" s="264"/>
      <c r="P885" s="264"/>
      <c r="Q885" s="264"/>
      <c r="R885" s="264"/>
      <c r="S885" s="264"/>
      <c r="T885" s="264"/>
      <c r="U885" s="264"/>
      <c r="V885" s="264"/>
      <c r="W885" s="264"/>
      <c r="X885" s="264"/>
    </row>
    <row r="886">
      <c r="A886" s="264"/>
      <c r="B886" s="264"/>
      <c r="C886" s="264"/>
      <c r="D886" s="264"/>
      <c r="E886" s="264"/>
      <c r="F886" s="264"/>
      <c r="G886" s="264"/>
      <c r="H886" s="264"/>
      <c r="I886" s="264"/>
      <c r="J886" s="264"/>
      <c r="K886" s="264"/>
      <c r="L886" s="264"/>
      <c r="M886" s="264"/>
      <c r="N886" s="264"/>
      <c r="O886" s="264"/>
      <c r="P886" s="264"/>
      <c r="Q886" s="264"/>
      <c r="R886" s="264"/>
      <c r="S886" s="264"/>
      <c r="T886" s="264"/>
      <c r="U886" s="264"/>
      <c r="V886" s="264"/>
      <c r="W886" s="264"/>
      <c r="X886" s="264"/>
    </row>
    <row r="887">
      <c r="A887" s="264"/>
      <c r="B887" s="264"/>
      <c r="C887" s="264"/>
      <c r="D887" s="264"/>
      <c r="E887" s="264"/>
      <c r="F887" s="264"/>
      <c r="G887" s="264"/>
      <c r="H887" s="264"/>
      <c r="I887" s="264"/>
      <c r="J887" s="264"/>
      <c r="K887" s="264"/>
      <c r="L887" s="264"/>
      <c r="M887" s="264"/>
      <c r="N887" s="264"/>
      <c r="O887" s="264"/>
      <c r="P887" s="264"/>
      <c r="Q887" s="264"/>
      <c r="R887" s="264"/>
      <c r="S887" s="264"/>
      <c r="T887" s="264"/>
      <c r="U887" s="264"/>
      <c r="V887" s="264"/>
      <c r="W887" s="264"/>
      <c r="X887" s="264"/>
    </row>
    <row r="888">
      <c r="A888" s="264"/>
      <c r="B888" s="264"/>
      <c r="C888" s="264"/>
      <c r="D888" s="264"/>
      <c r="E888" s="264"/>
      <c r="F888" s="264"/>
      <c r="G888" s="264"/>
      <c r="H888" s="264"/>
      <c r="I888" s="264"/>
      <c r="J888" s="264"/>
      <c r="K888" s="264"/>
      <c r="L888" s="264"/>
      <c r="M888" s="264"/>
      <c r="N888" s="264"/>
      <c r="O888" s="264"/>
      <c r="P888" s="264"/>
      <c r="Q888" s="264"/>
      <c r="R888" s="264"/>
      <c r="S888" s="264"/>
      <c r="T888" s="264"/>
      <c r="U888" s="264"/>
      <c r="V888" s="264"/>
      <c r="W888" s="264"/>
      <c r="X888" s="264"/>
    </row>
    <row r="889">
      <c r="A889" s="264"/>
      <c r="B889" s="264"/>
      <c r="C889" s="264"/>
      <c r="D889" s="264"/>
      <c r="E889" s="264"/>
      <c r="F889" s="264"/>
      <c r="G889" s="264"/>
      <c r="H889" s="264"/>
      <c r="I889" s="264"/>
      <c r="J889" s="264"/>
      <c r="K889" s="264"/>
      <c r="L889" s="264"/>
      <c r="M889" s="264"/>
      <c r="N889" s="264"/>
      <c r="O889" s="264"/>
      <c r="P889" s="264"/>
      <c r="Q889" s="264"/>
      <c r="R889" s="264"/>
      <c r="S889" s="264"/>
      <c r="T889" s="264"/>
      <c r="U889" s="264"/>
      <c r="V889" s="264"/>
      <c r="W889" s="264"/>
      <c r="X889" s="264"/>
    </row>
    <row r="890">
      <c r="A890" s="264"/>
      <c r="B890" s="264"/>
      <c r="C890" s="264"/>
      <c r="D890" s="264"/>
      <c r="E890" s="264"/>
      <c r="F890" s="264"/>
      <c r="G890" s="264"/>
      <c r="H890" s="264"/>
      <c r="I890" s="264"/>
      <c r="J890" s="264"/>
      <c r="K890" s="264"/>
      <c r="L890" s="264"/>
      <c r="M890" s="264"/>
      <c r="N890" s="264"/>
      <c r="O890" s="264"/>
      <c r="P890" s="264"/>
      <c r="Q890" s="264"/>
      <c r="R890" s="264"/>
      <c r="S890" s="264"/>
      <c r="T890" s="264"/>
      <c r="U890" s="264"/>
      <c r="V890" s="264"/>
      <c r="W890" s="264"/>
      <c r="X890" s="264"/>
    </row>
    <row r="891">
      <c r="A891" s="264"/>
      <c r="B891" s="264"/>
      <c r="C891" s="264"/>
      <c r="D891" s="264"/>
      <c r="E891" s="264"/>
      <c r="F891" s="264"/>
      <c r="G891" s="264"/>
      <c r="H891" s="264"/>
      <c r="I891" s="264"/>
      <c r="J891" s="264"/>
      <c r="K891" s="264"/>
      <c r="L891" s="264"/>
      <c r="M891" s="264"/>
      <c r="N891" s="264"/>
      <c r="O891" s="264"/>
      <c r="P891" s="264"/>
      <c r="Q891" s="264"/>
      <c r="R891" s="264"/>
      <c r="S891" s="264"/>
      <c r="T891" s="264"/>
      <c r="U891" s="264"/>
      <c r="V891" s="264"/>
      <c r="W891" s="264"/>
      <c r="X891" s="264"/>
    </row>
    <row r="892">
      <c r="A892" s="264"/>
      <c r="B892" s="264"/>
      <c r="C892" s="264"/>
      <c r="D892" s="264"/>
      <c r="E892" s="264"/>
      <c r="F892" s="264"/>
      <c r="G892" s="264"/>
      <c r="H892" s="264"/>
      <c r="I892" s="264"/>
      <c r="J892" s="264"/>
      <c r="K892" s="264"/>
      <c r="L892" s="264"/>
      <c r="M892" s="264"/>
      <c r="N892" s="264"/>
      <c r="O892" s="264"/>
      <c r="P892" s="264"/>
      <c r="Q892" s="264"/>
      <c r="R892" s="264"/>
      <c r="S892" s="264"/>
      <c r="T892" s="264"/>
      <c r="U892" s="264"/>
      <c r="V892" s="264"/>
      <c r="W892" s="264"/>
      <c r="X892" s="264"/>
    </row>
    <row r="893">
      <c r="A893" s="264"/>
      <c r="B893" s="264"/>
      <c r="C893" s="264"/>
      <c r="D893" s="264"/>
      <c r="E893" s="264"/>
      <c r="F893" s="264"/>
      <c r="G893" s="264"/>
      <c r="H893" s="264"/>
      <c r="I893" s="264"/>
      <c r="J893" s="264"/>
      <c r="K893" s="264"/>
      <c r="L893" s="264"/>
      <c r="M893" s="264"/>
      <c r="N893" s="264"/>
      <c r="O893" s="264"/>
      <c r="P893" s="264"/>
      <c r="Q893" s="264"/>
      <c r="R893" s="264"/>
      <c r="S893" s="264"/>
      <c r="T893" s="264"/>
      <c r="U893" s="264"/>
      <c r="V893" s="264"/>
      <c r="W893" s="264"/>
      <c r="X893" s="264"/>
    </row>
    <row r="894">
      <c r="A894" s="264"/>
      <c r="B894" s="264"/>
      <c r="C894" s="264"/>
      <c r="D894" s="264"/>
      <c r="E894" s="264"/>
      <c r="F894" s="264"/>
      <c r="G894" s="264"/>
      <c r="H894" s="264"/>
      <c r="I894" s="264"/>
      <c r="J894" s="264"/>
      <c r="K894" s="264"/>
      <c r="L894" s="264"/>
      <c r="M894" s="264"/>
      <c r="N894" s="264"/>
      <c r="O894" s="264"/>
      <c r="P894" s="264"/>
      <c r="Q894" s="264"/>
      <c r="R894" s="264"/>
      <c r="S894" s="264"/>
      <c r="T894" s="264"/>
      <c r="U894" s="264"/>
      <c r="V894" s="264"/>
      <c r="W894" s="264"/>
      <c r="X894" s="264"/>
    </row>
    <row r="895">
      <c r="A895" s="264"/>
      <c r="B895" s="264"/>
      <c r="C895" s="264"/>
      <c r="D895" s="264"/>
      <c r="E895" s="264"/>
      <c r="F895" s="264"/>
      <c r="G895" s="264"/>
      <c r="H895" s="264"/>
      <c r="I895" s="264"/>
      <c r="J895" s="264"/>
      <c r="K895" s="264"/>
      <c r="L895" s="264"/>
      <c r="M895" s="264"/>
      <c r="N895" s="264"/>
      <c r="O895" s="264"/>
      <c r="P895" s="264"/>
      <c r="Q895" s="264"/>
      <c r="R895" s="264"/>
      <c r="S895" s="264"/>
      <c r="T895" s="264"/>
      <c r="U895" s="264"/>
      <c r="V895" s="264"/>
      <c r="W895" s="264"/>
      <c r="X895" s="264"/>
    </row>
    <row r="896">
      <c r="A896" s="264"/>
      <c r="B896" s="264"/>
      <c r="C896" s="264"/>
      <c r="D896" s="264"/>
      <c r="E896" s="264"/>
      <c r="F896" s="264"/>
      <c r="G896" s="264"/>
      <c r="H896" s="264"/>
      <c r="I896" s="264"/>
      <c r="J896" s="264"/>
      <c r="K896" s="264"/>
      <c r="L896" s="264"/>
      <c r="M896" s="264"/>
      <c r="N896" s="264"/>
      <c r="O896" s="264"/>
      <c r="P896" s="264"/>
      <c r="Q896" s="264"/>
      <c r="R896" s="264"/>
      <c r="S896" s="264"/>
      <c r="T896" s="264"/>
      <c r="U896" s="264"/>
      <c r="V896" s="264"/>
      <c r="W896" s="264"/>
      <c r="X896" s="264"/>
    </row>
    <row r="897">
      <c r="A897" s="264"/>
      <c r="B897" s="264"/>
      <c r="C897" s="264"/>
      <c r="D897" s="264"/>
      <c r="E897" s="264"/>
      <c r="F897" s="264"/>
      <c r="G897" s="264"/>
      <c r="H897" s="264"/>
      <c r="I897" s="264"/>
      <c r="J897" s="264"/>
      <c r="K897" s="264"/>
      <c r="L897" s="264"/>
      <c r="M897" s="264"/>
      <c r="N897" s="264"/>
      <c r="O897" s="264"/>
      <c r="P897" s="264"/>
      <c r="Q897" s="264"/>
      <c r="R897" s="264"/>
      <c r="S897" s="264"/>
      <c r="T897" s="264"/>
      <c r="U897" s="264"/>
      <c r="V897" s="264"/>
      <c r="W897" s="264"/>
      <c r="X897" s="264"/>
    </row>
    <row r="898">
      <c r="A898" s="264"/>
      <c r="B898" s="264"/>
      <c r="C898" s="264"/>
      <c r="D898" s="264"/>
      <c r="E898" s="264"/>
      <c r="F898" s="264"/>
      <c r="G898" s="264"/>
      <c r="H898" s="264"/>
      <c r="I898" s="264"/>
      <c r="J898" s="264"/>
      <c r="K898" s="264"/>
      <c r="L898" s="264"/>
      <c r="M898" s="264"/>
      <c r="N898" s="264"/>
      <c r="O898" s="264"/>
      <c r="P898" s="264"/>
      <c r="Q898" s="264"/>
      <c r="R898" s="264"/>
      <c r="S898" s="264"/>
      <c r="T898" s="264"/>
      <c r="U898" s="264"/>
      <c r="V898" s="264"/>
      <c r="W898" s="264"/>
      <c r="X898" s="264"/>
    </row>
    <row r="899">
      <c r="A899" s="264"/>
      <c r="B899" s="264"/>
      <c r="C899" s="264"/>
      <c r="D899" s="264"/>
      <c r="E899" s="264"/>
      <c r="F899" s="264"/>
      <c r="G899" s="264"/>
      <c r="H899" s="264"/>
      <c r="I899" s="264"/>
      <c r="J899" s="264"/>
      <c r="K899" s="264"/>
      <c r="L899" s="264"/>
      <c r="M899" s="264"/>
      <c r="N899" s="264"/>
      <c r="O899" s="264"/>
      <c r="P899" s="264"/>
      <c r="Q899" s="264"/>
      <c r="R899" s="264"/>
      <c r="S899" s="264"/>
      <c r="T899" s="264"/>
      <c r="U899" s="264"/>
      <c r="V899" s="264"/>
      <c r="W899" s="264"/>
      <c r="X899" s="264"/>
    </row>
    <row r="900">
      <c r="A900" s="264"/>
      <c r="B900" s="264"/>
      <c r="C900" s="264"/>
      <c r="D900" s="264"/>
      <c r="E900" s="264"/>
      <c r="F900" s="264"/>
      <c r="G900" s="264"/>
      <c r="H900" s="264"/>
      <c r="I900" s="264"/>
      <c r="J900" s="264"/>
      <c r="K900" s="264"/>
      <c r="L900" s="264"/>
      <c r="M900" s="264"/>
      <c r="N900" s="264"/>
      <c r="O900" s="264"/>
      <c r="P900" s="264"/>
      <c r="Q900" s="264"/>
      <c r="R900" s="264"/>
      <c r="S900" s="264"/>
      <c r="T900" s="264"/>
      <c r="U900" s="264"/>
      <c r="V900" s="264"/>
      <c r="W900" s="264"/>
      <c r="X900" s="264"/>
    </row>
    <row r="901">
      <c r="A901" s="264"/>
      <c r="B901" s="264"/>
      <c r="C901" s="264"/>
      <c r="D901" s="264"/>
      <c r="E901" s="264"/>
      <c r="F901" s="264"/>
      <c r="G901" s="264"/>
      <c r="H901" s="264"/>
      <c r="I901" s="264"/>
      <c r="J901" s="264"/>
      <c r="K901" s="264"/>
      <c r="L901" s="264"/>
      <c r="M901" s="264"/>
      <c r="N901" s="264"/>
      <c r="O901" s="264"/>
      <c r="P901" s="264"/>
      <c r="Q901" s="264"/>
      <c r="R901" s="264"/>
      <c r="S901" s="264"/>
      <c r="T901" s="264"/>
      <c r="U901" s="264"/>
      <c r="V901" s="264"/>
      <c r="W901" s="264"/>
      <c r="X901" s="264"/>
    </row>
    <row r="902">
      <c r="A902" s="264"/>
      <c r="B902" s="264"/>
      <c r="C902" s="264"/>
      <c r="D902" s="264"/>
      <c r="E902" s="264"/>
      <c r="F902" s="264"/>
      <c r="G902" s="264"/>
      <c r="H902" s="264"/>
      <c r="I902" s="264"/>
      <c r="J902" s="264"/>
      <c r="K902" s="264"/>
      <c r="L902" s="264"/>
      <c r="M902" s="264"/>
      <c r="N902" s="264"/>
      <c r="O902" s="264"/>
      <c r="P902" s="264"/>
      <c r="Q902" s="264"/>
      <c r="R902" s="264"/>
      <c r="S902" s="264"/>
      <c r="T902" s="264"/>
      <c r="U902" s="264"/>
      <c r="V902" s="264"/>
      <c r="W902" s="264"/>
      <c r="X902" s="264"/>
    </row>
    <row r="903">
      <c r="A903" s="264"/>
      <c r="B903" s="264"/>
      <c r="C903" s="264"/>
      <c r="D903" s="264"/>
      <c r="E903" s="264"/>
      <c r="F903" s="264"/>
      <c r="G903" s="264"/>
      <c r="H903" s="264"/>
      <c r="I903" s="264"/>
      <c r="J903" s="264"/>
      <c r="K903" s="264"/>
      <c r="L903" s="264"/>
      <c r="M903" s="264"/>
      <c r="N903" s="264"/>
      <c r="O903" s="264"/>
      <c r="P903" s="264"/>
      <c r="Q903" s="264"/>
      <c r="R903" s="264"/>
      <c r="S903" s="264"/>
      <c r="T903" s="264"/>
      <c r="U903" s="264"/>
      <c r="V903" s="264"/>
      <c r="W903" s="264"/>
      <c r="X903" s="264"/>
    </row>
    <row r="904">
      <c r="A904" s="264"/>
      <c r="B904" s="264"/>
      <c r="C904" s="264"/>
      <c r="D904" s="264"/>
      <c r="E904" s="264"/>
      <c r="F904" s="264"/>
      <c r="G904" s="264"/>
      <c r="H904" s="264"/>
      <c r="I904" s="264"/>
      <c r="J904" s="264"/>
      <c r="K904" s="264"/>
      <c r="L904" s="264"/>
      <c r="M904" s="264"/>
      <c r="N904" s="264"/>
      <c r="O904" s="264"/>
      <c r="P904" s="264"/>
      <c r="Q904" s="264"/>
      <c r="R904" s="264"/>
      <c r="S904" s="264"/>
      <c r="T904" s="264"/>
      <c r="U904" s="264"/>
      <c r="V904" s="264"/>
      <c r="W904" s="264"/>
      <c r="X904" s="264"/>
    </row>
    <row r="905">
      <c r="A905" s="264"/>
      <c r="B905" s="264"/>
      <c r="C905" s="264"/>
      <c r="D905" s="264"/>
      <c r="E905" s="264"/>
      <c r="F905" s="264"/>
      <c r="G905" s="264"/>
      <c r="H905" s="264"/>
      <c r="I905" s="264"/>
      <c r="J905" s="264"/>
      <c r="K905" s="264"/>
      <c r="L905" s="264"/>
      <c r="M905" s="264"/>
      <c r="N905" s="264"/>
      <c r="O905" s="264"/>
      <c r="P905" s="264"/>
      <c r="Q905" s="264"/>
      <c r="R905" s="264"/>
      <c r="S905" s="264"/>
      <c r="T905" s="264"/>
      <c r="U905" s="264"/>
      <c r="V905" s="264"/>
      <c r="W905" s="264"/>
      <c r="X905" s="264"/>
    </row>
    <row r="906">
      <c r="A906" s="264"/>
      <c r="B906" s="264"/>
      <c r="C906" s="264"/>
      <c r="D906" s="264"/>
      <c r="E906" s="264"/>
      <c r="F906" s="264"/>
      <c r="G906" s="264"/>
      <c r="H906" s="264"/>
      <c r="I906" s="264"/>
      <c r="J906" s="264"/>
      <c r="K906" s="264"/>
      <c r="L906" s="264"/>
      <c r="M906" s="264"/>
      <c r="N906" s="264"/>
      <c r="O906" s="264"/>
      <c r="P906" s="264"/>
      <c r="Q906" s="264"/>
      <c r="R906" s="264"/>
      <c r="S906" s="264"/>
      <c r="T906" s="264"/>
      <c r="U906" s="264"/>
      <c r="V906" s="264"/>
      <c r="W906" s="264"/>
      <c r="X906" s="264"/>
    </row>
    <row r="907">
      <c r="A907" s="264"/>
      <c r="B907" s="264"/>
      <c r="C907" s="264"/>
      <c r="D907" s="264"/>
      <c r="E907" s="264"/>
      <c r="F907" s="264"/>
      <c r="G907" s="264"/>
      <c r="H907" s="264"/>
      <c r="I907" s="264"/>
      <c r="J907" s="264"/>
      <c r="K907" s="264"/>
      <c r="L907" s="264"/>
      <c r="M907" s="264"/>
      <c r="N907" s="264"/>
      <c r="O907" s="264"/>
      <c r="P907" s="264"/>
      <c r="Q907" s="264"/>
      <c r="R907" s="264"/>
      <c r="S907" s="264"/>
      <c r="T907" s="264"/>
      <c r="U907" s="264"/>
      <c r="V907" s="264"/>
      <c r="W907" s="264"/>
      <c r="X907" s="264"/>
    </row>
    <row r="908">
      <c r="A908" s="264"/>
      <c r="B908" s="264"/>
      <c r="C908" s="264"/>
      <c r="D908" s="264"/>
      <c r="E908" s="264"/>
      <c r="F908" s="264"/>
      <c r="G908" s="264"/>
      <c r="H908" s="264"/>
      <c r="I908" s="264"/>
      <c r="J908" s="264"/>
      <c r="K908" s="264"/>
      <c r="L908" s="264"/>
      <c r="M908" s="264"/>
      <c r="N908" s="264"/>
      <c r="O908" s="264"/>
      <c r="P908" s="264"/>
      <c r="Q908" s="264"/>
      <c r="R908" s="264"/>
      <c r="S908" s="264"/>
      <c r="T908" s="264"/>
      <c r="U908" s="264"/>
      <c r="V908" s="264"/>
      <c r="W908" s="264"/>
      <c r="X908" s="264"/>
    </row>
    <row r="909">
      <c r="A909" s="264"/>
      <c r="B909" s="264"/>
      <c r="C909" s="264"/>
      <c r="D909" s="264"/>
      <c r="E909" s="264"/>
      <c r="F909" s="264"/>
      <c r="G909" s="264"/>
      <c r="H909" s="264"/>
      <c r="I909" s="264"/>
      <c r="J909" s="264"/>
      <c r="K909" s="264"/>
      <c r="L909" s="264"/>
      <c r="M909" s="264"/>
      <c r="N909" s="264"/>
      <c r="O909" s="264"/>
      <c r="P909" s="264"/>
      <c r="Q909" s="264"/>
      <c r="R909" s="264"/>
      <c r="S909" s="264"/>
      <c r="T909" s="264"/>
      <c r="U909" s="264"/>
      <c r="V909" s="264"/>
      <c r="W909" s="264"/>
      <c r="X909" s="264"/>
    </row>
    <row r="910">
      <c r="A910" s="264"/>
      <c r="B910" s="264"/>
      <c r="C910" s="264"/>
      <c r="D910" s="264"/>
      <c r="E910" s="264"/>
      <c r="F910" s="264"/>
      <c r="G910" s="264"/>
      <c r="H910" s="264"/>
      <c r="I910" s="264"/>
      <c r="J910" s="264"/>
      <c r="K910" s="264"/>
      <c r="L910" s="264"/>
      <c r="M910" s="264"/>
      <c r="N910" s="264"/>
      <c r="O910" s="264"/>
      <c r="P910" s="264"/>
      <c r="Q910" s="264"/>
      <c r="R910" s="264"/>
      <c r="S910" s="264"/>
      <c r="T910" s="264"/>
      <c r="U910" s="264"/>
      <c r="V910" s="264"/>
      <c r="W910" s="264"/>
      <c r="X910" s="264"/>
    </row>
    <row r="911">
      <c r="A911" s="264"/>
      <c r="B911" s="264"/>
      <c r="C911" s="264"/>
      <c r="D911" s="264"/>
      <c r="E911" s="264"/>
      <c r="F911" s="264"/>
      <c r="G911" s="264"/>
      <c r="H911" s="264"/>
      <c r="I911" s="264"/>
      <c r="J911" s="264"/>
      <c r="K911" s="264"/>
      <c r="L911" s="264"/>
      <c r="M911" s="264"/>
      <c r="N911" s="264"/>
      <c r="O911" s="264"/>
      <c r="P911" s="264"/>
      <c r="Q911" s="264"/>
      <c r="R911" s="264"/>
      <c r="S911" s="264"/>
      <c r="T911" s="264"/>
      <c r="U911" s="264"/>
      <c r="V911" s="264"/>
      <c r="W911" s="264"/>
      <c r="X911" s="264"/>
    </row>
    <row r="912">
      <c r="A912" s="264"/>
      <c r="B912" s="264"/>
      <c r="C912" s="264"/>
      <c r="D912" s="264"/>
      <c r="E912" s="264"/>
      <c r="F912" s="264"/>
      <c r="G912" s="264"/>
      <c r="H912" s="264"/>
      <c r="I912" s="264"/>
      <c r="J912" s="264"/>
      <c r="K912" s="264"/>
      <c r="L912" s="264"/>
      <c r="M912" s="264"/>
      <c r="N912" s="264"/>
      <c r="O912" s="264"/>
      <c r="P912" s="264"/>
      <c r="Q912" s="264"/>
      <c r="R912" s="264"/>
      <c r="S912" s="264"/>
      <c r="T912" s="264"/>
      <c r="U912" s="264"/>
      <c r="V912" s="264"/>
      <c r="W912" s="264"/>
      <c r="X912" s="264"/>
    </row>
    <row r="913">
      <c r="A913" s="264"/>
      <c r="B913" s="264"/>
      <c r="C913" s="264"/>
      <c r="D913" s="264"/>
      <c r="E913" s="264"/>
      <c r="F913" s="264"/>
      <c r="G913" s="264"/>
      <c r="H913" s="264"/>
      <c r="I913" s="264"/>
      <c r="J913" s="264"/>
      <c r="K913" s="264"/>
      <c r="L913" s="264"/>
      <c r="M913" s="264"/>
      <c r="N913" s="264"/>
      <c r="O913" s="264"/>
      <c r="P913" s="264"/>
      <c r="Q913" s="264"/>
      <c r="R913" s="264"/>
      <c r="S913" s="264"/>
      <c r="T913" s="264"/>
      <c r="U913" s="264"/>
      <c r="V913" s="264"/>
      <c r="W913" s="264"/>
      <c r="X913" s="264"/>
    </row>
    <row r="914">
      <c r="A914" s="264"/>
      <c r="B914" s="264"/>
      <c r="C914" s="264"/>
      <c r="D914" s="264"/>
      <c r="E914" s="264"/>
      <c r="F914" s="264"/>
      <c r="G914" s="264"/>
      <c r="H914" s="264"/>
      <c r="I914" s="264"/>
      <c r="J914" s="264"/>
      <c r="K914" s="264"/>
      <c r="L914" s="264"/>
      <c r="M914" s="264"/>
      <c r="N914" s="264"/>
      <c r="O914" s="264"/>
      <c r="P914" s="264"/>
      <c r="Q914" s="264"/>
      <c r="R914" s="264"/>
      <c r="S914" s="264"/>
      <c r="T914" s="264"/>
      <c r="U914" s="264"/>
      <c r="V914" s="264"/>
      <c r="W914" s="264"/>
      <c r="X914" s="264"/>
    </row>
    <row r="915">
      <c r="A915" s="264"/>
      <c r="B915" s="264"/>
      <c r="C915" s="264"/>
      <c r="D915" s="264"/>
      <c r="E915" s="264"/>
      <c r="F915" s="264"/>
      <c r="G915" s="264"/>
      <c r="H915" s="264"/>
      <c r="I915" s="264"/>
      <c r="J915" s="264"/>
      <c r="K915" s="264"/>
      <c r="L915" s="264"/>
      <c r="M915" s="264"/>
      <c r="N915" s="264"/>
      <c r="O915" s="264"/>
      <c r="P915" s="264"/>
      <c r="Q915" s="264"/>
      <c r="R915" s="264"/>
      <c r="S915" s="264"/>
      <c r="T915" s="264"/>
      <c r="U915" s="264"/>
      <c r="V915" s="264"/>
      <c r="W915" s="264"/>
      <c r="X915" s="264"/>
    </row>
    <row r="916">
      <c r="A916" s="264"/>
      <c r="B916" s="264"/>
      <c r="C916" s="264"/>
      <c r="D916" s="264"/>
      <c r="E916" s="264"/>
      <c r="F916" s="264"/>
      <c r="G916" s="264"/>
      <c r="H916" s="264"/>
      <c r="I916" s="264"/>
      <c r="J916" s="264"/>
      <c r="K916" s="264"/>
      <c r="L916" s="264"/>
      <c r="M916" s="264"/>
      <c r="N916" s="264"/>
      <c r="O916" s="264"/>
      <c r="P916" s="264"/>
      <c r="Q916" s="264"/>
      <c r="R916" s="264"/>
      <c r="S916" s="264"/>
      <c r="T916" s="264"/>
      <c r="U916" s="264"/>
      <c r="V916" s="264"/>
      <c r="W916" s="264"/>
      <c r="X916" s="264"/>
    </row>
    <row r="917">
      <c r="A917" s="264"/>
      <c r="B917" s="264"/>
      <c r="C917" s="264"/>
      <c r="D917" s="264"/>
      <c r="E917" s="264"/>
      <c r="F917" s="264"/>
      <c r="G917" s="264"/>
      <c r="H917" s="264"/>
      <c r="I917" s="264"/>
      <c r="J917" s="264"/>
      <c r="K917" s="264"/>
      <c r="L917" s="264"/>
      <c r="M917" s="264"/>
      <c r="N917" s="264"/>
      <c r="O917" s="264"/>
      <c r="P917" s="264"/>
      <c r="Q917" s="264"/>
      <c r="R917" s="264"/>
      <c r="S917" s="264"/>
      <c r="T917" s="264"/>
      <c r="U917" s="264"/>
      <c r="V917" s="264"/>
      <c r="W917" s="264"/>
      <c r="X917" s="264"/>
    </row>
    <row r="918">
      <c r="A918" s="264"/>
      <c r="B918" s="264"/>
      <c r="C918" s="264"/>
      <c r="D918" s="264"/>
      <c r="E918" s="264"/>
      <c r="F918" s="264"/>
      <c r="G918" s="264"/>
      <c r="H918" s="264"/>
      <c r="I918" s="264"/>
      <c r="J918" s="264"/>
      <c r="K918" s="264"/>
      <c r="L918" s="264"/>
      <c r="M918" s="264"/>
      <c r="N918" s="264"/>
      <c r="O918" s="264"/>
      <c r="P918" s="264"/>
      <c r="Q918" s="264"/>
      <c r="R918" s="264"/>
      <c r="S918" s="264"/>
      <c r="T918" s="264"/>
      <c r="U918" s="264"/>
      <c r="V918" s="264"/>
      <c r="W918" s="264"/>
      <c r="X918" s="264"/>
    </row>
    <row r="919">
      <c r="A919" s="264"/>
      <c r="B919" s="264"/>
      <c r="C919" s="264"/>
      <c r="D919" s="264"/>
      <c r="E919" s="264"/>
      <c r="F919" s="264"/>
      <c r="G919" s="264"/>
      <c r="H919" s="264"/>
      <c r="I919" s="264"/>
      <c r="J919" s="264"/>
      <c r="K919" s="264"/>
      <c r="L919" s="264"/>
      <c r="M919" s="264"/>
      <c r="N919" s="264"/>
      <c r="O919" s="264"/>
      <c r="P919" s="264"/>
      <c r="Q919" s="264"/>
      <c r="R919" s="264"/>
      <c r="S919" s="264"/>
      <c r="T919" s="264"/>
      <c r="U919" s="264"/>
      <c r="V919" s="264"/>
      <c r="W919" s="264"/>
      <c r="X919" s="264"/>
    </row>
    <row r="920">
      <c r="A920" s="264"/>
      <c r="B920" s="264"/>
      <c r="C920" s="264"/>
      <c r="D920" s="264"/>
      <c r="E920" s="264"/>
      <c r="F920" s="264"/>
      <c r="G920" s="264"/>
      <c r="H920" s="264"/>
      <c r="I920" s="264"/>
      <c r="J920" s="264"/>
      <c r="K920" s="264"/>
      <c r="L920" s="264"/>
      <c r="M920" s="264"/>
      <c r="N920" s="264"/>
      <c r="O920" s="264"/>
      <c r="P920" s="264"/>
      <c r="Q920" s="264"/>
      <c r="R920" s="264"/>
      <c r="S920" s="264"/>
      <c r="T920" s="264"/>
      <c r="U920" s="264"/>
      <c r="V920" s="264"/>
      <c r="W920" s="264"/>
      <c r="X920" s="264"/>
    </row>
    <row r="921">
      <c r="A921" s="264"/>
      <c r="B921" s="264"/>
      <c r="C921" s="264"/>
      <c r="D921" s="264"/>
      <c r="E921" s="264"/>
      <c r="F921" s="264"/>
      <c r="G921" s="264"/>
      <c r="H921" s="264"/>
      <c r="I921" s="264"/>
      <c r="J921" s="264"/>
      <c r="K921" s="264"/>
      <c r="L921" s="264"/>
      <c r="M921" s="264"/>
      <c r="N921" s="264"/>
      <c r="O921" s="264"/>
      <c r="P921" s="264"/>
      <c r="Q921" s="264"/>
      <c r="R921" s="264"/>
      <c r="S921" s="264"/>
      <c r="T921" s="264"/>
      <c r="U921" s="264"/>
      <c r="V921" s="264"/>
      <c r="W921" s="264"/>
      <c r="X921" s="264"/>
    </row>
    <row r="922">
      <c r="A922" s="264"/>
      <c r="B922" s="264"/>
      <c r="C922" s="264"/>
      <c r="D922" s="264"/>
      <c r="E922" s="264"/>
      <c r="F922" s="264"/>
      <c r="G922" s="264"/>
      <c r="H922" s="264"/>
      <c r="I922" s="264"/>
      <c r="J922" s="264"/>
      <c r="K922" s="264"/>
      <c r="L922" s="264"/>
      <c r="M922" s="264"/>
      <c r="N922" s="264"/>
      <c r="O922" s="264"/>
      <c r="P922" s="264"/>
      <c r="Q922" s="264"/>
      <c r="R922" s="264"/>
      <c r="S922" s="264"/>
      <c r="T922" s="264"/>
      <c r="U922" s="264"/>
      <c r="V922" s="264"/>
      <c r="W922" s="264"/>
      <c r="X922" s="264"/>
    </row>
    <row r="923">
      <c r="A923" s="264"/>
      <c r="B923" s="264"/>
      <c r="C923" s="264"/>
      <c r="D923" s="264"/>
      <c r="E923" s="264"/>
      <c r="F923" s="264"/>
      <c r="G923" s="264"/>
      <c r="H923" s="264"/>
      <c r="I923" s="264"/>
      <c r="J923" s="264"/>
      <c r="K923" s="264"/>
      <c r="L923" s="264"/>
      <c r="M923" s="264"/>
      <c r="N923" s="264"/>
      <c r="O923" s="264"/>
      <c r="P923" s="264"/>
      <c r="Q923" s="264"/>
      <c r="R923" s="264"/>
      <c r="S923" s="264"/>
      <c r="T923" s="264"/>
      <c r="U923" s="264"/>
      <c r="V923" s="264"/>
      <c r="W923" s="264"/>
      <c r="X923" s="264"/>
    </row>
    <row r="924">
      <c r="A924" s="264"/>
      <c r="B924" s="264"/>
      <c r="C924" s="264"/>
      <c r="D924" s="264"/>
      <c r="E924" s="264"/>
      <c r="F924" s="264"/>
      <c r="G924" s="264"/>
      <c r="H924" s="264"/>
      <c r="I924" s="264"/>
      <c r="J924" s="264"/>
      <c r="K924" s="264"/>
      <c r="L924" s="264"/>
      <c r="M924" s="264"/>
      <c r="N924" s="264"/>
      <c r="O924" s="264"/>
      <c r="P924" s="264"/>
      <c r="Q924" s="264"/>
      <c r="R924" s="264"/>
      <c r="S924" s="264"/>
      <c r="T924" s="264"/>
      <c r="U924" s="264"/>
      <c r="V924" s="264"/>
      <c r="W924" s="264"/>
      <c r="X924" s="264"/>
    </row>
    <row r="925">
      <c r="A925" s="264"/>
      <c r="B925" s="264"/>
      <c r="C925" s="264"/>
      <c r="D925" s="264"/>
      <c r="E925" s="264"/>
      <c r="F925" s="264"/>
      <c r="G925" s="264"/>
      <c r="H925" s="264"/>
      <c r="I925" s="264"/>
      <c r="J925" s="264"/>
      <c r="K925" s="264"/>
      <c r="L925" s="264"/>
      <c r="M925" s="264"/>
      <c r="N925" s="264"/>
      <c r="O925" s="264"/>
      <c r="P925" s="264"/>
      <c r="Q925" s="264"/>
      <c r="R925" s="264"/>
      <c r="S925" s="264"/>
      <c r="T925" s="264"/>
      <c r="U925" s="264"/>
      <c r="V925" s="264"/>
      <c r="W925" s="264"/>
      <c r="X925" s="264"/>
    </row>
    <row r="926">
      <c r="A926" s="264"/>
      <c r="B926" s="264"/>
      <c r="C926" s="264"/>
      <c r="D926" s="264"/>
      <c r="E926" s="264"/>
      <c r="F926" s="264"/>
      <c r="G926" s="264"/>
      <c r="H926" s="264"/>
      <c r="I926" s="264"/>
      <c r="J926" s="264"/>
      <c r="K926" s="264"/>
      <c r="L926" s="264"/>
      <c r="M926" s="264"/>
      <c r="N926" s="264"/>
      <c r="O926" s="264"/>
      <c r="P926" s="264"/>
      <c r="Q926" s="264"/>
      <c r="R926" s="264"/>
      <c r="S926" s="264"/>
      <c r="T926" s="264"/>
      <c r="U926" s="264"/>
      <c r="V926" s="264"/>
      <c r="W926" s="264"/>
      <c r="X926" s="264"/>
    </row>
    <row r="927">
      <c r="A927" s="264"/>
      <c r="B927" s="264"/>
      <c r="C927" s="264"/>
      <c r="D927" s="264"/>
      <c r="E927" s="264"/>
      <c r="F927" s="264"/>
      <c r="G927" s="264"/>
      <c r="H927" s="264"/>
      <c r="I927" s="264"/>
      <c r="J927" s="264"/>
      <c r="K927" s="264"/>
      <c r="L927" s="264"/>
      <c r="M927" s="264"/>
      <c r="N927" s="264"/>
      <c r="O927" s="264"/>
      <c r="P927" s="264"/>
      <c r="Q927" s="264"/>
      <c r="R927" s="264"/>
      <c r="S927" s="264"/>
      <c r="T927" s="264"/>
      <c r="U927" s="264"/>
      <c r="V927" s="264"/>
      <c r="W927" s="264"/>
      <c r="X927" s="264"/>
    </row>
    <row r="928">
      <c r="A928" s="264"/>
      <c r="B928" s="264"/>
      <c r="C928" s="264"/>
      <c r="D928" s="264"/>
      <c r="E928" s="264"/>
      <c r="F928" s="264"/>
      <c r="G928" s="264"/>
      <c r="H928" s="264"/>
      <c r="I928" s="264"/>
      <c r="J928" s="264"/>
      <c r="K928" s="264"/>
      <c r="L928" s="264"/>
      <c r="M928" s="264"/>
      <c r="N928" s="264"/>
      <c r="O928" s="264"/>
      <c r="P928" s="264"/>
      <c r="Q928" s="264"/>
      <c r="R928" s="264"/>
      <c r="S928" s="264"/>
      <c r="T928" s="264"/>
      <c r="U928" s="264"/>
      <c r="V928" s="264"/>
      <c r="W928" s="264"/>
      <c r="X928" s="264"/>
    </row>
    <row r="929">
      <c r="A929" s="264"/>
      <c r="B929" s="264"/>
      <c r="C929" s="264"/>
      <c r="D929" s="264"/>
      <c r="E929" s="264"/>
      <c r="F929" s="264"/>
      <c r="G929" s="264"/>
      <c r="H929" s="264"/>
      <c r="I929" s="264"/>
      <c r="J929" s="264"/>
      <c r="K929" s="264"/>
      <c r="L929" s="264"/>
      <c r="M929" s="264"/>
      <c r="N929" s="264"/>
      <c r="O929" s="264"/>
      <c r="P929" s="264"/>
      <c r="Q929" s="264"/>
      <c r="R929" s="264"/>
      <c r="S929" s="264"/>
      <c r="T929" s="264"/>
      <c r="U929" s="264"/>
      <c r="V929" s="264"/>
      <c r="W929" s="264"/>
      <c r="X929" s="264"/>
    </row>
    <row r="930">
      <c r="A930" s="264"/>
      <c r="B930" s="264"/>
      <c r="C930" s="264"/>
      <c r="D930" s="264"/>
      <c r="E930" s="264"/>
      <c r="F930" s="264"/>
      <c r="G930" s="264"/>
      <c r="H930" s="264"/>
      <c r="I930" s="264"/>
      <c r="J930" s="264"/>
      <c r="K930" s="264"/>
      <c r="L930" s="264"/>
      <c r="M930" s="264"/>
      <c r="N930" s="264"/>
      <c r="O930" s="264"/>
      <c r="P930" s="264"/>
      <c r="Q930" s="264"/>
      <c r="R930" s="264"/>
      <c r="S930" s="264"/>
      <c r="T930" s="264"/>
      <c r="U930" s="264"/>
      <c r="V930" s="264"/>
      <c r="W930" s="264"/>
      <c r="X930" s="264"/>
    </row>
    <row r="931">
      <c r="A931" s="264"/>
      <c r="B931" s="264"/>
      <c r="C931" s="264"/>
      <c r="D931" s="264"/>
      <c r="E931" s="264"/>
      <c r="F931" s="264"/>
      <c r="G931" s="264"/>
      <c r="H931" s="264"/>
      <c r="I931" s="264"/>
      <c r="J931" s="264"/>
      <c r="K931" s="264"/>
      <c r="L931" s="264"/>
      <c r="M931" s="264"/>
      <c r="N931" s="264"/>
      <c r="O931" s="264"/>
      <c r="P931" s="264"/>
      <c r="Q931" s="264"/>
      <c r="R931" s="264"/>
      <c r="S931" s="264"/>
      <c r="T931" s="264"/>
      <c r="U931" s="264"/>
      <c r="V931" s="264"/>
      <c r="W931" s="264"/>
      <c r="X931" s="264"/>
    </row>
    <row r="932">
      <c r="A932" s="264"/>
      <c r="B932" s="264"/>
      <c r="C932" s="264"/>
      <c r="D932" s="264"/>
      <c r="E932" s="264"/>
      <c r="F932" s="264"/>
      <c r="G932" s="264"/>
      <c r="H932" s="264"/>
      <c r="I932" s="264"/>
      <c r="J932" s="264"/>
      <c r="K932" s="264"/>
      <c r="L932" s="264"/>
      <c r="M932" s="264"/>
      <c r="N932" s="264"/>
      <c r="O932" s="264"/>
      <c r="P932" s="264"/>
      <c r="Q932" s="264"/>
      <c r="R932" s="264"/>
      <c r="S932" s="264"/>
      <c r="T932" s="264"/>
      <c r="U932" s="264"/>
      <c r="V932" s="264"/>
      <c r="W932" s="264"/>
      <c r="X932" s="264"/>
    </row>
    <row r="933">
      <c r="A933" s="264"/>
      <c r="B933" s="264"/>
      <c r="C933" s="264"/>
      <c r="D933" s="264"/>
      <c r="E933" s="264"/>
      <c r="F933" s="264"/>
      <c r="G933" s="264"/>
      <c r="H933" s="264"/>
      <c r="I933" s="264"/>
      <c r="J933" s="264"/>
      <c r="K933" s="264"/>
      <c r="L933" s="264"/>
      <c r="M933" s="264"/>
      <c r="N933" s="264"/>
      <c r="O933" s="264"/>
      <c r="P933" s="264"/>
      <c r="Q933" s="264"/>
      <c r="R933" s="264"/>
      <c r="S933" s="264"/>
      <c r="T933" s="264"/>
      <c r="U933" s="264"/>
      <c r="V933" s="264"/>
      <c r="W933" s="264"/>
      <c r="X933" s="264"/>
    </row>
    <row r="934">
      <c r="A934" s="264"/>
      <c r="B934" s="264"/>
      <c r="C934" s="264"/>
      <c r="D934" s="264"/>
      <c r="E934" s="264"/>
      <c r="F934" s="264"/>
      <c r="G934" s="264"/>
      <c r="H934" s="264"/>
      <c r="I934" s="264"/>
      <c r="J934" s="264"/>
      <c r="K934" s="264"/>
      <c r="L934" s="264"/>
      <c r="M934" s="264"/>
      <c r="N934" s="264"/>
      <c r="O934" s="264"/>
      <c r="P934" s="264"/>
      <c r="Q934" s="264"/>
      <c r="R934" s="264"/>
      <c r="S934" s="264"/>
      <c r="T934" s="264"/>
      <c r="U934" s="264"/>
      <c r="V934" s="264"/>
      <c r="W934" s="264"/>
      <c r="X934" s="264"/>
    </row>
    <row r="935">
      <c r="A935" s="264"/>
      <c r="B935" s="264"/>
      <c r="C935" s="264"/>
      <c r="D935" s="264"/>
      <c r="E935" s="264"/>
      <c r="F935" s="264"/>
      <c r="G935" s="264"/>
      <c r="H935" s="264"/>
      <c r="I935" s="264"/>
      <c r="J935" s="264"/>
      <c r="K935" s="264"/>
      <c r="L935" s="264"/>
      <c r="M935" s="264"/>
      <c r="N935" s="264"/>
      <c r="O935" s="264"/>
      <c r="P935" s="264"/>
      <c r="Q935" s="264"/>
      <c r="R935" s="264"/>
      <c r="S935" s="264"/>
      <c r="T935" s="264"/>
      <c r="U935" s="264"/>
      <c r="V935" s="264"/>
      <c r="W935" s="264"/>
      <c r="X935" s="264"/>
    </row>
    <row r="936">
      <c r="A936" s="264"/>
      <c r="B936" s="264"/>
      <c r="C936" s="264"/>
      <c r="D936" s="264"/>
      <c r="E936" s="264"/>
      <c r="F936" s="264"/>
      <c r="G936" s="264"/>
      <c r="H936" s="264"/>
      <c r="I936" s="264"/>
      <c r="J936" s="264"/>
      <c r="K936" s="264"/>
      <c r="L936" s="264"/>
      <c r="M936" s="264"/>
      <c r="N936" s="264"/>
      <c r="O936" s="264"/>
      <c r="P936" s="264"/>
      <c r="Q936" s="264"/>
      <c r="R936" s="264"/>
      <c r="S936" s="264"/>
      <c r="T936" s="264"/>
      <c r="U936" s="264"/>
      <c r="V936" s="264"/>
      <c r="W936" s="264"/>
      <c r="X936" s="264"/>
    </row>
    <row r="937">
      <c r="A937" s="264"/>
      <c r="B937" s="264"/>
      <c r="C937" s="264"/>
      <c r="D937" s="264"/>
      <c r="E937" s="264"/>
      <c r="F937" s="264"/>
      <c r="G937" s="264"/>
      <c r="H937" s="264"/>
      <c r="I937" s="264"/>
      <c r="J937" s="264"/>
      <c r="K937" s="264"/>
      <c r="L937" s="264"/>
      <c r="M937" s="264"/>
      <c r="N937" s="264"/>
      <c r="O937" s="264"/>
      <c r="P937" s="264"/>
      <c r="Q937" s="264"/>
      <c r="R937" s="264"/>
      <c r="S937" s="264"/>
      <c r="T937" s="264"/>
      <c r="U937" s="264"/>
      <c r="V937" s="264"/>
      <c r="W937" s="264"/>
      <c r="X937" s="264"/>
    </row>
    <row r="938">
      <c r="A938" s="264"/>
      <c r="B938" s="264"/>
      <c r="C938" s="264"/>
      <c r="D938" s="264"/>
      <c r="E938" s="264"/>
      <c r="F938" s="264"/>
      <c r="G938" s="264"/>
      <c r="H938" s="264"/>
      <c r="I938" s="264"/>
      <c r="J938" s="264"/>
      <c r="K938" s="264"/>
      <c r="L938" s="264"/>
      <c r="M938" s="264"/>
      <c r="N938" s="264"/>
      <c r="O938" s="264"/>
      <c r="P938" s="264"/>
      <c r="Q938" s="264"/>
      <c r="R938" s="264"/>
      <c r="S938" s="264"/>
      <c r="T938" s="264"/>
      <c r="U938" s="264"/>
      <c r="V938" s="264"/>
      <c r="W938" s="264"/>
      <c r="X938" s="264"/>
    </row>
    <row r="939">
      <c r="A939" s="264"/>
      <c r="B939" s="264"/>
      <c r="C939" s="264"/>
      <c r="D939" s="264"/>
      <c r="E939" s="264"/>
      <c r="F939" s="264"/>
      <c r="G939" s="264"/>
      <c r="H939" s="264"/>
      <c r="I939" s="264"/>
      <c r="J939" s="264"/>
      <c r="K939" s="264"/>
      <c r="L939" s="264"/>
      <c r="M939" s="264"/>
      <c r="N939" s="264"/>
      <c r="O939" s="264"/>
      <c r="P939" s="264"/>
      <c r="Q939" s="264"/>
      <c r="R939" s="264"/>
      <c r="S939" s="264"/>
      <c r="T939" s="264"/>
      <c r="U939" s="264"/>
      <c r="V939" s="264"/>
      <c r="W939" s="264"/>
      <c r="X939" s="264"/>
    </row>
    <row r="940">
      <c r="A940" s="264"/>
      <c r="B940" s="264"/>
      <c r="C940" s="264"/>
      <c r="D940" s="264"/>
      <c r="E940" s="264"/>
      <c r="F940" s="264"/>
      <c r="G940" s="264"/>
      <c r="H940" s="264"/>
      <c r="I940" s="264"/>
      <c r="J940" s="264"/>
      <c r="K940" s="264"/>
      <c r="L940" s="264"/>
      <c r="M940" s="264"/>
      <c r="N940" s="264"/>
      <c r="O940" s="264"/>
      <c r="P940" s="264"/>
      <c r="Q940" s="264"/>
      <c r="R940" s="264"/>
      <c r="S940" s="264"/>
      <c r="T940" s="264"/>
      <c r="U940" s="264"/>
      <c r="V940" s="264"/>
      <c r="W940" s="264"/>
      <c r="X940" s="264"/>
    </row>
    <row r="941">
      <c r="A941" s="264"/>
      <c r="B941" s="264"/>
      <c r="C941" s="264"/>
      <c r="D941" s="264"/>
      <c r="E941" s="264"/>
      <c r="F941" s="264"/>
      <c r="G941" s="264"/>
      <c r="H941" s="264"/>
      <c r="I941" s="264"/>
      <c r="J941" s="264"/>
      <c r="K941" s="264"/>
      <c r="L941" s="264"/>
      <c r="M941" s="264"/>
      <c r="N941" s="264"/>
      <c r="O941" s="264"/>
      <c r="P941" s="264"/>
      <c r="Q941" s="264"/>
      <c r="R941" s="264"/>
      <c r="S941" s="264"/>
      <c r="T941" s="264"/>
      <c r="U941" s="264"/>
      <c r="V941" s="264"/>
      <c r="W941" s="264"/>
      <c r="X941" s="264"/>
    </row>
    <row r="942">
      <c r="A942" s="264"/>
      <c r="B942" s="264"/>
      <c r="C942" s="264"/>
      <c r="D942" s="264"/>
      <c r="E942" s="264"/>
      <c r="F942" s="264"/>
      <c r="G942" s="264"/>
      <c r="H942" s="264"/>
      <c r="I942" s="264"/>
      <c r="J942" s="264"/>
      <c r="K942" s="264"/>
      <c r="L942" s="264"/>
      <c r="M942" s="264"/>
      <c r="N942" s="264"/>
      <c r="O942" s="264"/>
      <c r="P942" s="264"/>
      <c r="Q942" s="264"/>
      <c r="R942" s="264"/>
      <c r="S942" s="264"/>
      <c r="T942" s="264"/>
      <c r="U942" s="264"/>
      <c r="V942" s="264"/>
      <c r="W942" s="264"/>
      <c r="X942" s="264"/>
    </row>
    <row r="943">
      <c r="A943" s="264"/>
      <c r="B943" s="264"/>
      <c r="C943" s="264"/>
      <c r="D943" s="264"/>
      <c r="E943" s="264"/>
      <c r="F943" s="264"/>
      <c r="G943" s="264"/>
      <c r="H943" s="264"/>
      <c r="I943" s="264"/>
      <c r="J943" s="264"/>
      <c r="K943" s="264"/>
      <c r="L943" s="264"/>
      <c r="M943" s="264"/>
      <c r="N943" s="264"/>
      <c r="O943" s="264"/>
      <c r="P943" s="264"/>
      <c r="Q943" s="264"/>
      <c r="R943" s="264"/>
      <c r="S943" s="264"/>
      <c r="T943" s="264"/>
      <c r="U943" s="264"/>
      <c r="V943" s="264"/>
      <c r="W943" s="264"/>
      <c r="X943" s="264"/>
    </row>
    <row r="944">
      <c r="A944" s="264"/>
      <c r="B944" s="264"/>
      <c r="C944" s="264"/>
      <c r="D944" s="264"/>
      <c r="E944" s="264"/>
      <c r="F944" s="264"/>
      <c r="G944" s="264"/>
      <c r="H944" s="264"/>
      <c r="I944" s="264"/>
      <c r="J944" s="264"/>
      <c r="K944" s="264"/>
      <c r="L944" s="264"/>
      <c r="M944" s="264"/>
      <c r="N944" s="264"/>
      <c r="O944" s="264"/>
      <c r="P944" s="264"/>
      <c r="Q944" s="264"/>
      <c r="R944" s="264"/>
      <c r="S944" s="264"/>
      <c r="T944" s="264"/>
      <c r="U944" s="264"/>
      <c r="V944" s="264"/>
      <c r="W944" s="264"/>
      <c r="X944" s="264"/>
    </row>
    <row r="945">
      <c r="A945" s="264"/>
      <c r="B945" s="264"/>
      <c r="C945" s="264"/>
      <c r="D945" s="264"/>
      <c r="E945" s="264"/>
      <c r="F945" s="264"/>
      <c r="G945" s="264"/>
      <c r="H945" s="264"/>
      <c r="I945" s="264"/>
      <c r="J945" s="264"/>
      <c r="K945" s="264"/>
      <c r="L945" s="264"/>
      <c r="M945" s="264"/>
      <c r="N945" s="264"/>
      <c r="O945" s="264"/>
      <c r="P945" s="264"/>
      <c r="Q945" s="264"/>
      <c r="R945" s="264"/>
      <c r="S945" s="264"/>
      <c r="T945" s="264"/>
      <c r="U945" s="264"/>
      <c r="V945" s="264"/>
      <c r="W945" s="264"/>
      <c r="X945" s="264"/>
    </row>
    <row r="946">
      <c r="A946" s="264"/>
      <c r="B946" s="264"/>
      <c r="C946" s="264"/>
      <c r="D946" s="264"/>
      <c r="E946" s="264"/>
      <c r="F946" s="264"/>
      <c r="G946" s="264"/>
      <c r="H946" s="264"/>
      <c r="I946" s="264"/>
      <c r="J946" s="264"/>
      <c r="K946" s="264"/>
      <c r="L946" s="264"/>
      <c r="M946" s="264"/>
      <c r="N946" s="264"/>
      <c r="O946" s="264"/>
      <c r="P946" s="264"/>
      <c r="Q946" s="264"/>
      <c r="R946" s="264"/>
      <c r="S946" s="264"/>
      <c r="T946" s="264"/>
      <c r="U946" s="264"/>
      <c r="V946" s="264"/>
      <c r="W946" s="264"/>
      <c r="X946" s="264"/>
    </row>
    <row r="947">
      <c r="A947" s="264"/>
      <c r="B947" s="264"/>
      <c r="C947" s="264"/>
      <c r="D947" s="264"/>
      <c r="E947" s="264"/>
      <c r="F947" s="264"/>
      <c r="G947" s="264"/>
      <c r="H947" s="264"/>
      <c r="I947" s="264"/>
      <c r="J947" s="264"/>
      <c r="K947" s="264"/>
      <c r="L947" s="264"/>
      <c r="M947" s="264"/>
      <c r="N947" s="264"/>
      <c r="O947" s="264"/>
      <c r="P947" s="264"/>
      <c r="Q947" s="264"/>
      <c r="R947" s="264"/>
      <c r="S947" s="264"/>
      <c r="T947" s="264"/>
      <c r="U947" s="264"/>
      <c r="V947" s="264"/>
      <c r="W947" s="264"/>
      <c r="X947" s="264"/>
    </row>
    <row r="948">
      <c r="A948" s="264"/>
      <c r="B948" s="264"/>
      <c r="C948" s="264"/>
      <c r="D948" s="264"/>
      <c r="E948" s="264"/>
      <c r="F948" s="264"/>
      <c r="G948" s="264"/>
      <c r="H948" s="264"/>
      <c r="I948" s="264"/>
      <c r="J948" s="264"/>
      <c r="K948" s="264"/>
      <c r="L948" s="264"/>
      <c r="M948" s="264"/>
      <c r="N948" s="264"/>
      <c r="O948" s="264"/>
      <c r="P948" s="264"/>
      <c r="Q948" s="264"/>
      <c r="R948" s="264"/>
      <c r="S948" s="264"/>
      <c r="T948" s="264"/>
      <c r="U948" s="264"/>
      <c r="V948" s="264"/>
      <c r="W948" s="264"/>
      <c r="X948" s="264"/>
    </row>
    <row r="949">
      <c r="A949" s="264"/>
      <c r="B949" s="264"/>
      <c r="C949" s="264"/>
      <c r="D949" s="264"/>
      <c r="E949" s="264"/>
      <c r="F949" s="264"/>
      <c r="G949" s="264"/>
      <c r="H949" s="264"/>
      <c r="I949" s="264"/>
      <c r="J949" s="264"/>
      <c r="K949" s="264"/>
      <c r="L949" s="264"/>
      <c r="M949" s="264"/>
      <c r="N949" s="264"/>
      <c r="O949" s="264"/>
      <c r="P949" s="264"/>
      <c r="Q949" s="264"/>
      <c r="R949" s="264"/>
      <c r="S949" s="264"/>
      <c r="T949" s="264"/>
      <c r="U949" s="264"/>
      <c r="V949" s="264"/>
      <c r="W949" s="264"/>
      <c r="X949" s="264"/>
    </row>
    <row r="950">
      <c r="A950" s="264"/>
      <c r="B950" s="264"/>
      <c r="C950" s="264"/>
      <c r="D950" s="264"/>
      <c r="E950" s="264"/>
      <c r="F950" s="264"/>
      <c r="G950" s="264"/>
      <c r="H950" s="264"/>
      <c r="I950" s="264"/>
      <c r="J950" s="264"/>
      <c r="K950" s="264"/>
      <c r="L950" s="264"/>
      <c r="M950" s="264"/>
      <c r="N950" s="264"/>
      <c r="O950" s="264"/>
      <c r="P950" s="264"/>
      <c r="Q950" s="264"/>
      <c r="R950" s="264"/>
      <c r="S950" s="264"/>
      <c r="T950" s="264"/>
      <c r="U950" s="264"/>
      <c r="V950" s="264"/>
      <c r="W950" s="264"/>
      <c r="X950" s="264"/>
    </row>
    <row r="951">
      <c r="A951" s="264"/>
      <c r="B951" s="264"/>
      <c r="C951" s="264"/>
      <c r="D951" s="264"/>
      <c r="E951" s="264"/>
      <c r="F951" s="264"/>
      <c r="G951" s="264"/>
      <c r="H951" s="264"/>
      <c r="I951" s="264"/>
      <c r="J951" s="264"/>
      <c r="K951" s="264"/>
      <c r="L951" s="264"/>
      <c r="M951" s="264"/>
      <c r="N951" s="264"/>
      <c r="O951" s="264"/>
      <c r="P951" s="264"/>
      <c r="Q951" s="264"/>
      <c r="R951" s="264"/>
      <c r="S951" s="264"/>
      <c r="T951" s="264"/>
      <c r="U951" s="264"/>
      <c r="V951" s="264"/>
      <c r="W951" s="264"/>
      <c r="X951" s="264"/>
    </row>
    <row r="952">
      <c r="A952" s="264"/>
      <c r="B952" s="264"/>
      <c r="C952" s="264"/>
      <c r="D952" s="264"/>
      <c r="E952" s="264"/>
      <c r="F952" s="264"/>
      <c r="G952" s="264"/>
      <c r="H952" s="264"/>
      <c r="I952" s="264"/>
      <c r="J952" s="264"/>
      <c r="K952" s="264"/>
      <c r="L952" s="264"/>
      <c r="M952" s="264"/>
      <c r="N952" s="264"/>
      <c r="O952" s="264"/>
      <c r="P952" s="264"/>
      <c r="Q952" s="264"/>
      <c r="R952" s="264"/>
      <c r="S952" s="264"/>
      <c r="T952" s="264"/>
      <c r="U952" s="264"/>
      <c r="V952" s="264"/>
      <c r="W952" s="264"/>
      <c r="X952" s="264"/>
    </row>
    <row r="953">
      <c r="A953" s="264"/>
      <c r="B953" s="264"/>
      <c r="C953" s="264"/>
      <c r="D953" s="264"/>
      <c r="E953" s="264"/>
      <c r="F953" s="264"/>
      <c r="G953" s="264"/>
      <c r="H953" s="264"/>
      <c r="I953" s="264"/>
      <c r="J953" s="264"/>
      <c r="K953" s="264"/>
      <c r="L953" s="264"/>
      <c r="M953" s="264"/>
      <c r="N953" s="264"/>
      <c r="O953" s="264"/>
      <c r="P953" s="264"/>
      <c r="Q953" s="264"/>
      <c r="R953" s="264"/>
      <c r="S953" s="264"/>
      <c r="T953" s="264"/>
      <c r="U953" s="264"/>
      <c r="V953" s="264"/>
      <c r="W953" s="264"/>
      <c r="X953" s="264"/>
    </row>
    <row r="954">
      <c r="A954" s="264"/>
      <c r="B954" s="264"/>
      <c r="C954" s="264"/>
      <c r="D954" s="264"/>
      <c r="E954" s="264"/>
      <c r="F954" s="264"/>
      <c r="G954" s="264"/>
      <c r="H954" s="264"/>
      <c r="I954" s="264"/>
      <c r="J954" s="264"/>
      <c r="K954" s="264"/>
      <c r="L954" s="264"/>
      <c r="M954" s="264"/>
      <c r="N954" s="264"/>
      <c r="O954" s="264"/>
      <c r="P954" s="264"/>
      <c r="Q954" s="264"/>
      <c r="R954" s="264"/>
      <c r="S954" s="264"/>
      <c r="T954" s="264"/>
      <c r="U954" s="264"/>
      <c r="V954" s="264"/>
      <c r="W954" s="264"/>
      <c r="X954" s="264"/>
    </row>
    <row r="955">
      <c r="A955" s="264"/>
      <c r="B955" s="264"/>
      <c r="C955" s="264"/>
      <c r="D955" s="264"/>
      <c r="E955" s="264"/>
      <c r="F955" s="264"/>
      <c r="G955" s="264"/>
      <c r="H955" s="264"/>
      <c r="I955" s="264"/>
      <c r="J955" s="264"/>
      <c r="K955" s="264"/>
      <c r="L955" s="264"/>
      <c r="M955" s="264"/>
      <c r="N955" s="264"/>
      <c r="O955" s="264"/>
      <c r="P955" s="264"/>
      <c r="Q955" s="264"/>
      <c r="R955" s="264"/>
      <c r="S955" s="264"/>
      <c r="T955" s="264"/>
      <c r="U955" s="264"/>
      <c r="V955" s="264"/>
      <c r="W955" s="264"/>
      <c r="X955" s="264"/>
    </row>
    <row r="956">
      <c r="A956" s="264"/>
      <c r="B956" s="264"/>
      <c r="C956" s="264"/>
      <c r="D956" s="264"/>
      <c r="E956" s="264"/>
      <c r="F956" s="264"/>
      <c r="G956" s="264"/>
      <c r="H956" s="264"/>
      <c r="I956" s="264"/>
      <c r="J956" s="264"/>
      <c r="K956" s="264"/>
      <c r="L956" s="264"/>
      <c r="M956" s="264"/>
      <c r="N956" s="264"/>
      <c r="O956" s="264"/>
      <c r="P956" s="264"/>
      <c r="Q956" s="264"/>
      <c r="R956" s="264"/>
      <c r="S956" s="264"/>
      <c r="T956" s="264"/>
      <c r="U956" s="264"/>
      <c r="V956" s="264"/>
      <c r="W956" s="264"/>
      <c r="X956" s="264"/>
    </row>
    <row r="957">
      <c r="A957" s="264"/>
      <c r="B957" s="264"/>
      <c r="C957" s="264"/>
      <c r="D957" s="264"/>
      <c r="E957" s="264"/>
      <c r="F957" s="264"/>
      <c r="G957" s="264"/>
      <c r="H957" s="264"/>
      <c r="I957" s="264"/>
      <c r="J957" s="264"/>
      <c r="K957" s="264"/>
      <c r="L957" s="264"/>
      <c r="M957" s="264"/>
      <c r="N957" s="264"/>
      <c r="O957" s="264"/>
      <c r="P957" s="264"/>
      <c r="Q957" s="264"/>
      <c r="R957" s="264"/>
      <c r="S957" s="264"/>
      <c r="T957" s="264"/>
      <c r="U957" s="264"/>
      <c r="V957" s="264"/>
      <c r="W957" s="264"/>
      <c r="X957" s="264"/>
    </row>
    <row r="958">
      <c r="A958" s="264"/>
      <c r="B958" s="264"/>
      <c r="C958" s="264"/>
      <c r="D958" s="264"/>
      <c r="E958" s="264"/>
      <c r="F958" s="264"/>
      <c r="G958" s="264"/>
      <c r="H958" s="264"/>
      <c r="I958" s="264"/>
      <c r="J958" s="264"/>
      <c r="K958" s="264"/>
      <c r="L958" s="264"/>
      <c r="M958" s="264"/>
      <c r="N958" s="264"/>
      <c r="O958" s="264"/>
      <c r="P958" s="264"/>
      <c r="Q958" s="264"/>
      <c r="R958" s="264"/>
      <c r="S958" s="264"/>
      <c r="T958" s="264"/>
      <c r="U958" s="264"/>
      <c r="V958" s="264"/>
      <c r="W958" s="264"/>
      <c r="X958" s="264"/>
    </row>
    <row r="959">
      <c r="A959" s="264"/>
      <c r="B959" s="264"/>
      <c r="C959" s="264"/>
      <c r="D959" s="264"/>
      <c r="E959" s="264"/>
      <c r="F959" s="264"/>
      <c r="G959" s="264"/>
      <c r="H959" s="264"/>
      <c r="I959" s="264"/>
      <c r="J959" s="264"/>
      <c r="K959" s="264"/>
      <c r="L959" s="264"/>
      <c r="M959" s="264"/>
      <c r="N959" s="264"/>
      <c r="O959" s="264"/>
      <c r="P959" s="264"/>
      <c r="Q959" s="264"/>
      <c r="R959" s="264"/>
      <c r="S959" s="264"/>
      <c r="T959" s="264"/>
      <c r="U959" s="264"/>
      <c r="V959" s="264"/>
      <c r="W959" s="264"/>
      <c r="X959" s="264"/>
    </row>
    <row r="960">
      <c r="A960" s="264"/>
      <c r="B960" s="264"/>
      <c r="C960" s="264"/>
      <c r="D960" s="264"/>
      <c r="E960" s="264"/>
      <c r="F960" s="264"/>
      <c r="G960" s="264"/>
      <c r="H960" s="264"/>
      <c r="I960" s="264"/>
      <c r="J960" s="264"/>
      <c r="K960" s="264"/>
      <c r="L960" s="264"/>
      <c r="M960" s="264"/>
      <c r="N960" s="264"/>
      <c r="O960" s="264"/>
      <c r="P960" s="264"/>
      <c r="Q960" s="264"/>
      <c r="R960" s="264"/>
      <c r="S960" s="264"/>
      <c r="T960" s="264"/>
      <c r="U960" s="264"/>
      <c r="V960" s="264"/>
      <c r="W960" s="264"/>
      <c r="X960" s="264"/>
    </row>
    <row r="961">
      <c r="A961" s="264"/>
      <c r="B961" s="264"/>
      <c r="C961" s="264"/>
      <c r="D961" s="264"/>
      <c r="E961" s="264"/>
      <c r="F961" s="264"/>
      <c r="G961" s="264"/>
      <c r="H961" s="264"/>
      <c r="I961" s="264"/>
      <c r="J961" s="264"/>
      <c r="K961" s="264"/>
      <c r="L961" s="264"/>
      <c r="M961" s="264"/>
      <c r="N961" s="264"/>
      <c r="O961" s="264"/>
      <c r="P961" s="264"/>
      <c r="Q961" s="264"/>
      <c r="R961" s="264"/>
      <c r="S961" s="264"/>
      <c r="T961" s="264"/>
      <c r="U961" s="264"/>
      <c r="V961" s="264"/>
      <c r="W961" s="264"/>
      <c r="X961" s="264"/>
    </row>
    <row r="962">
      <c r="A962" s="264"/>
      <c r="B962" s="264"/>
      <c r="C962" s="264"/>
      <c r="D962" s="264"/>
      <c r="E962" s="264"/>
      <c r="F962" s="264"/>
      <c r="G962" s="264"/>
      <c r="H962" s="264"/>
      <c r="I962" s="264"/>
      <c r="J962" s="264"/>
      <c r="K962" s="264"/>
      <c r="L962" s="264"/>
      <c r="M962" s="264"/>
      <c r="N962" s="264"/>
      <c r="O962" s="264"/>
      <c r="P962" s="264"/>
      <c r="Q962" s="264"/>
      <c r="R962" s="264"/>
      <c r="S962" s="264"/>
      <c r="T962" s="264"/>
      <c r="U962" s="264"/>
      <c r="V962" s="264"/>
      <c r="W962" s="264"/>
      <c r="X962" s="264"/>
    </row>
    <row r="963">
      <c r="A963" s="264"/>
      <c r="B963" s="264"/>
      <c r="C963" s="264"/>
      <c r="D963" s="264"/>
      <c r="E963" s="264"/>
      <c r="F963" s="264"/>
      <c r="G963" s="264"/>
      <c r="H963" s="264"/>
      <c r="I963" s="264"/>
      <c r="J963" s="264"/>
      <c r="K963" s="264"/>
      <c r="L963" s="264"/>
      <c r="M963" s="264"/>
      <c r="N963" s="264"/>
      <c r="O963" s="264"/>
      <c r="P963" s="264"/>
      <c r="Q963" s="264"/>
      <c r="R963" s="264"/>
      <c r="S963" s="264"/>
      <c r="T963" s="264"/>
      <c r="U963" s="264"/>
      <c r="V963" s="264"/>
      <c r="W963" s="264"/>
      <c r="X963" s="264"/>
    </row>
    <row r="964">
      <c r="A964" s="264"/>
      <c r="B964" s="264"/>
      <c r="C964" s="264"/>
      <c r="D964" s="264"/>
      <c r="E964" s="264"/>
      <c r="F964" s="264"/>
      <c r="G964" s="264"/>
      <c r="H964" s="264"/>
      <c r="I964" s="264"/>
      <c r="J964" s="264"/>
      <c r="K964" s="264"/>
      <c r="L964" s="264"/>
      <c r="M964" s="264"/>
      <c r="N964" s="264"/>
      <c r="O964" s="264"/>
      <c r="P964" s="264"/>
      <c r="Q964" s="264"/>
      <c r="R964" s="264"/>
      <c r="S964" s="264"/>
      <c r="T964" s="264"/>
      <c r="U964" s="264"/>
      <c r="V964" s="264"/>
      <c r="W964" s="264"/>
      <c r="X964" s="264"/>
    </row>
    <row r="965">
      <c r="A965" s="264"/>
      <c r="B965" s="264"/>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row>
    <row r="966">
      <c r="A966" s="264"/>
      <c r="B966" s="264"/>
      <c r="C966" s="264"/>
      <c r="D966" s="264"/>
      <c r="E966" s="264"/>
      <c r="F966" s="264"/>
      <c r="G966" s="264"/>
      <c r="H966" s="264"/>
      <c r="I966" s="264"/>
      <c r="J966" s="264"/>
      <c r="K966" s="264"/>
      <c r="L966" s="264"/>
      <c r="M966" s="264"/>
      <c r="N966" s="264"/>
      <c r="O966" s="264"/>
      <c r="P966" s="264"/>
      <c r="Q966" s="264"/>
      <c r="R966" s="264"/>
      <c r="S966" s="264"/>
      <c r="T966" s="264"/>
      <c r="U966" s="264"/>
      <c r="V966" s="264"/>
      <c r="W966" s="264"/>
      <c r="X966" s="264"/>
    </row>
    <row r="967">
      <c r="A967" s="264"/>
      <c r="B967" s="264"/>
      <c r="C967" s="264"/>
      <c r="D967" s="264"/>
      <c r="E967" s="264"/>
      <c r="F967" s="264"/>
      <c r="G967" s="264"/>
      <c r="H967" s="264"/>
      <c r="I967" s="264"/>
      <c r="J967" s="264"/>
      <c r="K967" s="264"/>
      <c r="L967" s="264"/>
      <c r="M967" s="264"/>
      <c r="N967" s="264"/>
      <c r="O967" s="264"/>
      <c r="P967" s="264"/>
      <c r="Q967" s="264"/>
      <c r="R967" s="264"/>
      <c r="S967" s="264"/>
      <c r="T967" s="264"/>
      <c r="U967" s="264"/>
      <c r="V967" s="264"/>
      <c r="W967" s="264"/>
      <c r="X967" s="264"/>
    </row>
    <row r="968">
      <c r="A968" s="264"/>
      <c r="B968" s="264"/>
      <c r="C968" s="264"/>
      <c r="D968" s="264"/>
      <c r="E968" s="264"/>
      <c r="F968" s="264"/>
      <c r="G968" s="264"/>
      <c r="H968" s="264"/>
      <c r="I968" s="264"/>
      <c r="J968" s="264"/>
      <c r="K968" s="264"/>
      <c r="L968" s="264"/>
      <c r="M968" s="264"/>
      <c r="N968" s="264"/>
      <c r="O968" s="264"/>
      <c r="P968" s="264"/>
      <c r="Q968" s="264"/>
      <c r="R968" s="264"/>
      <c r="S968" s="264"/>
      <c r="T968" s="264"/>
      <c r="U968" s="264"/>
      <c r="V968" s="264"/>
      <c r="W968" s="264"/>
      <c r="X968" s="264"/>
    </row>
    <row r="969">
      <c r="A969" s="264"/>
      <c r="B969" s="264"/>
      <c r="C969" s="264"/>
      <c r="D969" s="264"/>
      <c r="E969" s="264"/>
      <c r="F969" s="264"/>
      <c r="G969" s="264"/>
      <c r="H969" s="264"/>
      <c r="I969" s="264"/>
      <c r="J969" s="264"/>
      <c r="K969" s="264"/>
      <c r="L969" s="264"/>
      <c r="M969" s="264"/>
      <c r="N969" s="264"/>
      <c r="O969" s="264"/>
      <c r="P969" s="264"/>
      <c r="Q969" s="264"/>
      <c r="R969" s="264"/>
      <c r="S969" s="264"/>
      <c r="T969" s="264"/>
      <c r="U969" s="264"/>
      <c r="V969" s="264"/>
      <c r="W969" s="264"/>
      <c r="X969" s="264"/>
    </row>
    <row r="970">
      <c r="A970" s="264"/>
      <c r="B970" s="264"/>
      <c r="C970" s="264"/>
      <c r="D970" s="264"/>
      <c r="E970" s="264"/>
      <c r="F970" s="264"/>
      <c r="G970" s="264"/>
      <c r="H970" s="264"/>
      <c r="I970" s="264"/>
      <c r="J970" s="264"/>
      <c r="K970" s="264"/>
      <c r="L970" s="264"/>
      <c r="M970" s="264"/>
      <c r="N970" s="264"/>
      <c r="O970" s="264"/>
      <c r="P970" s="264"/>
      <c r="Q970" s="264"/>
      <c r="R970" s="264"/>
      <c r="S970" s="264"/>
      <c r="T970" s="264"/>
      <c r="U970" s="264"/>
      <c r="V970" s="264"/>
      <c r="W970" s="264"/>
      <c r="X970" s="264"/>
    </row>
    <row r="971">
      <c r="A971" s="264"/>
      <c r="B971" s="264"/>
      <c r="C971" s="264"/>
      <c r="D971" s="264"/>
      <c r="E971" s="264"/>
      <c r="F971" s="264"/>
      <c r="G971" s="264"/>
      <c r="H971" s="264"/>
      <c r="I971" s="264"/>
      <c r="J971" s="264"/>
      <c r="K971" s="264"/>
      <c r="L971" s="264"/>
      <c r="M971" s="264"/>
      <c r="N971" s="264"/>
      <c r="O971" s="264"/>
      <c r="P971" s="264"/>
      <c r="Q971" s="264"/>
      <c r="R971" s="264"/>
      <c r="S971" s="264"/>
      <c r="T971" s="264"/>
      <c r="U971" s="264"/>
      <c r="V971" s="264"/>
      <c r="W971" s="264"/>
      <c r="X971" s="264"/>
    </row>
    <row r="972">
      <c r="A972" s="264"/>
      <c r="B972" s="264"/>
      <c r="C972" s="264"/>
      <c r="D972" s="264"/>
      <c r="E972" s="264"/>
      <c r="F972" s="264"/>
      <c r="G972" s="264"/>
      <c r="H972" s="264"/>
      <c r="I972" s="264"/>
      <c r="J972" s="264"/>
      <c r="K972" s="264"/>
      <c r="L972" s="264"/>
      <c r="M972" s="264"/>
      <c r="N972" s="264"/>
      <c r="O972" s="264"/>
      <c r="P972" s="264"/>
      <c r="Q972" s="264"/>
      <c r="R972" s="264"/>
      <c r="S972" s="264"/>
      <c r="T972" s="264"/>
      <c r="U972" s="264"/>
      <c r="V972" s="264"/>
      <c r="W972" s="264"/>
      <c r="X972" s="264"/>
    </row>
    <row r="973">
      <c r="A973" s="264"/>
      <c r="B973" s="264"/>
      <c r="C973" s="264"/>
      <c r="D973" s="264"/>
      <c r="E973" s="264"/>
      <c r="F973" s="264"/>
      <c r="G973" s="264"/>
      <c r="H973" s="264"/>
      <c r="I973" s="264"/>
      <c r="J973" s="264"/>
      <c r="K973" s="264"/>
      <c r="L973" s="264"/>
      <c r="M973" s="264"/>
      <c r="N973" s="264"/>
      <c r="O973" s="264"/>
      <c r="P973" s="264"/>
      <c r="Q973" s="264"/>
      <c r="R973" s="264"/>
      <c r="S973" s="264"/>
      <c r="T973" s="264"/>
      <c r="U973" s="264"/>
      <c r="V973" s="264"/>
      <c r="W973" s="264"/>
      <c r="X973" s="264"/>
    </row>
    <row r="974">
      <c r="A974" s="264"/>
      <c r="B974" s="264"/>
      <c r="C974" s="264"/>
      <c r="D974" s="264"/>
      <c r="E974" s="264"/>
      <c r="F974" s="264"/>
      <c r="G974" s="264"/>
      <c r="H974" s="264"/>
      <c r="I974" s="264"/>
      <c r="J974" s="264"/>
      <c r="K974" s="264"/>
      <c r="L974" s="264"/>
      <c r="M974" s="264"/>
      <c r="N974" s="264"/>
      <c r="O974" s="264"/>
      <c r="P974" s="264"/>
      <c r="Q974" s="264"/>
      <c r="R974" s="264"/>
      <c r="S974" s="264"/>
      <c r="T974" s="264"/>
      <c r="U974" s="264"/>
      <c r="V974" s="264"/>
      <c r="W974" s="264"/>
      <c r="X974" s="264"/>
    </row>
    <row r="975">
      <c r="A975" s="264"/>
      <c r="B975" s="264"/>
      <c r="C975" s="264"/>
      <c r="D975" s="264"/>
      <c r="E975" s="264"/>
      <c r="F975" s="264"/>
      <c r="G975" s="264"/>
      <c r="H975" s="264"/>
      <c r="I975" s="264"/>
      <c r="J975" s="264"/>
      <c r="K975" s="264"/>
      <c r="L975" s="264"/>
      <c r="M975" s="264"/>
      <c r="N975" s="264"/>
      <c r="O975" s="264"/>
      <c r="P975" s="264"/>
      <c r="Q975" s="264"/>
      <c r="R975" s="264"/>
      <c r="S975" s="264"/>
      <c r="T975" s="264"/>
      <c r="U975" s="264"/>
      <c r="V975" s="264"/>
      <c r="W975" s="264"/>
      <c r="X975" s="264"/>
    </row>
    <row r="976">
      <c r="A976" s="264"/>
      <c r="B976" s="264"/>
      <c r="C976" s="264"/>
      <c r="D976" s="264"/>
      <c r="E976" s="264"/>
      <c r="F976" s="264"/>
      <c r="G976" s="264"/>
      <c r="H976" s="264"/>
      <c r="I976" s="264"/>
      <c r="J976" s="264"/>
      <c r="K976" s="264"/>
      <c r="L976" s="264"/>
      <c r="M976" s="264"/>
      <c r="N976" s="264"/>
      <c r="O976" s="264"/>
      <c r="P976" s="264"/>
      <c r="Q976" s="264"/>
      <c r="R976" s="264"/>
      <c r="S976" s="264"/>
      <c r="T976" s="264"/>
      <c r="U976" s="264"/>
      <c r="V976" s="264"/>
      <c r="W976" s="264"/>
      <c r="X976" s="264"/>
    </row>
    <row r="977">
      <c r="A977" s="264"/>
      <c r="B977" s="264"/>
      <c r="C977" s="264"/>
      <c r="D977" s="264"/>
      <c r="E977" s="264"/>
      <c r="F977" s="264"/>
      <c r="G977" s="264"/>
      <c r="H977" s="264"/>
      <c r="I977" s="264"/>
      <c r="J977" s="264"/>
      <c r="K977" s="264"/>
      <c r="L977" s="264"/>
      <c r="M977" s="264"/>
      <c r="N977" s="264"/>
      <c r="O977" s="264"/>
      <c r="P977" s="264"/>
      <c r="Q977" s="264"/>
      <c r="R977" s="264"/>
      <c r="S977" s="264"/>
      <c r="T977" s="264"/>
      <c r="U977" s="264"/>
      <c r="V977" s="264"/>
      <c r="W977" s="264"/>
      <c r="X977" s="264"/>
    </row>
    <row r="978">
      <c r="A978" s="264"/>
      <c r="B978" s="264"/>
      <c r="C978" s="264"/>
      <c r="D978" s="264"/>
      <c r="E978" s="264"/>
      <c r="F978" s="264"/>
      <c r="G978" s="264"/>
      <c r="H978" s="264"/>
      <c r="I978" s="264"/>
      <c r="J978" s="264"/>
      <c r="K978" s="264"/>
      <c r="L978" s="264"/>
      <c r="M978" s="264"/>
      <c r="N978" s="264"/>
      <c r="O978" s="264"/>
      <c r="P978" s="264"/>
      <c r="Q978" s="264"/>
      <c r="R978" s="264"/>
      <c r="S978" s="264"/>
      <c r="T978" s="264"/>
      <c r="U978" s="264"/>
      <c r="V978" s="264"/>
      <c r="W978" s="264"/>
      <c r="X978" s="264"/>
    </row>
    <row r="979">
      <c r="A979" s="264"/>
      <c r="B979" s="264"/>
      <c r="C979" s="264"/>
      <c r="D979" s="264"/>
      <c r="E979" s="264"/>
      <c r="F979" s="264"/>
      <c r="G979" s="264"/>
      <c r="H979" s="264"/>
      <c r="I979" s="264"/>
      <c r="J979" s="264"/>
      <c r="K979" s="264"/>
      <c r="L979" s="264"/>
      <c r="M979" s="264"/>
      <c r="N979" s="264"/>
      <c r="O979" s="264"/>
      <c r="P979" s="264"/>
      <c r="Q979" s="264"/>
      <c r="R979" s="264"/>
      <c r="S979" s="264"/>
      <c r="T979" s="264"/>
      <c r="U979" s="264"/>
      <c r="V979" s="264"/>
      <c r="W979" s="264"/>
      <c r="X979" s="264"/>
    </row>
    <row r="980">
      <c r="A980" s="264"/>
      <c r="B980" s="264"/>
      <c r="C980" s="264"/>
      <c r="D980" s="264"/>
      <c r="E980" s="264"/>
      <c r="F980" s="264"/>
      <c r="G980" s="264"/>
      <c r="H980" s="264"/>
      <c r="I980" s="264"/>
      <c r="J980" s="264"/>
      <c r="K980" s="264"/>
      <c r="L980" s="264"/>
      <c r="M980" s="264"/>
      <c r="N980" s="264"/>
      <c r="O980" s="264"/>
      <c r="P980" s="264"/>
      <c r="Q980" s="264"/>
      <c r="R980" s="264"/>
      <c r="S980" s="264"/>
      <c r="T980" s="264"/>
      <c r="U980" s="264"/>
      <c r="V980" s="264"/>
      <c r="W980" s="264"/>
      <c r="X980" s="264"/>
    </row>
    <row r="981">
      <c r="A981" s="264"/>
      <c r="B981" s="264"/>
      <c r="C981" s="264"/>
      <c r="D981" s="264"/>
      <c r="E981" s="264"/>
      <c r="F981" s="264"/>
      <c r="G981" s="264"/>
      <c r="H981" s="264"/>
      <c r="I981" s="264"/>
      <c r="J981" s="264"/>
      <c r="K981" s="264"/>
      <c r="L981" s="264"/>
      <c r="M981" s="264"/>
      <c r="N981" s="264"/>
      <c r="O981" s="264"/>
      <c r="P981" s="264"/>
      <c r="Q981" s="264"/>
      <c r="R981" s="264"/>
      <c r="S981" s="264"/>
      <c r="T981" s="264"/>
      <c r="U981" s="264"/>
      <c r="V981" s="264"/>
      <c r="W981" s="264"/>
      <c r="X981" s="264"/>
    </row>
    <row r="982">
      <c r="A982" s="264"/>
      <c r="B982" s="264"/>
      <c r="C982" s="264"/>
      <c r="D982" s="264"/>
      <c r="E982" s="264"/>
      <c r="F982" s="264"/>
      <c r="G982" s="264"/>
      <c r="H982" s="264"/>
      <c r="I982" s="264"/>
      <c r="J982" s="264"/>
      <c r="K982" s="264"/>
      <c r="L982" s="264"/>
      <c r="M982" s="264"/>
      <c r="N982" s="264"/>
      <c r="O982" s="264"/>
      <c r="P982" s="264"/>
      <c r="Q982" s="264"/>
      <c r="R982" s="264"/>
      <c r="S982" s="264"/>
      <c r="T982" s="264"/>
      <c r="U982" s="264"/>
      <c r="V982" s="264"/>
      <c r="W982" s="264"/>
      <c r="X982" s="264"/>
    </row>
    <row r="983">
      <c r="A983" s="264"/>
      <c r="B983" s="264"/>
      <c r="C983" s="264"/>
      <c r="D983" s="264"/>
      <c r="E983" s="264"/>
      <c r="F983" s="264"/>
      <c r="G983" s="264"/>
      <c r="H983" s="264"/>
      <c r="I983" s="264"/>
      <c r="J983" s="264"/>
      <c r="K983" s="264"/>
      <c r="L983" s="264"/>
      <c r="M983" s="264"/>
      <c r="N983" s="264"/>
      <c r="O983" s="264"/>
      <c r="P983" s="264"/>
      <c r="Q983" s="264"/>
      <c r="R983" s="264"/>
      <c r="S983" s="264"/>
      <c r="T983" s="264"/>
      <c r="U983" s="264"/>
      <c r="V983" s="264"/>
      <c r="W983" s="264"/>
      <c r="X983" s="264"/>
    </row>
    <row r="984">
      <c r="A984" s="264"/>
      <c r="B984" s="264"/>
      <c r="C984" s="264"/>
      <c r="D984" s="264"/>
      <c r="E984" s="264"/>
      <c r="F984" s="264"/>
      <c r="G984" s="264"/>
      <c r="H984" s="264"/>
      <c r="I984" s="264"/>
      <c r="J984" s="264"/>
      <c r="K984" s="264"/>
      <c r="L984" s="264"/>
      <c r="M984" s="264"/>
      <c r="N984" s="264"/>
      <c r="O984" s="264"/>
      <c r="P984" s="264"/>
      <c r="Q984" s="264"/>
      <c r="R984" s="264"/>
      <c r="S984" s="264"/>
      <c r="T984" s="264"/>
      <c r="U984" s="264"/>
      <c r="V984" s="264"/>
      <c r="W984" s="264"/>
      <c r="X984" s="264"/>
    </row>
    <row r="985">
      <c r="A985" s="264"/>
      <c r="B985" s="264"/>
      <c r="C985" s="264"/>
      <c r="D985" s="264"/>
      <c r="E985" s="264"/>
      <c r="F985" s="264"/>
      <c r="G985" s="264"/>
      <c r="H985" s="264"/>
      <c r="I985" s="264"/>
      <c r="J985" s="264"/>
      <c r="K985" s="264"/>
      <c r="L985" s="264"/>
      <c r="M985" s="264"/>
      <c r="N985" s="264"/>
      <c r="O985" s="264"/>
      <c r="P985" s="264"/>
      <c r="Q985" s="264"/>
      <c r="R985" s="264"/>
      <c r="S985" s="264"/>
      <c r="T985" s="264"/>
      <c r="U985" s="264"/>
      <c r="V985" s="264"/>
      <c r="W985" s="264"/>
      <c r="X985" s="264"/>
    </row>
    <row r="986">
      <c r="A986" s="264"/>
      <c r="B986" s="264"/>
      <c r="C986" s="264"/>
      <c r="D986" s="264"/>
      <c r="E986" s="264"/>
      <c r="F986" s="264"/>
      <c r="G986" s="264"/>
      <c r="H986" s="264"/>
      <c r="I986" s="264"/>
      <c r="J986" s="264"/>
      <c r="K986" s="264"/>
      <c r="L986" s="264"/>
      <c r="M986" s="264"/>
      <c r="N986" s="264"/>
      <c r="O986" s="264"/>
      <c r="P986" s="264"/>
      <c r="Q986" s="264"/>
      <c r="R986" s="264"/>
      <c r="S986" s="264"/>
      <c r="T986" s="264"/>
      <c r="U986" s="264"/>
      <c r="V986" s="264"/>
      <c r="W986" s="264"/>
      <c r="X986" s="264"/>
    </row>
    <row r="987">
      <c r="A987" s="264"/>
      <c r="B987" s="264"/>
      <c r="C987" s="264"/>
      <c r="D987" s="264"/>
      <c r="E987" s="264"/>
      <c r="F987" s="264"/>
      <c r="G987" s="264"/>
      <c r="H987" s="264"/>
      <c r="I987" s="264"/>
      <c r="J987" s="264"/>
      <c r="K987" s="264"/>
      <c r="L987" s="264"/>
      <c r="M987" s="264"/>
      <c r="N987" s="264"/>
      <c r="O987" s="264"/>
      <c r="P987" s="264"/>
      <c r="Q987" s="264"/>
      <c r="R987" s="264"/>
      <c r="S987" s="264"/>
      <c r="T987" s="264"/>
      <c r="U987" s="264"/>
      <c r="V987" s="264"/>
      <c r="W987" s="264"/>
      <c r="X987" s="264"/>
    </row>
    <row r="988">
      <c r="A988" s="264"/>
      <c r="B988" s="264"/>
      <c r="C988" s="264"/>
      <c r="D988" s="264"/>
      <c r="E988" s="264"/>
      <c r="F988" s="264"/>
      <c r="G988" s="264"/>
      <c r="H988" s="264"/>
      <c r="I988" s="264"/>
      <c r="J988" s="264"/>
      <c r="K988" s="264"/>
      <c r="L988" s="264"/>
      <c r="M988" s="264"/>
      <c r="N988" s="264"/>
      <c r="O988" s="264"/>
      <c r="P988" s="264"/>
      <c r="Q988" s="264"/>
      <c r="R988" s="264"/>
      <c r="S988" s="264"/>
      <c r="T988" s="264"/>
      <c r="U988" s="264"/>
      <c r="V988" s="264"/>
      <c r="W988" s="264"/>
      <c r="X988" s="264"/>
    </row>
    <row r="989">
      <c r="A989" s="264"/>
      <c r="B989" s="264"/>
      <c r="C989" s="264"/>
      <c r="D989" s="264"/>
      <c r="E989" s="264"/>
      <c r="F989" s="264"/>
      <c r="G989" s="264"/>
      <c r="H989" s="264"/>
      <c r="I989" s="264"/>
      <c r="J989" s="264"/>
      <c r="K989" s="264"/>
      <c r="L989" s="264"/>
      <c r="M989" s="264"/>
      <c r="N989" s="264"/>
      <c r="O989" s="264"/>
      <c r="P989" s="264"/>
      <c r="Q989" s="264"/>
      <c r="R989" s="264"/>
      <c r="S989" s="264"/>
      <c r="T989" s="264"/>
      <c r="U989" s="264"/>
      <c r="V989" s="264"/>
      <c r="W989" s="264"/>
      <c r="X989" s="264"/>
    </row>
    <row r="990">
      <c r="A990" s="264"/>
      <c r="B990" s="264"/>
      <c r="C990" s="264"/>
      <c r="D990" s="264"/>
      <c r="E990" s="264"/>
      <c r="F990" s="264"/>
      <c r="G990" s="264"/>
      <c r="H990" s="264"/>
      <c r="I990" s="264"/>
      <c r="J990" s="264"/>
      <c r="K990" s="264"/>
      <c r="L990" s="264"/>
      <c r="M990" s="264"/>
      <c r="N990" s="264"/>
      <c r="O990" s="264"/>
      <c r="P990" s="264"/>
      <c r="Q990" s="264"/>
      <c r="R990" s="264"/>
      <c r="S990" s="264"/>
      <c r="T990" s="264"/>
      <c r="U990" s="264"/>
      <c r="V990" s="264"/>
      <c r="W990" s="264"/>
      <c r="X990" s="264"/>
    </row>
    <row r="991">
      <c r="A991" s="264"/>
      <c r="B991" s="264"/>
      <c r="C991" s="264"/>
      <c r="D991" s="264"/>
      <c r="E991" s="264"/>
      <c r="F991" s="264"/>
      <c r="G991" s="264"/>
      <c r="H991" s="264"/>
      <c r="I991" s="264"/>
      <c r="J991" s="264"/>
      <c r="K991" s="264"/>
      <c r="L991" s="264"/>
      <c r="M991" s="264"/>
      <c r="N991" s="264"/>
      <c r="O991" s="264"/>
      <c r="P991" s="264"/>
      <c r="Q991" s="264"/>
      <c r="R991" s="264"/>
      <c r="S991" s="264"/>
      <c r="T991" s="264"/>
      <c r="U991" s="264"/>
      <c r="V991" s="264"/>
      <c r="W991" s="264"/>
      <c r="X991" s="264"/>
    </row>
    <row r="992">
      <c r="A992" s="264"/>
      <c r="B992" s="264"/>
      <c r="C992" s="264"/>
      <c r="D992" s="264"/>
      <c r="E992" s="264"/>
      <c r="F992" s="264"/>
      <c r="G992" s="264"/>
      <c r="H992" s="264"/>
      <c r="I992" s="264"/>
      <c r="J992" s="264"/>
      <c r="K992" s="264"/>
      <c r="L992" s="264"/>
      <c r="M992" s="264"/>
      <c r="N992" s="264"/>
      <c r="O992" s="264"/>
      <c r="P992" s="264"/>
      <c r="Q992" s="264"/>
      <c r="R992" s="264"/>
      <c r="S992" s="264"/>
      <c r="T992" s="264"/>
      <c r="U992" s="264"/>
      <c r="V992" s="264"/>
      <c r="W992" s="264"/>
      <c r="X992" s="264"/>
    </row>
    <row r="993">
      <c r="A993" s="264"/>
      <c r="B993" s="264"/>
      <c r="C993" s="264"/>
      <c r="D993" s="264"/>
      <c r="E993" s="264"/>
      <c r="F993" s="264"/>
      <c r="G993" s="264"/>
      <c r="H993" s="264"/>
      <c r="I993" s="264"/>
      <c r="J993" s="264"/>
      <c r="K993" s="264"/>
      <c r="L993" s="264"/>
      <c r="M993" s="264"/>
      <c r="N993" s="264"/>
      <c r="O993" s="264"/>
      <c r="P993" s="264"/>
      <c r="Q993" s="264"/>
      <c r="R993" s="264"/>
      <c r="S993" s="264"/>
      <c r="T993" s="264"/>
      <c r="U993" s="264"/>
      <c r="V993" s="264"/>
      <c r="W993" s="264"/>
      <c r="X993" s="264"/>
    </row>
    <row r="994">
      <c r="A994" s="264"/>
      <c r="B994" s="264"/>
      <c r="C994" s="264"/>
      <c r="D994" s="264"/>
      <c r="E994" s="264"/>
      <c r="F994" s="264"/>
      <c r="G994" s="264"/>
      <c r="H994" s="264"/>
      <c r="I994" s="264"/>
      <c r="J994" s="264"/>
      <c r="K994" s="264"/>
      <c r="L994" s="264"/>
      <c r="M994" s="264"/>
      <c r="N994" s="264"/>
      <c r="O994" s="264"/>
      <c r="P994" s="264"/>
      <c r="Q994" s="264"/>
      <c r="R994" s="264"/>
      <c r="S994" s="264"/>
      <c r="T994" s="264"/>
      <c r="U994" s="264"/>
      <c r="V994" s="264"/>
      <c r="W994" s="264"/>
      <c r="X994" s="264"/>
    </row>
    <row r="995">
      <c r="A995" s="264"/>
      <c r="B995" s="264"/>
      <c r="C995" s="264"/>
      <c r="D995" s="264"/>
      <c r="E995" s="264"/>
      <c r="F995" s="264"/>
      <c r="G995" s="264"/>
      <c r="H995" s="264"/>
      <c r="I995" s="264"/>
      <c r="J995" s="264"/>
      <c r="K995" s="264"/>
      <c r="L995" s="264"/>
      <c r="M995" s="264"/>
      <c r="N995" s="264"/>
      <c r="O995" s="264"/>
      <c r="P995" s="264"/>
      <c r="Q995" s="264"/>
      <c r="R995" s="264"/>
      <c r="S995" s="264"/>
      <c r="T995" s="264"/>
      <c r="U995" s="264"/>
      <c r="V995" s="264"/>
      <c r="W995" s="264"/>
      <c r="X995" s="264"/>
    </row>
    <row r="996">
      <c r="A996" s="264"/>
      <c r="B996" s="264"/>
      <c r="C996" s="264"/>
      <c r="D996" s="264"/>
      <c r="E996" s="264"/>
      <c r="F996" s="264"/>
      <c r="G996" s="264"/>
      <c r="H996" s="264"/>
      <c r="I996" s="264"/>
      <c r="J996" s="264"/>
      <c r="K996" s="264"/>
      <c r="L996" s="264"/>
      <c r="M996" s="264"/>
      <c r="N996" s="264"/>
      <c r="O996" s="264"/>
      <c r="P996" s="264"/>
      <c r="Q996" s="264"/>
      <c r="R996" s="264"/>
      <c r="S996" s="264"/>
      <c r="T996" s="264"/>
      <c r="U996" s="264"/>
      <c r="V996" s="264"/>
      <c r="W996" s="264"/>
      <c r="X996" s="264"/>
    </row>
    <row r="997">
      <c r="A997" s="264"/>
      <c r="B997" s="264"/>
      <c r="C997" s="264"/>
      <c r="D997" s="264"/>
      <c r="E997" s="264"/>
      <c r="F997" s="264"/>
      <c r="G997" s="264"/>
      <c r="H997" s="264"/>
      <c r="I997" s="264"/>
      <c r="J997" s="264"/>
      <c r="K997" s="264"/>
      <c r="L997" s="264"/>
      <c r="M997" s="264"/>
      <c r="N997" s="264"/>
      <c r="O997" s="264"/>
      <c r="P997" s="264"/>
      <c r="Q997" s="264"/>
      <c r="R997" s="264"/>
      <c r="S997" s="264"/>
      <c r="T997" s="264"/>
      <c r="U997" s="264"/>
      <c r="V997" s="264"/>
      <c r="W997" s="264"/>
      <c r="X997" s="264"/>
    </row>
    <row r="998">
      <c r="A998" s="264"/>
      <c r="B998" s="264"/>
      <c r="C998" s="264"/>
      <c r="D998" s="264"/>
      <c r="E998" s="264"/>
      <c r="F998" s="264"/>
      <c r="G998" s="264"/>
      <c r="H998" s="264"/>
      <c r="I998" s="264"/>
      <c r="J998" s="264"/>
      <c r="K998" s="264"/>
      <c r="L998" s="264"/>
      <c r="M998" s="264"/>
      <c r="N998" s="264"/>
      <c r="O998" s="264"/>
      <c r="P998" s="264"/>
      <c r="Q998" s="264"/>
      <c r="R998" s="264"/>
      <c r="S998" s="264"/>
      <c r="T998" s="264"/>
      <c r="U998" s="264"/>
      <c r="V998" s="264"/>
      <c r="W998" s="264"/>
      <c r="X998" s="264"/>
    </row>
    <row r="999">
      <c r="A999" s="264"/>
      <c r="B999" s="264"/>
      <c r="C999" s="264"/>
      <c r="D999" s="264"/>
      <c r="E999" s="264"/>
      <c r="F999" s="264"/>
      <c r="G999" s="264"/>
      <c r="H999" s="264"/>
      <c r="I999" s="264"/>
      <c r="J999" s="264"/>
      <c r="K999" s="264"/>
      <c r="L999" s="264"/>
      <c r="M999" s="264"/>
      <c r="N999" s="264"/>
      <c r="O999" s="264"/>
      <c r="P999" s="264"/>
      <c r="Q999" s="264"/>
      <c r="R999" s="264"/>
      <c r="S999" s="264"/>
      <c r="T999" s="264"/>
      <c r="U999" s="264"/>
      <c r="V999" s="264"/>
      <c r="W999" s="264"/>
      <c r="X999" s="264"/>
    </row>
    <row r="1000">
      <c r="A1000" s="264"/>
      <c r="B1000" s="264"/>
      <c r="C1000" s="264"/>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row>
  </sheetData>
  <autoFilter ref="$A$1:$E$98">
    <filterColumn colId="0">
      <filters>
        <filter val="38 / D16"/>
        <filter val="2 / D1"/>
        <filter val="3 / D2"/>
        <filter val="92"/>
        <filter val="42 / D20"/>
        <filter val="93"/>
        <filter val="45 / D23"/>
        <filter val="48 / D26"/>
        <filter val="12"/>
        <filter val="14"/>
        <filter val="15"/>
        <filter val="16"/>
        <filter val="18 / D9"/>
        <filter val="19"/>
        <filter val="87 / D32"/>
        <filter val="1"/>
        <filter val="25 / D12"/>
        <filter val="5"/>
        <filter val="7"/>
        <filter val="8"/>
        <filter val="9"/>
        <filter val="20"/>
        <filter val="22"/>
        <filter val="23"/>
        <filter val="26"/>
        <filter val="28"/>
        <filter val="29"/>
        <filter val="6 / D4"/>
        <filter val="36 / D15"/>
        <filter val="91 / D36"/>
        <filter val="30"/>
        <filter val="31"/>
        <filter val="33"/>
        <filter val="34"/>
        <filter val="35"/>
        <filter val="85 / D31"/>
        <filter val="90 / D35"/>
        <filter val="37"/>
        <filter val="51 / D27"/>
        <filter val="24 / D11"/>
        <filter val="17 / D8"/>
        <filter val="40 / D18"/>
        <filter val="46"/>
        <filter val="47"/>
        <filter val="11 / D6"/>
        <filter val="49"/>
        <filter val="D25"/>
        <filter val="D24"/>
        <filter val="89 / D34"/>
        <filter val="41 / D19"/>
        <filter val="50"/>
        <filter val="21 / D10"/>
        <filter val="52"/>
        <filter val="53"/>
        <filter val="54"/>
        <filter val="55"/>
        <filter val="56"/>
        <filter val="57"/>
        <filter val="58"/>
        <filter val="59"/>
        <filter val="61 / D29"/>
        <filter val="10 / D5"/>
        <filter val="44 / D22"/>
        <filter val="13 / D7"/>
        <filter val="62"/>
        <filter val="63"/>
        <filter val="64"/>
        <filter val="65"/>
        <filter val="66"/>
        <filter val="67"/>
        <filter val="68"/>
        <filter val="88 / D33"/>
        <filter val="94 / D37"/>
        <filter val="60 / D28"/>
        <filter val="71"/>
        <filter val="72"/>
        <filter val="73"/>
        <filter val="74"/>
        <filter val="75"/>
        <filter val="39 / D17"/>
        <filter val="76"/>
        <filter val="77"/>
        <filter val="32 / D14"/>
        <filter val="78"/>
        <filter val="79"/>
        <filter val="70 / D30"/>
        <filter val="27 / D13"/>
        <filter val="43 / D21"/>
        <filter val="4 / D3"/>
        <filter val="80"/>
        <filter val="81"/>
        <filter val="82"/>
        <filter val="83"/>
        <filter val="84"/>
        <filter val="86"/>
      </filters>
    </filterColumn>
  </autoFilter>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2.71"/>
    <col customWidth="1" min="2" max="2" width="10.14"/>
    <col customWidth="1" min="3" max="3" width="58.29"/>
    <col customWidth="1" min="4" max="4" width="15.43"/>
    <col customWidth="1" min="5" max="5" width="6.14"/>
    <col customWidth="1" min="6" max="6" width="8.14"/>
    <col customWidth="1" min="7" max="7" width="7.71"/>
    <col customWidth="1" min="8" max="8" width="12.71"/>
    <col customWidth="1" min="9" max="9" width="11.14"/>
    <col customWidth="1" min="10" max="10" width="11.29"/>
    <col customWidth="1" min="11" max="11" width="8.43"/>
  </cols>
  <sheetData>
    <row r="1">
      <c r="A1" s="228" t="str">
        <f>Raw!A1</f>
        <v>Reference</v>
      </c>
      <c r="B1" s="230" t="str">
        <f>Raw!E1</f>
        <v>Date</v>
      </c>
      <c r="C1" s="229" t="str">
        <f>Display_All!AE1</f>
        <v>Ore Type</v>
      </c>
      <c r="D1" s="229" t="str">
        <f>Display_All!AF1</f>
        <v>Ore Mass (Kg)</v>
      </c>
      <c r="E1" s="229" t="str">
        <f>Raw!BI1</f>
        <v>Fe %</v>
      </c>
      <c r="F1" s="229" t="str">
        <f>Raw!BJ1</f>
        <v>Ore State</v>
      </c>
      <c r="G1" s="229" t="str">
        <f>Raw!BM1</f>
        <v>Slag (kg)</v>
      </c>
      <c r="H1" s="229" t="str">
        <f>Raw!BO1</f>
        <v>Ore Size (mm)</v>
      </c>
      <c r="I1" s="232" t="str">
        <f>Raw!CA1</f>
        <v>Burn Rate (Min/Kg)</v>
      </c>
      <c r="J1" s="229" t="str">
        <f>Raw!CS1</f>
        <v>Bloom Weight (Kg)</v>
      </c>
      <c r="K1" s="232" t="str">
        <f>Raw!CW1</f>
        <v>Yield (%)</v>
      </c>
      <c r="L1" s="297" t="str">
        <f>Raw!CX1</f>
        <v>Yield % Fe</v>
      </c>
      <c r="M1" s="359"/>
      <c r="N1" s="264"/>
      <c r="O1" s="359"/>
      <c r="P1" s="359"/>
      <c r="Q1" s="359"/>
      <c r="R1" s="359"/>
      <c r="S1" s="359"/>
      <c r="T1" s="359"/>
      <c r="U1" s="359"/>
    </row>
    <row r="2">
      <c r="A2" s="238">
        <f>Raw!A2</f>
        <v>1</v>
      </c>
      <c r="B2" s="240">
        <f>Raw!E2</f>
        <v>37069</v>
      </c>
      <c r="C2" s="239" t="str">
        <f>Display_All!AE2</f>
        <v>L'AM Bog Ore</v>
      </c>
      <c r="D2" s="239" t="str">
        <f>Display_All!AF2</f>
        <v>1.5</v>
      </c>
      <c r="E2" s="368">
        <f>Raw!BI2</f>
        <v>0.6311660934</v>
      </c>
      <c r="F2" s="239" t="str">
        <f>Raw!BJ2</f>
        <v>roasted</v>
      </c>
      <c r="G2" s="239" t="str">
        <f>Raw!BM2</f>
        <v/>
      </c>
      <c r="H2" s="239" t="str">
        <f>Raw!BO2</f>
        <v>to 10 (natural)</v>
      </c>
      <c r="I2" s="241">
        <f>Raw!CA2</f>
        <v>13.55555556</v>
      </c>
      <c r="J2" s="241">
        <f>if(Raw!CS2&gt;0,Raw!CS2,"None")</f>
        <v>0.1</v>
      </c>
      <c r="K2" s="368">
        <f>Raw!CW2</f>
        <v>0.06666666667</v>
      </c>
      <c r="L2" s="369">
        <f>if(Raw!CX2&gt;0,Raw!CX2,"None")</f>
        <v>0.1056246008</v>
      </c>
      <c r="M2" s="264"/>
      <c r="N2" s="264"/>
      <c r="O2" s="264"/>
      <c r="P2" s="264"/>
      <c r="Q2" s="264"/>
      <c r="R2" s="264"/>
      <c r="S2" s="264"/>
      <c r="T2" s="264"/>
      <c r="U2" s="264"/>
    </row>
    <row r="3">
      <c r="A3" s="238" t="str">
        <f>Raw!A3</f>
        <v>2 / D1</v>
      </c>
      <c r="B3" s="240">
        <f>Raw!E3</f>
        <v>37402</v>
      </c>
      <c r="C3" s="239" t="str">
        <f>Display_All!AE3</f>
        <v>SLM</v>
      </c>
      <c r="D3" s="239" t="str">
        <f>Display_All!AF3</f>
        <v>6.2</v>
      </c>
      <c r="E3" s="368">
        <f>Raw!BI3</f>
        <v>0.5921444799</v>
      </c>
      <c r="F3" s="239" t="str">
        <f>Raw!BJ3</f>
        <v>roasted</v>
      </c>
      <c r="G3" s="239" t="str">
        <f>Raw!BM3</f>
        <v/>
      </c>
      <c r="H3" s="239" t="str">
        <f>Raw!BO3</f>
        <v>to 10 (natural)</v>
      </c>
      <c r="I3" s="241">
        <f>Raw!CA3</f>
        <v>10.35</v>
      </c>
      <c r="J3" s="239" t="str">
        <f>if(Raw!CS3&gt;0,Raw!CS3,"None")</f>
        <v>None</v>
      </c>
      <c r="K3" s="368" t="str">
        <f>Raw!CW3</f>
        <v>na</v>
      </c>
      <c r="L3" s="369" t="str">
        <f>if(Raw!CX3&gt;0,Raw!CX3,"None")</f>
        <v>na</v>
      </c>
      <c r="M3" s="264"/>
      <c r="N3" s="264"/>
      <c r="O3" s="264"/>
      <c r="P3" s="264"/>
      <c r="Q3" s="264"/>
      <c r="R3" s="264"/>
      <c r="S3" s="264"/>
      <c r="T3" s="264"/>
      <c r="U3" s="264"/>
    </row>
    <row r="4">
      <c r="A4" s="238" t="str">
        <f>Raw!A4</f>
        <v>3 / D2</v>
      </c>
      <c r="B4" s="240">
        <f>Raw!E4</f>
        <v>37778</v>
      </c>
      <c r="C4" s="239" t="str">
        <f>Display_All!AE4</f>
        <v>Guy's Run Goethite</v>
      </c>
      <c r="D4" s="239" t="str">
        <f>Display_All!AF4</f>
        <v>8.1</v>
      </c>
      <c r="E4" s="368">
        <f>Raw!BI4</f>
        <v>0.58</v>
      </c>
      <c r="F4" s="239" t="str">
        <f>Raw!BJ4</f>
        <v>roasted</v>
      </c>
      <c r="G4" s="239" t="str">
        <f>Raw!BM4</f>
        <v/>
      </c>
      <c r="H4" s="370" t="str">
        <f>Raw!BO4</f>
        <v>1 to 5 </v>
      </c>
      <c r="I4" s="241">
        <f>Raw!CA4</f>
        <v>4.864197531</v>
      </c>
      <c r="J4" s="239" t="str">
        <f>if(Raw!CS4&gt;0,Raw!CS4,"None")</f>
        <v>None</v>
      </c>
      <c r="K4" s="368" t="str">
        <f>Raw!CW4</f>
        <v>na</v>
      </c>
      <c r="L4" s="369" t="str">
        <f>if(Raw!CX4&gt;0,Raw!CX4,"None")</f>
        <v>na</v>
      </c>
      <c r="M4" s="264"/>
      <c r="N4" s="264"/>
      <c r="O4" s="264"/>
      <c r="P4" s="264"/>
      <c r="Q4" s="264"/>
      <c r="R4" s="264"/>
      <c r="S4" s="264"/>
      <c r="T4" s="264"/>
      <c r="U4" s="264"/>
    </row>
    <row r="5">
      <c r="A5" s="238" t="str">
        <f>Raw!A5</f>
        <v>4 / D3</v>
      </c>
      <c r="B5" s="240">
        <f>Raw!E5</f>
        <v>38150</v>
      </c>
      <c r="C5" s="239" t="str">
        <f>Display_All!AE5</f>
        <v>Guy's Run Goethite</v>
      </c>
      <c r="D5" s="239" t="str">
        <f>Display_All!AF5</f>
        <v>7</v>
      </c>
      <c r="E5" s="368">
        <f>Raw!BI5</f>
        <v>0.58</v>
      </c>
      <c r="F5" s="239" t="str">
        <f>Raw!BJ5</f>
        <v>roasted</v>
      </c>
      <c r="G5" s="239" t="str">
        <f>Raw!BM5</f>
        <v/>
      </c>
      <c r="H5" s="239" t="str">
        <f>Raw!BO5</f>
        <v>1 to 5</v>
      </c>
      <c r="I5" s="241">
        <f>Raw!CA5</f>
        <v>17.25</v>
      </c>
      <c r="J5" s="239" t="str">
        <f>if(Raw!CS5&gt;0,Raw!CS5,"None")</f>
        <v>None</v>
      </c>
      <c r="K5" s="368" t="str">
        <f>Raw!CW5</f>
        <v>na</v>
      </c>
      <c r="L5" s="369" t="str">
        <f>if(Raw!CX5&gt;0,Raw!CX5,"None")</f>
        <v>na</v>
      </c>
      <c r="M5" s="264"/>
      <c r="N5" s="264"/>
      <c r="O5" s="264"/>
      <c r="P5" s="264"/>
      <c r="Q5" s="264"/>
      <c r="R5" s="264"/>
      <c r="S5" s="264"/>
      <c r="T5" s="264"/>
      <c r="U5" s="264"/>
    </row>
    <row r="6">
      <c r="A6" s="238">
        <f>Raw!A6</f>
        <v>5</v>
      </c>
      <c r="B6" s="240">
        <f>Raw!E6</f>
        <v>38271</v>
      </c>
      <c r="C6" s="239" t="str">
        <f>Display_All!AE6</f>
        <v>Guy's Run Goethite</v>
      </c>
      <c r="D6" s="239" t="str">
        <f>Display_All!AF6</f>
        <v>8</v>
      </c>
      <c r="E6" s="368">
        <f>Raw!BI6</f>
        <v>0.58</v>
      </c>
      <c r="F6" s="239" t="str">
        <f>Raw!BJ6</f>
        <v>roasted</v>
      </c>
      <c r="G6" s="239" t="str">
        <f>Raw!BM6</f>
        <v/>
      </c>
      <c r="H6" s="239" t="str">
        <f>Raw!BO6</f>
        <v>1 to 5</v>
      </c>
      <c r="I6" s="241">
        <f>Raw!CA6</f>
        <v>15.92063492</v>
      </c>
      <c r="J6" s="239" t="str">
        <f>if(Raw!CS6&gt;0,Raw!CS6,"None")</f>
        <v>None</v>
      </c>
      <c r="K6" s="368" t="str">
        <f>Raw!CW6</f>
        <v>na</v>
      </c>
      <c r="L6" s="369" t="str">
        <f>if(Raw!CX6&gt;0,Raw!CX6,"None")</f>
        <v>na</v>
      </c>
      <c r="M6" s="264"/>
      <c r="N6" s="264"/>
      <c r="O6" s="264"/>
      <c r="P6" s="264"/>
      <c r="Q6" s="264"/>
      <c r="R6" s="264"/>
      <c r="S6" s="264"/>
      <c r="T6" s="264"/>
      <c r="U6" s="264"/>
    </row>
    <row r="7">
      <c r="A7" s="238" t="str">
        <f>Raw!A7</f>
        <v>6 / D4</v>
      </c>
      <c r="B7" s="240">
        <f>Raw!E7</f>
        <v>38283</v>
      </c>
      <c r="C7" s="239" t="str">
        <f>Display_All!AE7</f>
        <v>Guy's Run Goethite</v>
      </c>
      <c r="D7" s="239" t="str">
        <f>Display_All!AF7</f>
        <v>8</v>
      </c>
      <c r="E7" s="368">
        <f>Raw!BI7</f>
        <v>0.58</v>
      </c>
      <c r="F7" s="239" t="str">
        <f>Raw!BJ7</f>
        <v>roasted</v>
      </c>
      <c r="G7" s="239" t="str">
        <f>Raw!BM7</f>
        <v/>
      </c>
      <c r="H7" s="239" t="str">
        <f>Raw!BO7</f>
        <v>1 to 5</v>
      </c>
      <c r="I7" s="241">
        <f>Raw!CA7</f>
        <v>19.11013942</v>
      </c>
      <c r="J7" s="241">
        <f>if(Raw!CS7&gt;0,Raw!CS7,"None")</f>
        <v>2</v>
      </c>
      <c r="K7" s="368">
        <f>Raw!CW7</f>
        <v>0.25</v>
      </c>
      <c r="L7" s="369">
        <f>if(Raw!CX7&gt;0,Raw!CX7,"None")</f>
        <v>0.4310344828</v>
      </c>
      <c r="M7" s="264"/>
      <c r="N7" s="264"/>
      <c r="O7" s="264"/>
      <c r="P7" s="264"/>
      <c r="Q7" s="264"/>
      <c r="R7" s="264"/>
      <c r="S7" s="264"/>
      <c r="T7" s="264"/>
      <c r="U7" s="264"/>
    </row>
    <row r="8">
      <c r="A8" s="238">
        <f>Raw!A8</f>
        <v>7</v>
      </c>
      <c r="B8" s="240">
        <f>Raw!E8</f>
        <v>38408</v>
      </c>
      <c r="C8" s="239" t="str">
        <f>Display_All!AE8</f>
        <v>Guy's Run Goethite/Magnetite Sand</v>
      </c>
      <c r="D8" s="239" t="str">
        <f>Display_All!AF8</f>
        <v>31.8/3.2</v>
      </c>
      <c r="E8" s="368" t="str">
        <f>Raw!BI8</f>
        <v>?</v>
      </c>
      <c r="F8" s="239" t="str">
        <f>Raw!BJ8</f>
        <v>roasted</v>
      </c>
      <c r="G8" s="239" t="str">
        <f>Raw!BM8</f>
        <v/>
      </c>
      <c r="H8" s="239" t="str">
        <f>Raw!BO8</f>
        <v>1 to 5</v>
      </c>
      <c r="I8" s="241">
        <f>Raw!CA8</f>
        <v>5.119230769</v>
      </c>
      <c r="J8" s="241">
        <f>if(Raw!CS8&gt;0,Raw!CS8,"None")</f>
        <v>6.5</v>
      </c>
      <c r="K8" s="368">
        <f>Raw!CW8</f>
        <v>0.1858108108</v>
      </c>
      <c r="L8" s="369" t="str">
        <f>if(Raw!CX8&gt;0,Raw!CX8,"None")</f>
        <v>?</v>
      </c>
      <c r="M8" s="264"/>
      <c r="N8" s="264"/>
      <c r="O8" s="264"/>
      <c r="P8" s="264"/>
      <c r="Q8" s="264"/>
      <c r="R8" s="264"/>
      <c r="S8" s="264"/>
      <c r="T8" s="264"/>
      <c r="U8" s="264"/>
    </row>
    <row r="9">
      <c r="A9" s="238">
        <f>Raw!A9</f>
        <v>8</v>
      </c>
      <c r="B9" s="240">
        <f>Raw!E9</f>
        <v>38410</v>
      </c>
      <c r="C9" s="239" t="str">
        <f>Display_All!AE9</f>
        <v>Guy's Run Goethite</v>
      </c>
      <c r="D9" s="239" t="str">
        <f>Display_All!AF9</f>
        <v>28</v>
      </c>
      <c r="E9" s="368">
        <f>Raw!BI9</f>
        <v>0.58</v>
      </c>
      <c r="F9" s="239" t="str">
        <f>Raw!BJ9</f>
        <v>roasted</v>
      </c>
      <c r="G9" s="239" t="str">
        <f>Raw!BM9</f>
        <v/>
      </c>
      <c r="H9" s="239" t="str">
        <f>Raw!BO9</f>
        <v>1 to 5</v>
      </c>
      <c r="I9" s="241">
        <f>Raw!CA9</f>
        <v>5.203846154</v>
      </c>
      <c r="J9" s="241">
        <f>if(Raw!CS9&gt;0,Raw!CS9,"None")</f>
        <v>7.5</v>
      </c>
      <c r="K9" s="368">
        <f>Raw!CW9</f>
        <v>0.2678571429</v>
      </c>
      <c r="L9" s="369">
        <f>if(Raw!CX9&gt;0,Raw!CX9,"None")</f>
        <v>0.4618226601</v>
      </c>
      <c r="M9" s="264"/>
      <c r="N9" s="264"/>
      <c r="O9" s="264"/>
      <c r="P9" s="264"/>
      <c r="Q9" s="264"/>
      <c r="R9" s="264"/>
      <c r="S9" s="264"/>
      <c r="T9" s="264"/>
      <c r="U9" s="264"/>
    </row>
    <row r="10">
      <c r="A10" s="238">
        <f>Raw!A10</f>
        <v>9</v>
      </c>
      <c r="B10" s="240">
        <f>Raw!E10</f>
        <v>38486</v>
      </c>
      <c r="C10" s="239" t="str">
        <f>Display_All!AE10</f>
        <v>Stelco Taconite</v>
      </c>
      <c r="D10" s="239" t="str">
        <f>Display_All!AF10</f>
        <v>21.3</v>
      </c>
      <c r="E10" s="368">
        <f>Raw!BI10</f>
        <v>0.6539677619</v>
      </c>
      <c r="F10" s="239" t="str">
        <f>Raw!BJ10</f>
        <v>roasted</v>
      </c>
      <c r="G10" s="239" t="str">
        <f>Raw!BM10</f>
        <v/>
      </c>
      <c r="H10" s="239" t="str">
        <f>Raw!BO10</f>
        <v>1 to 5</v>
      </c>
      <c r="I10" s="241">
        <f>Raw!CA10</f>
        <v>6.220689655</v>
      </c>
      <c r="J10" s="241">
        <f>if(Raw!CS10&gt;0,Raw!CS10,"None")</f>
        <v>9.5</v>
      </c>
      <c r="K10" s="368">
        <f>Raw!CW10</f>
        <v>0.4460093897</v>
      </c>
      <c r="L10" s="369">
        <f>if(Raw!CX10&gt;0,Raw!CX10,"None")</f>
        <v>0.6820051624</v>
      </c>
      <c r="M10" s="264"/>
      <c r="N10" s="264"/>
      <c r="O10" s="264"/>
      <c r="P10" s="264"/>
      <c r="Q10" s="264"/>
      <c r="R10" s="264"/>
      <c r="S10" s="264"/>
      <c r="T10" s="264"/>
      <c r="U10" s="264"/>
    </row>
    <row r="11">
      <c r="A11" s="238" t="str">
        <f>Raw!A11</f>
        <v>10 / D5</v>
      </c>
      <c r="B11" s="240">
        <f>Raw!E11</f>
        <v>38514</v>
      </c>
      <c r="C11" s="239" t="str">
        <f>Display_All!AE11</f>
        <v>Stelco Taconite</v>
      </c>
      <c r="D11" s="239" t="str">
        <f>Display_All!AF11</f>
        <v>10.9</v>
      </c>
      <c r="E11" s="368">
        <f>Raw!BI11</f>
        <v>0.6539677619</v>
      </c>
      <c r="F11" s="239" t="str">
        <f>Raw!BJ11</f>
        <v>roasted</v>
      </c>
      <c r="G11" s="239" t="str">
        <f>Raw!BM11</f>
        <v/>
      </c>
      <c r="H11" s="239" t="str">
        <f>Raw!BO11</f>
        <v>1 to 5</v>
      </c>
      <c r="I11" s="241">
        <f>Raw!CA11</f>
        <v>7.020588235</v>
      </c>
      <c r="J11" s="241">
        <f>if(Raw!CS11&gt;0,Raw!CS11,"None")</f>
        <v>3.2</v>
      </c>
      <c r="K11" s="368">
        <f>Raw!CW11</f>
        <v>0.2935779817</v>
      </c>
      <c r="L11" s="369">
        <f>if(Raw!CX11&gt;0,Raw!CX11,"None")</f>
        <v>0.4489181252</v>
      </c>
      <c r="M11" s="264"/>
      <c r="N11" s="264"/>
      <c r="O11" s="264"/>
      <c r="P11" s="264"/>
      <c r="Q11" s="264"/>
      <c r="R11" s="264"/>
      <c r="S11" s="264"/>
      <c r="T11" s="264"/>
      <c r="U11" s="264"/>
    </row>
    <row r="12">
      <c r="A12" s="238" t="str">
        <f>Raw!A12</f>
        <v>11 / D6</v>
      </c>
      <c r="B12" s="240">
        <f>Raw!E12</f>
        <v>38596</v>
      </c>
      <c r="C12" s="239" t="str">
        <f>Display_All!AE12</f>
        <v>Stelco Taconite S</v>
      </c>
      <c r="D12" s="239" t="str">
        <f>Display_All!AF12</f>
        <v>13.3</v>
      </c>
      <c r="E12" s="368">
        <f>Raw!BI12</f>
        <v>0.5359585417</v>
      </c>
      <c r="F12" s="239" t="str">
        <f>Raw!BJ12</f>
        <v>roasted</v>
      </c>
      <c r="G12" s="239" t="str">
        <f>Raw!BM12</f>
        <v/>
      </c>
      <c r="H12" s="239" t="str">
        <f>Raw!BO12</f>
        <v>1 to 5</v>
      </c>
      <c r="I12" s="241">
        <f>Raw!CA12</f>
        <v>10.52857143</v>
      </c>
      <c r="J12" s="241">
        <f>if(Raw!CS12&gt;0,Raw!CS12,"None")</f>
        <v>2.3</v>
      </c>
      <c r="K12" s="368">
        <f>Raw!CW12</f>
        <v>0.1729323308</v>
      </c>
      <c r="L12" s="369">
        <f>if(Raw!CX12&gt;0,Raw!CX12,"None")</f>
        <v>0.3226599025</v>
      </c>
      <c r="M12" s="264"/>
      <c r="N12" s="264"/>
      <c r="O12" s="264"/>
      <c r="P12" s="264"/>
      <c r="Q12" s="264"/>
      <c r="R12" s="264"/>
      <c r="S12" s="264"/>
      <c r="T12" s="264"/>
      <c r="U12" s="264"/>
    </row>
    <row r="13">
      <c r="A13" s="238">
        <f>Raw!A13</f>
        <v>12</v>
      </c>
      <c r="B13" s="240">
        <f>Raw!E13</f>
        <v>38626</v>
      </c>
      <c r="C13" s="239" t="str">
        <f>Display_All!AE13</f>
        <v>Guy's Run Goethite</v>
      </c>
      <c r="D13" s="239" t="str">
        <f>Display_All!AF13</f>
        <v>15.9</v>
      </c>
      <c r="E13" s="368">
        <f>Raw!BI13</f>
        <v>0.58</v>
      </c>
      <c r="F13" s="239" t="str">
        <f>Raw!BJ13</f>
        <v>roasted</v>
      </c>
      <c r="G13" s="239" t="str">
        <f>Raw!BM13</f>
        <v/>
      </c>
      <c r="H13" s="239" t="str">
        <f>Raw!BO13</f>
        <v>1 to 5</v>
      </c>
      <c r="I13" s="241">
        <f>Raw!CA13</f>
        <v>6.801834862</v>
      </c>
      <c r="J13" s="241">
        <f>if(Raw!CS13&gt;0,Raw!CS13,"None")</f>
        <v>3.4</v>
      </c>
      <c r="K13" s="368">
        <f>Raw!CW13</f>
        <v>0.213836478</v>
      </c>
      <c r="L13" s="369">
        <f>if(Raw!CX13&gt;0,Raw!CX13,"None")</f>
        <v>0.3686835827</v>
      </c>
      <c r="M13" s="264"/>
      <c r="N13" s="264"/>
      <c r="O13" s="264"/>
      <c r="P13" s="264"/>
      <c r="Q13" s="264"/>
      <c r="R13" s="264"/>
      <c r="S13" s="264"/>
      <c r="T13" s="264"/>
      <c r="U13" s="264"/>
    </row>
    <row r="14">
      <c r="A14" s="238" t="str">
        <f>Raw!A14</f>
        <v>13 / D7</v>
      </c>
      <c r="B14" s="240">
        <f>Raw!E14</f>
        <v>38668</v>
      </c>
      <c r="C14" s="239" t="str">
        <f>Display_All!AE14</f>
        <v>Stelco Taconite/Guy's Run Goethite/Gromps</v>
      </c>
      <c r="D14" s="239" t="str">
        <f>Display_All!AF14</f>
        <v>10.5/9.3/1.1</v>
      </c>
      <c r="E14" s="368" t="str">
        <f>Raw!BI14</f>
        <v>?</v>
      </c>
      <c r="F14" s="239" t="str">
        <f>Raw!BJ14</f>
        <v>roasted</v>
      </c>
      <c r="G14" s="239" t="str">
        <f>Raw!BM14</f>
        <v/>
      </c>
      <c r="H14" s="239" t="str">
        <f>Raw!BO14</f>
        <v>1 to 5</v>
      </c>
      <c r="I14" s="241">
        <f>Raw!CA14</f>
        <v>3.383448276</v>
      </c>
      <c r="J14" s="241">
        <f>if(Raw!CS14&gt;0,Raw!CS14,"None")</f>
        <v>4.3</v>
      </c>
      <c r="K14" s="368">
        <f>Raw!CW14</f>
        <v>0.2057416268</v>
      </c>
      <c r="L14" s="369" t="str">
        <f>if(Raw!CX14&gt;0,Raw!CX14,"None")</f>
        <v>?</v>
      </c>
      <c r="M14" s="264"/>
      <c r="N14" s="264"/>
      <c r="O14" s="264"/>
      <c r="P14" s="264"/>
      <c r="Q14" s="264"/>
      <c r="R14" s="264"/>
      <c r="S14" s="264"/>
      <c r="T14" s="264"/>
      <c r="U14" s="264"/>
    </row>
    <row r="15">
      <c r="A15" s="238">
        <f>Raw!A15</f>
        <v>14</v>
      </c>
      <c r="B15" s="240">
        <f>Raw!E15</f>
        <v>38766</v>
      </c>
      <c r="C15" s="239" t="str">
        <f>Display_All!AE15</f>
        <v>Michigan Taconite/Gromps</v>
      </c>
      <c r="D15" s="239" t="str">
        <f>Display_All!AF15</f>
        <v>30/1.4</v>
      </c>
      <c r="E15" s="368">
        <f>Raw!BI15</f>
        <v>0.65</v>
      </c>
      <c r="F15" s="239" t="str">
        <f>Raw!BJ15</f>
        <v>roasted</v>
      </c>
      <c r="G15" s="239" t="str">
        <f>Raw!BM15</f>
        <v/>
      </c>
      <c r="H15" s="239" t="str">
        <f>Raw!BO15</f>
        <v>1 to 5</v>
      </c>
      <c r="I15" s="241">
        <f>Raw!CA15</f>
        <v>3.912432432</v>
      </c>
      <c r="J15" s="241">
        <f>if(Raw!CS15&gt;0,Raw!CS15,"None")</f>
        <v>13.5</v>
      </c>
      <c r="K15" s="368">
        <f>Raw!CW15</f>
        <v>0.4299363057</v>
      </c>
      <c r="L15" s="369">
        <f>if(Raw!CX15&gt;0,Raw!CX15,"None")</f>
        <v>0.6923076923</v>
      </c>
      <c r="M15" s="264"/>
      <c r="N15" s="264"/>
      <c r="O15" s="264"/>
      <c r="P15" s="264"/>
      <c r="Q15" s="264"/>
      <c r="R15" s="264"/>
      <c r="S15" s="264"/>
      <c r="T15" s="264"/>
      <c r="U15" s="264"/>
    </row>
    <row r="16">
      <c r="A16" s="238">
        <f>Raw!A16</f>
        <v>15</v>
      </c>
      <c r="B16" s="240">
        <f>Raw!E16</f>
        <v>38784</v>
      </c>
      <c r="C16" s="239" t="str">
        <f>Display_All!AE16</f>
        <v>Opta Hematite</v>
      </c>
      <c r="D16" s="239" t="str">
        <f>Display_All!AF16</f>
        <v>45.5</v>
      </c>
      <c r="E16" s="368">
        <f>Raw!BI16</f>
        <v>0.6867011216</v>
      </c>
      <c r="F16" s="239" t="str">
        <f>Raw!BJ16</f>
        <v>raw</v>
      </c>
      <c r="G16" s="239" t="str">
        <f>Raw!BM16</f>
        <v/>
      </c>
      <c r="H16" s="239">
        <f>Raw!BO16</f>
        <v>1</v>
      </c>
      <c r="I16" s="241">
        <f>Raw!CA16</f>
        <v>2.928275862</v>
      </c>
      <c r="J16" s="241">
        <f>if(Raw!CS16&gt;0,Raw!CS16,"None")</f>
        <v>21.8</v>
      </c>
      <c r="K16" s="368">
        <f>Raw!CW16</f>
        <v>0.4791208791</v>
      </c>
      <c r="L16" s="369">
        <f>if(Raw!CX16&gt;0,Raw!CX16,"None")</f>
        <v>0.6977138439</v>
      </c>
      <c r="M16" s="264"/>
      <c r="N16" s="264"/>
      <c r="O16" s="264"/>
      <c r="P16" s="264"/>
      <c r="Q16" s="264"/>
      <c r="R16" s="264"/>
      <c r="S16" s="264"/>
      <c r="T16" s="264"/>
      <c r="U16" s="264"/>
    </row>
    <row r="17">
      <c r="A17" s="238">
        <f>Raw!A17</f>
        <v>16</v>
      </c>
      <c r="B17" s="240">
        <f>Raw!E17</f>
        <v>38786</v>
      </c>
      <c r="C17" s="239" t="str">
        <f>Display_All!AE17</f>
        <v>Opta Hematite</v>
      </c>
      <c r="D17" s="239" t="str">
        <f>Display_All!AF17</f>
        <v>45.5</v>
      </c>
      <c r="E17" s="368">
        <f>Raw!BI17</f>
        <v>0.6867011216</v>
      </c>
      <c r="F17" s="239" t="str">
        <f>Raw!BJ17</f>
        <v>raw</v>
      </c>
      <c r="G17" s="239" t="str">
        <f>Raw!BM17</f>
        <v/>
      </c>
      <c r="H17" s="239">
        <f>Raw!BO17</f>
        <v>1</v>
      </c>
      <c r="I17" s="241">
        <f>Raw!CA17</f>
        <v>3.186206897</v>
      </c>
      <c r="J17" s="241">
        <f>if(Raw!CS17&gt;0,Raw!CS17,"None")</f>
        <v>20</v>
      </c>
      <c r="K17" s="368">
        <f>Raw!CW17</f>
        <v>0.4395604396</v>
      </c>
      <c r="L17" s="369">
        <f>if(Raw!CX17&gt;0,Raw!CX17,"None")</f>
        <v>0.6401044439</v>
      </c>
      <c r="M17" s="264"/>
      <c r="N17" s="264"/>
      <c r="O17" s="264"/>
      <c r="P17" s="264"/>
      <c r="Q17" s="264"/>
      <c r="R17" s="264"/>
      <c r="S17" s="264"/>
      <c r="T17" s="264"/>
      <c r="U17" s="264"/>
    </row>
    <row r="18">
      <c r="A18" s="238" t="str">
        <f>Raw!A18</f>
        <v>17 / D8</v>
      </c>
      <c r="B18" s="240">
        <f>Raw!E18</f>
        <v>38878</v>
      </c>
      <c r="C18" s="239" t="str">
        <f>Display_All!AE18</f>
        <v>Bratton's Run Goethite/Gromps</v>
      </c>
      <c r="D18" s="239" t="str">
        <f>Display_All!AF18</f>
        <v>18/1.7</v>
      </c>
      <c r="E18" s="368">
        <f>Raw!BI18</f>
        <v>0.454</v>
      </c>
      <c r="F18" s="239" t="str">
        <f>Raw!BJ18</f>
        <v>roasted</v>
      </c>
      <c r="G18" s="239" t="str">
        <f>Raw!BM18</f>
        <v/>
      </c>
      <c r="H18" s="239" t="str">
        <f>Raw!BO18</f>
        <v>1 to 5</v>
      </c>
      <c r="I18" s="241">
        <f>Raw!CA18</f>
        <v>4.989285714</v>
      </c>
      <c r="J18" s="241">
        <f>if(Raw!CS18&gt;0,Raw!CS18,"None")</f>
        <v>2.8</v>
      </c>
      <c r="K18" s="368">
        <f>Raw!CW18</f>
        <v>0.1421319797</v>
      </c>
      <c r="L18" s="369">
        <f>if(Raw!CX18&gt;0,Raw!CX18,"None")</f>
        <v>0.3426333823</v>
      </c>
      <c r="M18" s="264"/>
      <c r="N18" s="264"/>
      <c r="O18" s="264"/>
      <c r="P18" s="264"/>
      <c r="Q18" s="264"/>
      <c r="R18" s="264"/>
      <c r="S18" s="264"/>
      <c r="T18" s="264"/>
      <c r="U18" s="264"/>
    </row>
    <row r="19">
      <c r="A19" s="238" t="str">
        <f>Raw!A19</f>
        <v>18 / D9</v>
      </c>
      <c r="B19" s="240">
        <f>Raw!E19</f>
        <v>38962</v>
      </c>
      <c r="C19" s="239" t="str">
        <f>Display_All!AE19</f>
        <v>Guy's Run Goethite</v>
      </c>
      <c r="D19" s="239" t="str">
        <f>Display_All!AF19</f>
        <v>10.5</v>
      </c>
      <c r="E19" s="368">
        <f>Raw!BI19</f>
        <v>0.58</v>
      </c>
      <c r="F19" s="239" t="str">
        <f>Raw!BJ19</f>
        <v>roasted</v>
      </c>
      <c r="G19" s="239" t="str">
        <f>Raw!BM19</f>
        <v/>
      </c>
      <c r="H19" s="239" t="str">
        <f>Raw!BO19</f>
        <v>1 to 5</v>
      </c>
      <c r="I19" s="241">
        <f>Raw!CA19</f>
        <v>9.498823529</v>
      </c>
      <c r="J19" s="241">
        <f>if(Raw!CS19&gt;0,Raw!CS19,"None")</f>
        <v>1.5</v>
      </c>
      <c r="K19" s="368">
        <f>Raw!CW19</f>
        <v>0.1428571429</v>
      </c>
      <c r="L19" s="369">
        <f>if(Raw!CX19&gt;0,Raw!CX19,"None")</f>
        <v>0.2463054187</v>
      </c>
      <c r="M19" s="264"/>
      <c r="N19" s="264"/>
      <c r="O19" s="264"/>
      <c r="P19" s="264"/>
      <c r="Q19" s="264"/>
      <c r="R19" s="264"/>
      <c r="S19" s="264"/>
      <c r="T19" s="264"/>
      <c r="U19" s="264"/>
    </row>
    <row r="20">
      <c r="A20" s="238">
        <f>Raw!A20</f>
        <v>19</v>
      </c>
      <c r="B20" s="240">
        <f>Raw!E20</f>
        <v>38997</v>
      </c>
      <c r="C20" s="239" t="str">
        <f>Display_All!AE20</f>
        <v>Minden Red Ochre</v>
      </c>
      <c r="D20" s="239" t="str">
        <f>Display_All!AF20</f>
        <v>8.8</v>
      </c>
      <c r="E20" s="368">
        <f>Raw!BI20</f>
        <v>0.4257435045</v>
      </c>
      <c r="F20" s="239" t="str">
        <f>Raw!BJ20</f>
        <v/>
      </c>
      <c r="G20" s="239" t="str">
        <f>Raw!BM20</f>
        <v/>
      </c>
      <c r="H20" s="239" t="str">
        <f>Raw!BO20</f>
        <v>small to dust</v>
      </c>
      <c r="I20" s="241">
        <f>Raw!CA20</f>
        <v>7.04</v>
      </c>
      <c r="J20" s="241">
        <f>if(Raw!CS20&gt;0,Raw!CS20,"None")</f>
        <v>0.7</v>
      </c>
      <c r="K20" s="368">
        <f>Raw!CW20</f>
        <v>0.07954545455</v>
      </c>
      <c r="L20" s="369">
        <f>if(Raw!CX20&gt;0,Raw!CX20,"None")</f>
        <v>0.1868389152</v>
      </c>
      <c r="M20" s="264"/>
      <c r="N20" s="264"/>
      <c r="O20" s="264"/>
      <c r="P20" s="264"/>
      <c r="Q20" s="264"/>
      <c r="R20" s="264"/>
      <c r="S20" s="264"/>
      <c r="T20" s="264"/>
      <c r="U20" s="264"/>
    </row>
    <row r="21">
      <c r="A21" s="238">
        <f>Raw!A21</f>
        <v>20</v>
      </c>
      <c r="B21" s="240">
        <f>Raw!E21</f>
        <v>38999</v>
      </c>
      <c r="C21" s="239" t="str">
        <f>Display_All!AE21</f>
        <v>Guy's Run Goethite</v>
      </c>
      <c r="D21" s="239" t="str">
        <f>Display_All!AF21</f>
        <v>45.5</v>
      </c>
      <c r="E21" s="368">
        <f>Raw!BI21</f>
        <v>0.58</v>
      </c>
      <c r="F21" s="239" t="str">
        <f>Raw!BJ21</f>
        <v>roasted</v>
      </c>
      <c r="G21" s="239" t="str">
        <f>Raw!BM21</f>
        <v/>
      </c>
      <c r="H21" s="239" t="str">
        <f>Raw!BO21</f>
        <v>1 to 5</v>
      </c>
      <c r="I21" s="241">
        <f>Raw!CA21</f>
        <v>4.9</v>
      </c>
      <c r="J21" s="241" t="str">
        <f>if(Raw!CS21&gt;0,Raw!CS21,"None")</f>
        <v>NR</v>
      </c>
      <c r="K21" s="368" t="str">
        <f>Raw!CW21</f>
        <v>NR</v>
      </c>
      <c r="L21" s="369" t="str">
        <f>if(Raw!CX21&gt;0,Raw!CX21,"None")</f>
        <v>NR</v>
      </c>
      <c r="M21" s="264"/>
      <c r="N21" s="264"/>
      <c r="O21" s="264"/>
      <c r="P21" s="264"/>
      <c r="Q21" s="264"/>
      <c r="R21" s="264"/>
      <c r="S21" s="264"/>
      <c r="T21" s="264"/>
      <c r="U21" s="264"/>
    </row>
    <row r="22">
      <c r="A22" s="238" t="str">
        <f>Raw!A22</f>
        <v>21 / D10</v>
      </c>
      <c r="B22" s="240">
        <f>Raw!E22</f>
        <v>39026</v>
      </c>
      <c r="C22" s="239" t="str">
        <f>Display_All!AE22</f>
        <v>Guy's Run Goethite</v>
      </c>
      <c r="D22" s="239" t="str">
        <f>Display_All!AF22</f>
        <v>23.5</v>
      </c>
      <c r="E22" s="368">
        <f>Raw!BI22</f>
        <v>0.58</v>
      </c>
      <c r="F22" s="239" t="str">
        <f>Raw!BJ22</f>
        <v>roasted</v>
      </c>
      <c r="G22" s="239" t="str">
        <f>Raw!BM22</f>
        <v/>
      </c>
      <c r="H22" s="239" t="str">
        <f>Raw!BO22</f>
        <v>1 to 5</v>
      </c>
      <c r="I22" s="241">
        <f>Raw!CA22</f>
        <v>6.363636364</v>
      </c>
      <c r="J22" s="239" t="str">
        <f>if(Raw!CS22&gt;0,Raw!CS22,"None")</f>
        <v>None</v>
      </c>
      <c r="K22" s="368" t="str">
        <f>Raw!CW22</f>
        <v>na</v>
      </c>
      <c r="L22" s="369" t="str">
        <f>if(Raw!CX22&gt;0,Raw!CX22,"None")</f>
        <v>na</v>
      </c>
      <c r="M22" s="264"/>
      <c r="N22" s="264"/>
      <c r="O22" s="264"/>
      <c r="P22" s="264"/>
      <c r="Q22" s="264"/>
      <c r="R22" s="264"/>
      <c r="S22" s="264"/>
      <c r="T22" s="264"/>
      <c r="U22" s="264"/>
    </row>
    <row r="23">
      <c r="A23" s="238">
        <f>Raw!A23</f>
        <v>22</v>
      </c>
      <c r="B23" s="240">
        <f>Raw!E23</f>
        <v>39027</v>
      </c>
      <c r="C23" s="239" t="str">
        <f>Display_All!AE23</f>
        <v>Bratton's Run Goethite/Gromps</v>
      </c>
      <c r="D23" s="239" t="str">
        <f>Display_All!AF23</f>
        <v>8.9/10.2</v>
      </c>
      <c r="E23" s="368" t="str">
        <f>Raw!BI23</f>
        <v>?</v>
      </c>
      <c r="F23" s="239" t="str">
        <f>Raw!BJ23</f>
        <v>roasted</v>
      </c>
      <c r="G23" s="239" t="str">
        <f>Raw!BM23</f>
        <v/>
      </c>
      <c r="H23" s="239" t="str">
        <f>Raw!BO23</f>
        <v>1 to 5 / walnut</v>
      </c>
      <c r="I23" s="241">
        <f>Raw!CA23</f>
        <v>3.618421053</v>
      </c>
      <c r="J23" s="241">
        <f>if(Raw!CS23&gt;0,Raw!CS23,"None")</f>
        <v>6.8</v>
      </c>
      <c r="K23" s="368">
        <f>Raw!CW23</f>
        <v>0.3560209424</v>
      </c>
      <c r="L23" s="369" t="str">
        <f>if(Raw!CX23&gt;0,Raw!CX23,"None")</f>
        <v>?</v>
      </c>
      <c r="M23" s="264"/>
      <c r="N23" s="264"/>
      <c r="O23" s="264"/>
      <c r="P23" s="264"/>
      <c r="Q23" s="264"/>
      <c r="R23" s="264"/>
      <c r="S23" s="264"/>
      <c r="T23" s="264"/>
      <c r="U23" s="264"/>
    </row>
    <row r="24">
      <c r="A24" s="238">
        <f>Raw!A24</f>
        <v>23</v>
      </c>
      <c r="B24" s="240">
        <f>Raw!E24</f>
        <v>39235</v>
      </c>
      <c r="C24" s="239" t="str">
        <f>Display_All!AE24</f>
        <v>Opta Hematite</v>
      </c>
      <c r="D24" s="239" t="str">
        <f>Display_All!AF24</f>
        <v>22.3</v>
      </c>
      <c r="E24" s="368">
        <f>Raw!BI24</f>
        <v>0.6867011216</v>
      </c>
      <c r="F24" s="239" t="str">
        <f>Raw!BJ24</f>
        <v>raw</v>
      </c>
      <c r="G24" s="239" t="str">
        <f>Raw!BM24</f>
        <v/>
      </c>
      <c r="H24" s="239">
        <f>Raw!BO24</f>
        <v>1</v>
      </c>
      <c r="I24" s="241">
        <f>Raw!CA24</f>
        <v>4.447826087</v>
      </c>
      <c r="J24" s="241">
        <f>if(Raw!CS24&gt;0,Raw!CS24,"None")</f>
        <v>12.7</v>
      </c>
      <c r="K24" s="368">
        <f>Raw!CW24</f>
        <v>0.5695067265</v>
      </c>
      <c r="L24" s="369">
        <f>if(Raw!CX24&gt;0,Raw!CX24,"None")</f>
        <v>0.8293371142</v>
      </c>
      <c r="M24" s="264"/>
      <c r="N24" s="264"/>
      <c r="O24" s="264"/>
      <c r="P24" s="264"/>
      <c r="Q24" s="264"/>
      <c r="R24" s="264"/>
      <c r="S24" s="264"/>
      <c r="T24" s="264"/>
      <c r="U24" s="264"/>
    </row>
    <row r="25">
      <c r="A25" s="238" t="str">
        <f>Raw!A25</f>
        <v>24 / D11</v>
      </c>
      <c r="B25" s="240">
        <f>Raw!E25</f>
        <v>39242</v>
      </c>
      <c r="C25" s="239" t="str">
        <f>Display_All!AE25</f>
        <v>Bratton's Run Goethite</v>
      </c>
      <c r="D25" s="239" t="str">
        <f>Display_All!AF25</f>
        <v>20</v>
      </c>
      <c r="E25" s="368">
        <f>Raw!BI25</f>
        <v>0.4535109057</v>
      </c>
      <c r="F25" s="239" t="str">
        <f>Raw!BJ25</f>
        <v>roasted</v>
      </c>
      <c r="G25" s="239" t="str">
        <f>Raw!BM25</f>
        <v/>
      </c>
      <c r="H25" s="239" t="str">
        <f>Raw!BO25</f>
        <v>1 to 5</v>
      </c>
      <c r="I25" s="241">
        <f>Raw!CA25</f>
        <v>5.247916667</v>
      </c>
      <c r="J25" s="241">
        <f>if(Raw!CS25&gt;0,Raw!CS25,"None")</f>
        <v>0.9</v>
      </c>
      <c r="K25" s="368">
        <f>Raw!CW25</f>
        <v>0.045</v>
      </c>
      <c r="L25" s="369">
        <f>if(Raw!CX25&gt;0,Raw!CX25,"None")</f>
        <v>0.09922583875</v>
      </c>
      <c r="M25" s="264"/>
      <c r="N25" s="264"/>
      <c r="O25" s="264"/>
      <c r="P25" s="264"/>
      <c r="Q25" s="264"/>
      <c r="R25" s="264"/>
      <c r="S25" s="264"/>
      <c r="T25" s="264"/>
      <c r="U25" s="264"/>
    </row>
    <row r="26">
      <c r="A26" s="238" t="str">
        <f>Raw!A26</f>
        <v>25 / D12</v>
      </c>
      <c r="B26" s="240">
        <f>Raw!E26</f>
        <v>39242</v>
      </c>
      <c r="C26" s="239" t="str">
        <f>Display_All!AE26</f>
        <v>Bratton's Run Goethite/Opta Hematite/Gromps</v>
      </c>
      <c r="D26" s="239" t="str">
        <f>Display_All!AF26</f>
        <v>12/11.9/NR</v>
      </c>
      <c r="E26" s="368">
        <f>Raw!BI26</f>
        <v>0.57</v>
      </c>
      <c r="F26" s="239" t="str">
        <f>Raw!BJ26</f>
        <v>roasted</v>
      </c>
      <c r="G26" s="239" t="str">
        <f>Raw!BM26</f>
        <v/>
      </c>
      <c r="H26" s="239" t="str">
        <f>Raw!BO26</f>
        <v>1 to 5 / 1</v>
      </c>
      <c r="I26" s="241">
        <f>Raw!CA26</f>
        <v>4.308333333</v>
      </c>
      <c r="J26" s="241">
        <f>if(Raw!CS26&gt;0,Raw!CS26,"None")</f>
        <v>3.1</v>
      </c>
      <c r="K26" s="368" t="str">
        <f>Raw!CW26</f>
        <v>NR</v>
      </c>
      <c r="L26" s="369">
        <f>if(Raw!CX26&gt;0,Raw!CX26,"None")</f>
        <v>0.2275563385</v>
      </c>
      <c r="M26" s="264"/>
      <c r="N26" s="264"/>
      <c r="O26" s="264"/>
      <c r="P26" s="264"/>
      <c r="Q26" s="264"/>
      <c r="R26" s="264"/>
      <c r="S26" s="264"/>
      <c r="T26" s="264"/>
      <c r="U26" s="264"/>
    </row>
    <row r="27">
      <c r="A27" s="238">
        <f>Raw!A27</f>
        <v>26</v>
      </c>
      <c r="B27" s="240">
        <f>Raw!E27</f>
        <v>39362</v>
      </c>
      <c r="C27" s="239" t="str">
        <f>Display_All!AE27</f>
        <v>Opta Hematite</v>
      </c>
      <c r="D27" s="239" t="str">
        <f>Display_All!AF27</f>
        <v>12.3</v>
      </c>
      <c r="E27" s="368">
        <f>Raw!BI27</f>
        <v>0.6867011216</v>
      </c>
      <c r="F27" s="239" t="str">
        <f>Raw!BJ27</f>
        <v>roasted</v>
      </c>
      <c r="G27" s="239" t="str">
        <f>Raw!BM27</f>
        <v/>
      </c>
      <c r="H27" s="239" t="str">
        <f>Raw!BO27</f>
        <v>1 to 2.5</v>
      </c>
      <c r="I27" s="241">
        <f>Raw!CA27</f>
        <v>3.85665529</v>
      </c>
      <c r="J27" s="241">
        <f>if(Raw!CS27&gt;0,Raw!CS27,"None")</f>
        <v>6</v>
      </c>
      <c r="K27" s="368">
        <f>Raw!CW27</f>
        <v>0.487804878</v>
      </c>
      <c r="L27" s="369">
        <f>if(Raw!CX27&gt;0,Raw!CX27,"None")</f>
        <v>0.7103598097</v>
      </c>
      <c r="M27" s="264"/>
      <c r="N27" s="264"/>
      <c r="O27" s="264"/>
      <c r="P27" s="264"/>
      <c r="Q27" s="264"/>
      <c r="R27" s="264"/>
      <c r="S27" s="264"/>
      <c r="T27" s="264"/>
      <c r="U27" s="264"/>
    </row>
    <row r="28">
      <c r="A28" s="238" t="str">
        <f>Raw!A28</f>
        <v>27 / D13</v>
      </c>
      <c r="B28" s="240">
        <f>Raw!E28</f>
        <v>39382</v>
      </c>
      <c r="C28" s="239" t="str">
        <f>Display_All!AE28</f>
        <v>Opta Hematite/Bratton's Run Goethite</v>
      </c>
      <c r="D28" s="239" t="str">
        <f>Display_All!AF28</f>
        <v>10/2.3</v>
      </c>
      <c r="E28" s="368">
        <f>Raw!BI28</f>
        <v>0.6430964471</v>
      </c>
      <c r="F28" s="239" t="str">
        <f>Raw!BJ28</f>
        <v>raw</v>
      </c>
      <c r="G28" s="239" t="str">
        <f>Raw!BM28</f>
        <v/>
      </c>
      <c r="H28" s="239">
        <f>Raw!BO28</f>
        <v>1</v>
      </c>
      <c r="I28" s="241">
        <f>Raw!CA28</f>
        <v>13.16056911</v>
      </c>
      <c r="J28" s="241">
        <f>if(Raw!CS28&gt;0,Raw!CS28,"None")</f>
        <v>2</v>
      </c>
      <c r="K28" s="368">
        <f>Raw!CW28</f>
        <v>0.162601626</v>
      </c>
      <c r="L28" s="369">
        <f>if(Raw!CX28&gt;0,Raw!CX28,"None")</f>
        <v>0.2528417421</v>
      </c>
      <c r="M28" s="264"/>
      <c r="N28" s="264"/>
      <c r="O28" s="264"/>
      <c r="P28" s="264"/>
      <c r="Q28" s="264"/>
      <c r="R28" s="264"/>
      <c r="S28" s="264"/>
      <c r="T28" s="264"/>
      <c r="U28" s="264"/>
    </row>
    <row r="29">
      <c r="A29" s="238">
        <f>Raw!A29</f>
        <v>28</v>
      </c>
      <c r="B29" s="240">
        <f>Raw!E29</f>
        <v>39411</v>
      </c>
      <c r="C29" s="239" t="str">
        <f>Display_All!AE29</f>
        <v>Stelco Taconite/Bratton's Run Goethite</v>
      </c>
      <c r="D29" s="239" t="str">
        <f>Display_All!AF29</f>
        <v>16.2/1.8</v>
      </c>
      <c r="E29" s="368">
        <f>Raw!BI29</f>
        <v>0.6339220763</v>
      </c>
      <c r="F29" s="239" t="str">
        <f>Raw!BJ29</f>
        <v>roasted</v>
      </c>
      <c r="G29" s="239" t="str">
        <f>Raw!BM29</f>
        <v/>
      </c>
      <c r="H29" s="239" t="str">
        <f>Raw!BO29</f>
        <v>1 to 5</v>
      </c>
      <c r="I29" s="241">
        <f>Raw!CA29</f>
        <v>4.179166667</v>
      </c>
      <c r="J29" s="241">
        <f>if(Raw!CS29&gt;0,Raw!CS29,"None")</f>
        <v>5.5</v>
      </c>
      <c r="K29" s="368">
        <f>Raw!CW29</f>
        <v>0.3055555556</v>
      </c>
      <c r="L29" s="369">
        <f>if(Raw!CX29&gt;0,Raw!CX29,"None")</f>
        <v>0.4820080685</v>
      </c>
      <c r="M29" s="264"/>
      <c r="N29" s="264"/>
      <c r="O29" s="264"/>
      <c r="P29" s="264"/>
      <c r="Q29" s="264"/>
      <c r="R29" s="264"/>
      <c r="S29" s="264"/>
      <c r="T29" s="264"/>
      <c r="U29" s="264"/>
    </row>
    <row r="30">
      <c r="A30" s="238">
        <f>Raw!A30</f>
        <v>29</v>
      </c>
      <c r="B30" s="240">
        <f>Raw!E30</f>
        <v>39520</v>
      </c>
      <c r="C30" s="239" t="str">
        <f>Display_All!AE30</f>
        <v>Guy's Run Goethite</v>
      </c>
      <c r="D30" s="239" t="str">
        <f>Display_All!AF30</f>
        <v>23</v>
      </c>
      <c r="E30" s="368">
        <f>Raw!BI30</f>
        <v>0.58</v>
      </c>
      <c r="F30" s="239" t="str">
        <f>Raw!BJ30</f>
        <v>roasted</v>
      </c>
      <c r="G30" s="239" t="str">
        <f>Raw!BM30</f>
        <v/>
      </c>
      <c r="H30" s="239" t="str">
        <f>Raw!BO30</f>
        <v>1 to 5</v>
      </c>
      <c r="I30" s="241">
        <f>Raw!CA30</f>
        <v>7.486868687</v>
      </c>
      <c r="J30" s="241">
        <f>if(Raw!CS30&gt;0,Raw!CS30,"None")</f>
        <v>5.5</v>
      </c>
      <c r="K30" s="368">
        <f>Raw!CW30</f>
        <v>0.2391304348</v>
      </c>
      <c r="L30" s="369">
        <f>if(Raw!CX30&gt;0,Raw!CX30,"None")</f>
        <v>0.4122938531</v>
      </c>
      <c r="M30" s="264"/>
      <c r="N30" s="264"/>
      <c r="O30" s="264"/>
      <c r="P30" s="264"/>
      <c r="Q30" s="264"/>
      <c r="R30" s="264"/>
      <c r="S30" s="264"/>
      <c r="T30" s="264"/>
      <c r="U30" s="264"/>
    </row>
    <row r="31">
      <c r="A31" s="238">
        <f>Raw!A31</f>
        <v>30</v>
      </c>
      <c r="B31" s="240">
        <f>Raw!E31</f>
        <v>39523</v>
      </c>
      <c r="C31" s="239" t="str">
        <f>Display_All!AE31</f>
        <v>DD1S</v>
      </c>
      <c r="D31" s="239" t="str">
        <f>Display_All!AF31</f>
        <v>30.2</v>
      </c>
      <c r="E31" s="368">
        <f>Raw!BI31</f>
        <v>0.4984213344</v>
      </c>
      <c r="F31" s="239" t="str">
        <f>Raw!BJ31</f>
        <v/>
      </c>
      <c r="G31" s="239" t="str">
        <f>Raw!BM31</f>
        <v/>
      </c>
      <c r="H31" s="239" t="str">
        <f>Raw!BO31</f>
        <v>all to 25</v>
      </c>
      <c r="I31" s="241">
        <f>Raw!CA31</f>
        <v>6.9</v>
      </c>
      <c r="J31" s="241">
        <f>if(Raw!CS31&gt;0,Raw!CS31,"None")</f>
        <v>1.7</v>
      </c>
      <c r="K31" s="368">
        <f>Raw!CW31</f>
        <v>0.05629139073</v>
      </c>
      <c r="L31" s="369">
        <f>if(Raw!CX31&gt;0,Raw!CX31,"None")</f>
        <v>0.1129393685</v>
      </c>
      <c r="M31" s="264"/>
      <c r="N31" s="264"/>
      <c r="O31" s="264"/>
      <c r="P31" s="264"/>
      <c r="Q31" s="264"/>
      <c r="R31" s="264"/>
      <c r="S31" s="264"/>
      <c r="T31" s="264"/>
      <c r="U31" s="264"/>
    </row>
    <row r="32">
      <c r="A32" s="238">
        <f>Raw!A32</f>
        <v>31</v>
      </c>
      <c r="B32" s="240">
        <f>Raw!E32</f>
        <v>39524</v>
      </c>
      <c r="C32" s="239" t="str">
        <f>Display_All!AE32</f>
        <v>Bratton's Run Goethite</v>
      </c>
      <c r="D32" s="239" t="str">
        <f>Display_All!AF32</f>
        <v>59.5</v>
      </c>
      <c r="E32" s="368">
        <f>Raw!BI32</f>
        <v>0.4535109057</v>
      </c>
      <c r="F32" s="239" t="str">
        <f>Raw!BJ32</f>
        <v>roasted</v>
      </c>
      <c r="G32" s="239" t="str">
        <f>Raw!BM32</f>
        <v/>
      </c>
      <c r="H32" s="239" t="str">
        <f>Raw!BO32</f>
        <v>1 to 5</v>
      </c>
      <c r="I32" s="241">
        <f>Raw!CA32</f>
        <v>6.015428571</v>
      </c>
      <c r="J32" s="241">
        <f>if(Raw!CS32&gt;0,Raw!CS32,"None")</f>
        <v>7.7</v>
      </c>
      <c r="K32" s="368">
        <f>Raw!CW32</f>
        <v>0.1294117647</v>
      </c>
      <c r="L32" s="369">
        <f>if(Raw!CX32&gt;0,Raw!CX32,"None")</f>
        <v>0.2853553533</v>
      </c>
      <c r="M32" s="264"/>
      <c r="N32" s="264"/>
      <c r="O32" s="264"/>
      <c r="P32" s="264"/>
      <c r="Q32" s="264"/>
      <c r="R32" s="264"/>
      <c r="S32" s="264"/>
      <c r="T32" s="264"/>
      <c r="U32" s="264"/>
    </row>
    <row r="33">
      <c r="A33" s="238" t="str">
        <f>Raw!A33</f>
        <v>32 / D14</v>
      </c>
      <c r="B33" s="240">
        <f>Raw!E33</f>
        <v>39551</v>
      </c>
      <c r="C33" s="239" t="str">
        <f>Display_All!AE33</f>
        <v>DD1S</v>
      </c>
      <c r="D33" s="239" t="str">
        <f>Display_All!AF33</f>
        <v>18</v>
      </c>
      <c r="E33" s="368">
        <f>Raw!BI33</f>
        <v>0.4984213344</v>
      </c>
      <c r="F33" s="239" t="str">
        <f>Raw!BJ33</f>
        <v/>
      </c>
      <c r="G33" s="239" t="str">
        <f>Raw!BM33</f>
        <v/>
      </c>
      <c r="H33" s="239" t="str">
        <f>Raw!BO33</f>
        <v>all to 25</v>
      </c>
      <c r="I33" s="241">
        <f>Raw!CA33</f>
        <v>7.05</v>
      </c>
      <c r="J33" s="241">
        <f>if(Raw!CS33&gt;0,Raw!CS33,"None")</f>
        <v>2</v>
      </c>
      <c r="K33" s="368">
        <f>Raw!CW33</f>
        <v>0.1111111111</v>
      </c>
      <c r="L33" s="369">
        <f>if(Raw!CX33&gt;0,Raw!CX33,"None")</f>
        <v>0.2229260737</v>
      </c>
      <c r="M33" s="264"/>
      <c r="N33" s="264"/>
      <c r="O33" s="264"/>
      <c r="P33" s="264"/>
      <c r="Q33" s="264"/>
      <c r="R33" s="264"/>
      <c r="S33" s="264"/>
      <c r="T33" s="264"/>
      <c r="U33" s="264"/>
    </row>
    <row r="34">
      <c r="A34" s="238">
        <f>Raw!A34</f>
        <v>33</v>
      </c>
      <c r="B34" s="240">
        <f>Raw!E34</f>
        <v>39568</v>
      </c>
      <c r="C34" s="239" t="str">
        <f>Display_All!AE34</f>
        <v>Guldager Bog Ore</v>
      </c>
      <c r="D34" s="239" t="str">
        <f>Display_All!AF34</f>
        <v>15</v>
      </c>
      <c r="E34" s="368">
        <f>Raw!BI34</f>
        <v>0.6415932177</v>
      </c>
      <c r="F34" s="239" t="str">
        <f>Raw!BJ34</f>
        <v/>
      </c>
      <c r="G34" s="239" t="str">
        <f>Raw!BM34</f>
        <v/>
      </c>
      <c r="H34" s="239" t="str">
        <f>Raw!BO34</f>
        <v>1 to 20</v>
      </c>
      <c r="I34" s="241">
        <f>Raw!CA34</f>
        <v>10.5</v>
      </c>
      <c r="J34" s="239" t="str">
        <f>if(Raw!CS34&gt;0,Raw!CS34,"None")</f>
        <v>None</v>
      </c>
      <c r="K34" s="368" t="str">
        <f>Raw!CW34</f>
        <v>na</v>
      </c>
      <c r="L34" s="369" t="str">
        <f>if(Raw!CX34&gt;0,Raw!CX34,"None")</f>
        <v>na</v>
      </c>
      <c r="M34" s="264"/>
      <c r="N34" s="264"/>
      <c r="O34" s="264"/>
      <c r="P34" s="264"/>
      <c r="Q34" s="264"/>
      <c r="R34" s="264"/>
      <c r="S34" s="264"/>
      <c r="T34" s="264"/>
      <c r="U34" s="264"/>
    </row>
    <row r="35">
      <c r="A35" s="238">
        <f>Raw!A35</f>
        <v>34</v>
      </c>
      <c r="B35" s="240">
        <f>Raw!E35</f>
        <v>39570</v>
      </c>
      <c r="C35" s="239" t="str">
        <f>Display_All!AE35</f>
        <v>Iron Rich Slag</v>
      </c>
      <c r="D35" s="239" t="str">
        <f>Display_All!AF35</f>
        <v>7.8</v>
      </c>
      <c r="E35" s="368" t="str">
        <f>Raw!BI35</f>
        <v>?</v>
      </c>
      <c r="F35" s="239" t="str">
        <f>Raw!BJ35</f>
        <v/>
      </c>
      <c r="G35" s="239" t="str">
        <f>Raw!BM35</f>
        <v/>
      </c>
      <c r="H35" s="239" t="str">
        <f>Raw!BO35</f>
        <v>1 to 5</v>
      </c>
      <c r="I35" s="241">
        <f>Raw!CA35</f>
        <v>7</v>
      </c>
      <c r="J35" s="239" t="str">
        <f>if(Raw!CS35&gt;0,Raw!CS35,"None")</f>
        <v>None</v>
      </c>
      <c r="K35" s="368" t="str">
        <f>Raw!CW35</f>
        <v>na</v>
      </c>
      <c r="L35" s="369" t="str">
        <f>if(Raw!CX35&gt;0,Raw!CX35,"None")</f>
        <v>?</v>
      </c>
      <c r="M35" s="264"/>
      <c r="N35" s="264"/>
      <c r="O35" s="264"/>
      <c r="P35" s="264"/>
      <c r="Q35" s="264"/>
      <c r="R35" s="264"/>
      <c r="S35" s="264"/>
      <c r="T35" s="264"/>
      <c r="U35" s="264"/>
    </row>
    <row r="36">
      <c r="A36" s="238">
        <f>Raw!A36</f>
        <v>35</v>
      </c>
      <c r="B36" s="240">
        <f>Raw!E36</f>
        <v>39572</v>
      </c>
      <c r="C36" s="239" t="str">
        <f>Display_All!AE36</f>
        <v>Heltborg Bog Ore/Swedish Bog Ore/Guldager Bog Ore</v>
      </c>
      <c r="D36" s="239" t="str">
        <f>Display_All!AF36</f>
        <v>8.2/5.2/1.8</v>
      </c>
      <c r="E36" s="368" t="str">
        <f>Raw!BI36</f>
        <v>?</v>
      </c>
      <c r="F36" s="239" t="str">
        <f>Raw!BJ36</f>
        <v/>
      </c>
      <c r="G36" s="239" t="str">
        <f>Raw!BM36</f>
        <v/>
      </c>
      <c r="H36" s="239" t="str">
        <f>Raw!BO36</f>
        <v>varies - fine</v>
      </c>
      <c r="I36" s="241">
        <f>Raw!CA36</f>
        <v>11.84615385</v>
      </c>
      <c r="J36" s="241">
        <f>if(Raw!CS36&gt;0,Raw!CS36,"None")</f>
        <v>1.8</v>
      </c>
      <c r="K36" s="368">
        <f>Raw!CW36</f>
        <v>0.1184210526</v>
      </c>
      <c r="L36" s="369" t="str">
        <f>if(Raw!CX36&gt;0,Raw!CX36,"None")</f>
        <v>?</v>
      </c>
      <c r="M36" s="264"/>
      <c r="N36" s="264"/>
      <c r="O36" s="264"/>
      <c r="P36" s="264"/>
      <c r="Q36" s="264"/>
      <c r="R36" s="264"/>
      <c r="S36" s="264"/>
      <c r="T36" s="264"/>
      <c r="U36" s="264"/>
    </row>
    <row r="37">
      <c r="A37" s="238" t="str">
        <f>Raw!A37</f>
        <v>36 / D15</v>
      </c>
      <c r="B37" s="240">
        <f>Raw!E37</f>
        <v>39613</v>
      </c>
      <c r="C37" s="239" t="str">
        <f>Display_All!AE37</f>
        <v>DD1S</v>
      </c>
      <c r="D37" s="239" t="str">
        <f>Display_All!AF37</f>
        <v>20</v>
      </c>
      <c r="E37" s="368">
        <f>Raw!BI37</f>
        <v>0.4984213344</v>
      </c>
      <c r="F37" s="239" t="str">
        <f>Raw!BJ37</f>
        <v>raw</v>
      </c>
      <c r="G37" s="239" t="str">
        <f>Raw!BM37</f>
        <v/>
      </c>
      <c r="H37" s="239" t="str">
        <f>Raw!BO37</f>
        <v>5 to 25</v>
      </c>
      <c r="I37" s="241">
        <f>Raw!CA37</f>
        <v>5.873015873</v>
      </c>
      <c r="J37" s="241">
        <f>if(Raw!CS37&gt;0,Raw!CS37,"None")</f>
        <v>1.9</v>
      </c>
      <c r="K37" s="368">
        <f>Raw!CW37</f>
        <v>0.095</v>
      </c>
      <c r="L37" s="369">
        <f>if(Raw!CX37&gt;0,Raw!CX37,"None")</f>
        <v>0.190601793</v>
      </c>
      <c r="M37" s="264"/>
      <c r="N37" s="264"/>
      <c r="O37" s="264"/>
      <c r="P37" s="264"/>
      <c r="Q37" s="264"/>
      <c r="R37" s="264"/>
      <c r="S37" s="264"/>
      <c r="T37" s="264"/>
      <c r="U37" s="264"/>
    </row>
    <row r="38">
      <c r="A38" s="238">
        <f>Raw!A38</f>
        <v>37</v>
      </c>
      <c r="B38" s="240">
        <f>Raw!E38</f>
        <v>39718</v>
      </c>
      <c r="C38" s="239" t="str">
        <f>Display_All!AE38</f>
        <v>Jamestown Goethite</v>
      </c>
      <c r="D38" s="239" t="str">
        <f>Display_All!AF38</f>
        <v>34.5</v>
      </c>
      <c r="E38" s="368">
        <f>Raw!BI38</f>
        <v>0.5198806365</v>
      </c>
      <c r="F38" s="239" t="str">
        <f>Raw!BJ38</f>
        <v>roasted</v>
      </c>
      <c r="G38" s="239" t="str">
        <f>Raw!BM38</f>
        <v/>
      </c>
      <c r="H38" s="239" t="str">
        <f>Raw!BO38</f>
        <v>1 to 5</v>
      </c>
      <c r="I38" s="241">
        <f>Raw!CA38</f>
        <v>5.637065637</v>
      </c>
      <c r="J38" s="241">
        <f>if(Raw!CS38&gt;0,Raw!CS38,"None")</f>
        <v>9.5</v>
      </c>
      <c r="K38" s="368">
        <f>Raw!CW38</f>
        <v>0.2737752161</v>
      </c>
      <c r="L38" s="369">
        <f>if(Raw!CX38&gt;0,Raw!CX38,"None")</f>
        <v>0.5266116815</v>
      </c>
      <c r="M38" s="264"/>
      <c r="N38" s="264"/>
      <c r="O38" s="264"/>
      <c r="P38" s="264"/>
      <c r="Q38" s="264"/>
      <c r="R38" s="264"/>
      <c r="S38" s="264"/>
      <c r="T38" s="264"/>
      <c r="U38" s="264"/>
    </row>
    <row r="39">
      <c r="A39" s="238" t="str">
        <f>Raw!A39</f>
        <v>38 / D16</v>
      </c>
      <c r="B39" s="240">
        <f>Raw!E39</f>
        <v>39733</v>
      </c>
      <c r="C39" s="239" t="str">
        <f>Display_All!AE39</f>
        <v>Bratton's Run Goethite/Stelco Taconite</v>
      </c>
      <c r="D39" s="239" t="str">
        <f>Display_All!AF39</f>
        <v>8/15</v>
      </c>
      <c r="E39" s="368">
        <f>Raw!BI39</f>
        <v>0.584243638</v>
      </c>
      <c r="F39" s="239" t="str">
        <f>Raw!BJ39</f>
        <v>roasted</v>
      </c>
      <c r="G39" s="239" t="str">
        <f>Raw!BM39</f>
        <v/>
      </c>
      <c r="H39" s="239" t="str">
        <f>Raw!BO39</f>
        <v>1 to 5</v>
      </c>
      <c r="I39" s="241">
        <f>Raw!CA39</f>
        <v>7.417417417</v>
      </c>
      <c r="J39" s="241">
        <f>if(Raw!CS39&gt;0,Raw!CS39,"None")</f>
        <v>4.9</v>
      </c>
      <c r="K39" s="368">
        <f>Raw!CW39</f>
        <v>0.2130434783</v>
      </c>
      <c r="L39" s="369">
        <f>if(Raw!CX39&gt;0,Raw!CX39,"None")</f>
        <v>0.3646483494</v>
      </c>
      <c r="M39" s="264"/>
      <c r="N39" s="264"/>
      <c r="O39" s="264"/>
      <c r="P39" s="264"/>
      <c r="Q39" s="264"/>
      <c r="R39" s="264"/>
      <c r="S39" s="264"/>
      <c r="T39" s="264"/>
      <c r="U39" s="264"/>
    </row>
    <row r="40">
      <c r="A40" s="238" t="str">
        <f>Raw!A40</f>
        <v>39 / D17</v>
      </c>
      <c r="B40" s="240">
        <f>Raw!E40</f>
        <v>39760</v>
      </c>
      <c r="C40" s="239" t="str">
        <f>Display_All!AE40</f>
        <v>Bratton's Run Goethite/Opta Hematite</v>
      </c>
      <c r="D40" s="239" t="str">
        <f>Display_All!AF40</f>
        <v>8.4/15.4</v>
      </c>
      <c r="E40" s="368">
        <f>Raw!BI40</f>
        <v>0.6043986924</v>
      </c>
      <c r="F40" s="239" t="str">
        <f>Raw!BJ40</f>
        <v>roasted</v>
      </c>
      <c r="G40" s="239" t="str">
        <f>Raw!BM40</f>
        <v/>
      </c>
      <c r="H40" s="239" t="str">
        <f>Raw!BO40</f>
        <v>1 to 5 / 1</v>
      </c>
      <c r="I40" s="241">
        <f>Raw!CA40</f>
        <v>5.970588235</v>
      </c>
      <c r="J40" s="241">
        <f>if(Raw!CS40&gt;0,Raw!CS40,"None")</f>
        <v>3.25</v>
      </c>
      <c r="K40" s="368">
        <f>Raw!CW40</f>
        <v>0.1365546218</v>
      </c>
      <c r="L40" s="369">
        <f>if(Raw!CX40&gt;0,Raw!CX40,"None")</f>
        <v>0.2259346745</v>
      </c>
      <c r="M40" s="264"/>
      <c r="N40" s="264"/>
      <c r="O40" s="264"/>
      <c r="P40" s="264"/>
      <c r="Q40" s="264"/>
      <c r="R40" s="264"/>
      <c r="S40" s="264"/>
      <c r="T40" s="264"/>
      <c r="U40" s="264"/>
    </row>
    <row r="41">
      <c r="A41" s="238" t="str">
        <f>Raw!A41</f>
        <v>40 / D18</v>
      </c>
      <c r="B41" s="240">
        <f>Raw!E41</f>
        <v>39963</v>
      </c>
      <c r="C41" s="239" t="str">
        <f>Display_All!AE41</f>
        <v>DD2S</v>
      </c>
      <c r="D41" s="239" t="str">
        <f>Display_All!AF41</f>
        <v>18</v>
      </c>
      <c r="E41" s="368">
        <f>Raw!BI41</f>
        <v>0.5720029607</v>
      </c>
      <c r="F41" s="239" t="str">
        <f>Raw!BJ41</f>
        <v>raw</v>
      </c>
      <c r="G41" s="239" t="str">
        <f>Raw!BM41</f>
        <v/>
      </c>
      <c r="H41" s="239" t="str">
        <f>Raw!BO41</f>
        <v>all to 25</v>
      </c>
      <c r="I41" s="241">
        <f>Raw!CA41</f>
        <v>6.755263158</v>
      </c>
      <c r="J41" s="241">
        <f>if(Raw!CS41&gt;0,Raw!CS41,"None")</f>
        <v>4.9</v>
      </c>
      <c r="K41" s="368">
        <f>Raw!CW41</f>
        <v>0.2722222222</v>
      </c>
      <c r="L41" s="369">
        <f>if(Raw!CX41&gt;0,Raw!CX41,"None")</f>
        <v>0.4759105126</v>
      </c>
      <c r="M41" s="264"/>
      <c r="N41" s="264"/>
      <c r="O41" s="264"/>
      <c r="P41" s="264"/>
      <c r="Q41" s="264"/>
      <c r="R41" s="264"/>
      <c r="S41" s="264"/>
      <c r="T41" s="264"/>
      <c r="U41" s="264"/>
    </row>
    <row r="42">
      <c r="A42" s="238" t="str">
        <f>Raw!A42</f>
        <v>41 / D19</v>
      </c>
      <c r="B42" s="240">
        <f>Raw!E42</f>
        <v>40097</v>
      </c>
      <c r="C42" s="239" t="str">
        <f>Display_All!AE42</f>
        <v>Opta Hematite/DD1S/DD2S</v>
      </c>
      <c r="D42" s="239" t="str">
        <f>Display_All!AF42</f>
        <v>10.1/6/4.6</v>
      </c>
      <c r="E42" s="368">
        <f>Raw!BI42</f>
        <v>0.60663879</v>
      </c>
      <c r="F42" s="239" t="str">
        <f>Raw!BJ42</f>
        <v>raw</v>
      </c>
      <c r="G42" s="239" t="str">
        <f>Raw!BM42</f>
        <v/>
      </c>
      <c r="H42" s="239" t="str">
        <f>Raw!BO42</f>
        <v>all to 25</v>
      </c>
      <c r="I42" s="241">
        <f>Raw!CA42</f>
        <v>7.196969697</v>
      </c>
      <c r="J42" s="241">
        <f>if(Raw!CS42&gt;0,Raw!CS42,"None")</f>
        <v>5.6</v>
      </c>
      <c r="K42" s="368">
        <f>Raw!CW42</f>
        <v>0.270531401</v>
      </c>
      <c r="L42" s="369">
        <f>if(Raw!CX42&gt;0,Raw!CX42,"None")</f>
        <v>0.4459513724</v>
      </c>
      <c r="M42" s="264"/>
      <c r="N42" s="264"/>
      <c r="O42" s="264"/>
      <c r="P42" s="264"/>
      <c r="Q42" s="264"/>
      <c r="R42" s="264"/>
      <c r="S42" s="264"/>
      <c r="T42" s="264"/>
      <c r="U42" s="264"/>
    </row>
    <row r="43">
      <c r="A43" s="238" t="str">
        <f>Raw!A43</f>
        <v>42 / D20</v>
      </c>
      <c r="B43" s="240">
        <f>Raw!E43</f>
        <v>40124</v>
      </c>
      <c r="C43" s="239" t="str">
        <f>Display_All!AE43</f>
        <v>DD2S</v>
      </c>
      <c r="D43" s="239" t="str">
        <f>Display_All!AF43</f>
        <v>18</v>
      </c>
      <c r="E43" s="368">
        <f>Raw!BI43</f>
        <v>0.5720029607</v>
      </c>
      <c r="F43" s="239" t="str">
        <f>Raw!BJ43</f>
        <v>raw</v>
      </c>
      <c r="G43" s="239" t="str">
        <f>Raw!BM43</f>
        <v/>
      </c>
      <c r="H43" s="239" t="str">
        <f>Raw!BO43</f>
        <v>all to 25</v>
      </c>
      <c r="I43" s="241">
        <f>Raw!CA43</f>
        <v>8.863636364</v>
      </c>
      <c r="J43" s="241">
        <f>if(Raw!CS43&gt;0,Raw!CS43,"None")</f>
        <v>2.9</v>
      </c>
      <c r="K43" s="368">
        <f>Raw!CW43</f>
        <v>0.1611111111</v>
      </c>
      <c r="L43" s="369">
        <f>if(Raw!CX43&gt;0,Raw!CX43,"None")</f>
        <v>0.2816613238</v>
      </c>
      <c r="M43" s="264"/>
      <c r="N43" s="264"/>
      <c r="O43" s="264"/>
      <c r="P43" s="264"/>
      <c r="Q43" s="264"/>
      <c r="R43" s="264"/>
      <c r="S43" s="264"/>
      <c r="T43" s="264"/>
      <c r="U43" s="264"/>
    </row>
    <row r="44">
      <c r="A44" s="238" t="str">
        <f>Raw!A44</f>
        <v>43 / D21</v>
      </c>
      <c r="B44" s="240">
        <f>Raw!E44</f>
        <v>40341</v>
      </c>
      <c r="C44" s="239" t="str">
        <f>Display_All!AE44</f>
        <v>DD1S/Opta Hematite</v>
      </c>
      <c r="D44" s="239" t="str">
        <f>Display_All!AF44</f>
        <v>11.4/8.6</v>
      </c>
      <c r="E44" s="368">
        <f>Raw!BI44</f>
        <v>0.5793816429</v>
      </c>
      <c r="F44" s="239" t="str">
        <f>Raw!BJ44</f>
        <v>raw</v>
      </c>
      <c r="G44" s="239" t="str">
        <f>Raw!BM44</f>
        <v/>
      </c>
      <c r="H44" s="239" t="str">
        <f>Raw!BO44</f>
        <v>all to 25</v>
      </c>
      <c r="I44" s="241" t="str">
        <f>Raw!CA44</f>
        <v>NR</v>
      </c>
      <c r="J44" s="241">
        <f>if(Raw!CS44&gt;0,Raw!CS44,"None")</f>
        <v>1.6</v>
      </c>
      <c r="K44" s="368">
        <f>Raw!CW44</f>
        <v>0.08</v>
      </c>
      <c r="L44" s="369">
        <f>if(Raw!CX44&gt;0,Raw!CX44,"None")</f>
        <v>0.1380782443</v>
      </c>
      <c r="M44" s="264"/>
      <c r="N44" s="264"/>
      <c r="O44" s="264"/>
      <c r="P44" s="264"/>
      <c r="Q44" s="264"/>
      <c r="R44" s="264"/>
      <c r="S44" s="264"/>
      <c r="T44" s="264"/>
      <c r="U44" s="264"/>
    </row>
    <row r="45">
      <c r="A45" s="238" t="str">
        <f>Raw!A45</f>
        <v>44 / D22</v>
      </c>
      <c r="B45" s="240">
        <f>Raw!E45</f>
        <v>40411</v>
      </c>
      <c r="C45" s="239" t="str">
        <f>Display_All!AE45</f>
        <v>DD2S</v>
      </c>
      <c r="D45" s="239" t="str">
        <f>Display_All!AF45</f>
        <v>20</v>
      </c>
      <c r="E45" s="368">
        <f>Raw!BI45</f>
        <v>0.5720029607</v>
      </c>
      <c r="F45" s="239" t="str">
        <f>Raw!BJ45</f>
        <v>raw</v>
      </c>
      <c r="G45" s="239" t="str">
        <f>Raw!BM45</f>
        <v/>
      </c>
      <c r="H45" s="239" t="str">
        <f>Raw!BO45</f>
        <v>all to 25</v>
      </c>
      <c r="I45" s="241">
        <f>Raw!CA45</f>
        <v>8.12244898</v>
      </c>
      <c r="J45" s="241">
        <f>if(Raw!CS45&gt;0,Raw!CS45,"None")</f>
        <v>2.8</v>
      </c>
      <c r="K45" s="368">
        <f>Raw!CW45</f>
        <v>0.14</v>
      </c>
      <c r="L45" s="369">
        <f>if(Raw!CX45&gt;0,Raw!CX45,"None")</f>
        <v>0.2447539779</v>
      </c>
      <c r="M45" s="264"/>
      <c r="N45" s="264"/>
      <c r="O45" s="264"/>
      <c r="P45" s="264"/>
      <c r="Q45" s="264"/>
      <c r="R45" s="264"/>
      <c r="S45" s="264"/>
      <c r="T45" s="264"/>
      <c r="U45" s="264"/>
    </row>
    <row r="46">
      <c r="A46" s="238" t="str">
        <f>Raw!A46</f>
        <v>45 / D23</v>
      </c>
      <c r="B46" s="240">
        <f>Raw!E46</f>
        <v>40488</v>
      </c>
      <c r="C46" s="239" t="str">
        <f>Display_All!AE46</f>
        <v>Opta Hematite</v>
      </c>
      <c r="D46" s="239" t="str">
        <f>Display_All!AF46</f>
        <v>24</v>
      </c>
      <c r="E46" s="368">
        <f>Raw!BI46</f>
        <v>0.6867011216</v>
      </c>
      <c r="F46" s="239" t="str">
        <f>Raw!BJ46</f>
        <v>raw</v>
      </c>
      <c r="G46" s="239" t="str">
        <f>Raw!BM46</f>
        <v/>
      </c>
      <c r="H46" s="239">
        <f>Raw!BO46</f>
        <v>1</v>
      </c>
      <c r="I46" s="241">
        <f>Raw!CA46</f>
        <v>5.593869732</v>
      </c>
      <c r="J46" s="241">
        <f>if(Raw!CS46&gt;0,Raw!CS46,"None")</f>
        <v>8.5</v>
      </c>
      <c r="K46" s="368">
        <f>Raw!CW46</f>
        <v>0.3541666667</v>
      </c>
      <c r="L46" s="369">
        <f>if(Raw!CX46&gt;0,Raw!CX46,"None")</f>
        <v>0.5157508202</v>
      </c>
      <c r="M46" s="264"/>
      <c r="N46" s="264"/>
      <c r="O46" s="264"/>
      <c r="P46" s="264"/>
      <c r="Q46" s="264"/>
      <c r="R46" s="264"/>
      <c r="S46" s="264"/>
      <c r="T46" s="264"/>
      <c r="U46" s="264"/>
    </row>
    <row r="47">
      <c r="A47" s="238">
        <f>Raw!A47</f>
        <v>46</v>
      </c>
      <c r="B47" s="240">
        <f>Raw!E47</f>
        <v>40620</v>
      </c>
      <c r="C47" s="239" t="str">
        <f>Display_All!AE47</f>
        <v>Guy's Run Goethite</v>
      </c>
      <c r="D47" s="239" t="str">
        <f>Display_All!AF47</f>
        <v>91</v>
      </c>
      <c r="E47" s="368">
        <f>Raw!BI47</f>
        <v>0.58</v>
      </c>
      <c r="F47" s="239" t="str">
        <f>Raw!BJ47</f>
        <v>roasted</v>
      </c>
      <c r="G47" s="239" t="str">
        <f>Raw!BM47</f>
        <v/>
      </c>
      <c r="H47" s="239" t="str">
        <f>Raw!BO47</f>
        <v>1 to 5</v>
      </c>
      <c r="I47" s="241">
        <f>Raw!CA47</f>
        <v>5.58893617</v>
      </c>
      <c r="J47" s="239" t="str">
        <f>if(Raw!CS47&gt;0,Raw!CS47,"None")</f>
        <v>None</v>
      </c>
      <c r="K47" s="368" t="str">
        <f>Raw!CW47</f>
        <v>na</v>
      </c>
      <c r="L47" s="369" t="str">
        <f>if(Raw!CX47&gt;0,Raw!CX47,"None")</f>
        <v>na</v>
      </c>
      <c r="M47" s="264"/>
      <c r="N47" s="264"/>
      <c r="O47" s="264"/>
      <c r="P47" s="264"/>
      <c r="Q47" s="264"/>
      <c r="R47" s="264"/>
      <c r="S47" s="264"/>
      <c r="T47" s="264"/>
      <c r="U47" s="264"/>
    </row>
    <row r="48">
      <c r="A48" s="238">
        <f>Raw!A48</f>
        <v>47</v>
      </c>
      <c r="B48" s="240">
        <f>Raw!E48</f>
        <v>40654</v>
      </c>
      <c r="C48" s="239" t="str">
        <f>Display_All!AE48</f>
        <v>Guy's Run Goethite/DD2S/Opta Hematite</v>
      </c>
      <c r="D48" s="239" t="str">
        <f>Display_All!AF48</f>
        <v>18/9.5/1.5</v>
      </c>
      <c r="E48" s="368">
        <f>Raw!BI48</f>
        <v>0.5828993038</v>
      </c>
      <c r="F48" s="239" t="str">
        <f>Raw!BJ48</f>
        <v>various</v>
      </c>
      <c r="G48" s="239" t="str">
        <f>Raw!BM48</f>
        <v/>
      </c>
      <c r="H48" s="239" t="str">
        <f>Raw!BO48</f>
        <v>1 to 5</v>
      </c>
      <c r="I48" s="241">
        <f>Raw!CA48</f>
        <v>9.365079365</v>
      </c>
      <c r="J48" s="241">
        <f>if(Raw!CS48&gt;0,Raw!CS48,"None")</f>
        <v>2.2</v>
      </c>
      <c r="K48" s="368">
        <f>Raw!CW48</f>
        <v>0.07586206897</v>
      </c>
      <c r="L48" s="369">
        <f>if(Raw!CX48&gt;0,Raw!CX48,"None")</f>
        <v>0.1301460964</v>
      </c>
      <c r="M48" s="264"/>
      <c r="N48" s="264"/>
      <c r="O48" s="264"/>
      <c r="P48" s="264"/>
      <c r="Q48" s="264"/>
      <c r="R48" s="264"/>
      <c r="S48" s="264"/>
      <c r="T48" s="264"/>
      <c r="U48" s="264"/>
    </row>
    <row r="49">
      <c r="A49" s="238" t="str">
        <f>Raw!A49</f>
        <v>D24</v>
      </c>
      <c r="B49" s="240">
        <f>Raw!E49</f>
        <v>40705</v>
      </c>
      <c r="C49" s="239" t="str">
        <f>Display_All!AE49</f>
        <v>Bratton's Run Goethite</v>
      </c>
      <c r="D49" s="239" t="str">
        <f>Display_All!AF49</f>
        <v>24</v>
      </c>
      <c r="E49" s="368">
        <f>Raw!BI49</f>
        <v>0.4535109057</v>
      </c>
      <c r="F49" s="239" t="str">
        <f>Raw!BJ49</f>
        <v>roasted</v>
      </c>
      <c r="G49" s="239" t="str">
        <f>Raw!BM49</f>
        <v/>
      </c>
      <c r="H49" s="239" t="str">
        <f>Raw!BO49</f>
        <v>1 to 5</v>
      </c>
      <c r="I49" s="241">
        <f>Raw!CA49</f>
        <v>5.195195195</v>
      </c>
      <c r="J49" s="241">
        <f>if(Raw!CS49&gt;0,Raw!CS49,"None")</f>
        <v>2.65</v>
      </c>
      <c r="K49" s="368">
        <f>Raw!CW49</f>
        <v>0.1104166667</v>
      </c>
      <c r="L49" s="369">
        <f>if(Raw!CX49&gt;0,Raw!CX49,"None")</f>
        <v>0.243470808</v>
      </c>
      <c r="M49" s="264"/>
      <c r="N49" s="264"/>
      <c r="O49" s="264"/>
      <c r="P49" s="264"/>
      <c r="Q49" s="264"/>
      <c r="R49" s="264"/>
      <c r="S49" s="264"/>
      <c r="T49" s="264"/>
      <c r="U49" s="264"/>
    </row>
    <row r="50">
      <c r="A50" s="238" t="str">
        <f>Raw!A50</f>
        <v>D25</v>
      </c>
      <c r="B50" s="240">
        <f>Raw!E50</f>
        <v>40752</v>
      </c>
      <c r="C50" s="239" t="str">
        <f>Display_All!AE50</f>
        <v>DD1Fd</v>
      </c>
      <c r="D50" s="239" t="str">
        <f>Display_All!AF50</f>
        <v>26</v>
      </c>
      <c r="E50" s="368">
        <f>Raw!BI50</f>
        <v>0.5708528899</v>
      </c>
      <c r="F50" s="239" t="str">
        <f>Raw!BJ50</f>
        <v>raw</v>
      </c>
      <c r="G50" s="239" t="str">
        <f>Raw!BM50</f>
        <v/>
      </c>
      <c r="H50" s="239" t="str">
        <f>Raw!BO50</f>
        <v>all to 25</v>
      </c>
      <c r="I50" s="241">
        <f>Raw!CA50</f>
        <v>6.893939394</v>
      </c>
      <c r="J50" s="241">
        <f>if(Raw!CS50&gt;0,Raw!CS50,"None")</f>
        <v>5</v>
      </c>
      <c r="K50" s="368">
        <f>Raw!CW50</f>
        <v>0.1923076923</v>
      </c>
      <c r="L50" s="369">
        <f>if(Raw!CX50&gt;0,Raw!CX50,"None")</f>
        <v>0.3368778467</v>
      </c>
      <c r="M50" s="264"/>
      <c r="N50" s="264"/>
      <c r="O50" s="264"/>
      <c r="P50" s="264"/>
      <c r="Q50" s="264"/>
      <c r="R50" s="264"/>
      <c r="S50" s="264"/>
      <c r="T50" s="264"/>
      <c r="U50" s="264"/>
    </row>
    <row r="51">
      <c r="A51" s="238" t="str">
        <f>Raw!A51</f>
        <v>48 / D26</v>
      </c>
      <c r="B51" s="240">
        <f>Raw!E51</f>
        <v>40825</v>
      </c>
      <c r="C51" s="239" t="str">
        <f>Display_All!AE51</f>
        <v>Bratton's Run Goethite/DD1</v>
      </c>
      <c r="D51" s="239" t="str">
        <f>Display_All!AF51</f>
        <v>24.5/23.5</v>
      </c>
      <c r="E51" s="368">
        <f>Raw!BI51</f>
        <v>0.4999001809</v>
      </c>
      <c r="F51" s="239" t="str">
        <f>Raw!BJ51</f>
        <v>roasted</v>
      </c>
      <c r="G51" s="239" t="str">
        <f>Raw!BM51</f>
        <v/>
      </c>
      <c r="H51" s="239" t="str">
        <f>Raw!BO51</f>
        <v>1 to 5</v>
      </c>
      <c r="I51" s="241">
        <f>Raw!CA51</f>
        <v>5.206030151</v>
      </c>
      <c r="J51" s="239" t="str">
        <f>if(Raw!CS51&gt;0,Raw!CS51,"None")</f>
        <v>None</v>
      </c>
      <c r="K51" s="368" t="str">
        <f>Raw!CW51</f>
        <v>na</v>
      </c>
      <c r="L51" s="369" t="str">
        <f>if(Raw!CX51&gt;0,Raw!CX51,"None")</f>
        <v>na</v>
      </c>
      <c r="M51" s="264"/>
      <c r="N51" s="264"/>
      <c r="O51" s="264"/>
      <c r="P51" s="264"/>
      <c r="Q51" s="264"/>
      <c r="R51" s="264"/>
      <c r="S51" s="264"/>
      <c r="T51" s="264"/>
      <c r="U51" s="264"/>
    </row>
    <row r="52">
      <c r="A52" s="238">
        <f>Raw!A52</f>
        <v>49</v>
      </c>
      <c r="B52" s="240">
        <f>Raw!E52</f>
        <v>40852</v>
      </c>
      <c r="C52" s="239" t="str">
        <f>Display_All!AE52</f>
        <v>Stelco Taconite</v>
      </c>
      <c r="D52" s="239" t="str">
        <f>Display_All!AF52</f>
        <v>19.2</v>
      </c>
      <c r="E52" s="368">
        <f>Raw!BI52</f>
        <v>0.6539677619</v>
      </c>
      <c r="F52" s="239" t="str">
        <f>Raw!BJ52</f>
        <v>roasted</v>
      </c>
      <c r="G52" s="239" t="str">
        <f>Raw!BM52</f>
        <v/>
      </c>
      <c r="H52" s="239" t="str">
        <f>Raw!BO52</f>
        <v>1 to 5</v>
      </c>
      <c r="I52" s="241">
        <f>Raw!CA52</f>
        <v>5.399239544</v>
      </c>
      <c r="J52" s="241">
        <f>if(Raw!CS52&gt;0,Raw!CS52,"None")</f>
        <v>6.4</v>
      </c>
      <c r="K52" s="368">
        <f>Raw!CW52</f>
        <v>0.3333333333</v>
      </c>
      <c r="L52" s="369">
        <f>if(Raw!CX52&gt;0,Raw!CX52,"None")</f>
        <v>0.5097091214</v>
      </c>
      <c r="M52" s="264"/>
      <c r="N52" s="264"/>
      <c r="O52" s="264"/>
      <c r="P52" s="264"/>
      <c r="Q52" s="264"/>
      <c r="R52" s="264"/>
      <c r="S52" s="264"/>
      <c r="T52" s="264"/>
      <c r="U52" s="264"/>
    </row>
    <row r="53">
      <c r="A53" s="238">
        <f>Raw!A53</f>
        <v>50</v>
      </c>
      <c r="B53" s="240">
        <f>Raw!E53</f>
        <v>41034</v>
      </c>
      <c r="C53" s="239" t="str">
        <f>Display_All!AE53</f>
        <v>Jamestown Goethite</v>
      </c>
      <c r="D53" s="239" t="str">
        <f>Display_All!AF53</f>
        <v>42.9</v>
      </c>
      <c r="E53" s="368">
        <f>Raw!BI53</f>
        <v>0.5109834022</v>
      </c>
      <c r="F53" s="239" t="str">
        <f>Raw!BJ53</f>
        <v>roasted</v>
      </c>
      <c r="G53" s="239" t="str">
        <f>Raw!BM53</f>
        <v/>
      </c>
      <c r="H53" s="239" t="str">
        <f>Raw!BO53</f>
        <v>1 to 5</v>
      </c>
      <c r="I53" s="241">
        <f>Raw!CA53</f>
        <v>8.728046833</v>
      </c>
      <c r="J53" s="241">
        <f>if(Raw!CS53&gt;0,Raw!CS53,"None")</f>
        <v>12.27</v>
      </c>
      <c r="K53" s="368">
        <f>Raw!CW53</f>
        <v>0.279498861</v>
      </c>
      <c r="L53" s="369">
        <f>if(Raw!CX53&gt;0,Raw!CX53,"None")</f>
        <v>0.5469822695</v>
      </c>
      <c r="M53" s="264"/>
      <c r="N53" s="264"/>
      <c r="O53" s="264"/>
      <c r="P53" s="264"/>
      <c r="Q53" s="264"/>
      <c r="R53" s="264"/>
      <c r="S53" s="264"/>
      <c r="T53" s="264"/>
      <c r="U53" s="264"/>
    </row>
    <row r="54">
      <c r="A54" s="238" t="str">
        <f>Raw!A54</f>
        <v>51 / D27</v>
      </c>
      <c r="B54" s="240">
        <f>Raw!E54</f>
        <v>41055</v>
      </c>
      <c r="C54" s="239" t="str">
        <f>Display_All!AE54</f>
        <v>DD1Sb</v>
      </c>
      <c r="D54" s="239" t="str">
        <f>Display_All!AF54</f>
        <v>31.8</v>
      </c>
      <c r="E54" s="368">
        <f>Raw!BI54</f>
        <v>0.5237823369</v>
      </c>
      <c r="F54" s="239" t="str">
        <f>Raw!BJ54</f>
        <v>raw</v>
      </c>
      <c r="G54" s="239" t="str">
        <f>Raw!BM54</f>
        <v/>
      </c>
      <c r="H54" s="239" t="str">
        <f>Raw!BO54</f>
        <v>all to 25</v>
      </c>
      <c r="I54" s="241">
        <f>Raw!CA54</f>
        <v>8.296296296</v>
      </c>
      <c r="J54" s="241">
        <f>if(Raw!CS54&gt;0,Raw!CS54,"None")</f>
        <v>5.8</v>
      </c>
      <c r="K54" s="368">
        <f>Raw!CW54</f>
        <v>0.1823899371</v>
      </c>
      <c r="L54" s="369">
        <f>if(Raw!CX54&gt;0,Raw!CX54,"None")</f>
        <v>0.3482170441</v>
      </c>
      <c r="M54" s="264"/>
      <c r="N54" s="264"/>
      <c r="O54" s="264"/>
      <c r="P54" s="264"/>
      <c r="Q54" s="264"/>
      <c r="R54" s="264"/>
      <c r="S54" s="264"/>
      <c r="T54" s="264"/>
      <c r="U54" s="264"/>
    </row>
    <row r="55">
      <c r="A55" s="238">
        <f>Raw!A55</f>
        <v>52</v>
      </c>
      <c r="B55" s="240">
        <f>Raw!E55</f>
        <v>41132</v>
      </c>
      <c r="C55" s="239" t="str">
        <f>Display_All!AE55</f>
        <v>DD1Fd</v>
      </c>
      <c r="D55" s="239" t="str">
        <f>Display_All!AF55</f>
        <v>31.8</v>
      </c>
      <c r="E55" s="368">
        <f>Raw!BI55</f>
        <v>0.5708528899</v>
      </c>
      <c r="F55" s="239" t="str">
        <f>Raw!BJ55</f>
        <v>raw</v>
      </c>
      <c r="G55" s="239" t="str">
        <f>Raw!BM55</f>
        <v/>
      </c>
      <c r="H55" s="239" t="str">
        <f>Raw!BO55</f>
        <v>all to 25</v>
      </c>
      <c r="I55" s="241">
        <f>Raw!CA55</f>
        <v>7.537537538</v>
      </c>
      <c r="J55" s="241">
        <f>if(Raw!CS55&gt;0,Raw!CS55,"None")</f>
        <v>7.1</v>
      </c>
      <c r="K55" s="368">
        <f>Raw!CW55</f>
        <v>0.2232704403</v>
      </c>
      <c r="L55" s="369">
        <f>if(Raw!CX55&gt;0,Raw!CX55,"None")</f>
        <v>0.3911172987</v>
      </c>
      <c r="M55" s="264"/>
      <c r="N55" s="264"/>
      <c r="O55" s="264"/>
      <c r="P55" s="264"/>
      <c r="Q55" s="264"/>
      <c r="R55" s="264"/>
      <c r="S55" s="264"/>
      <c r="T55" s="264"/>
      <c r="U55" s="264"/>
    </row>
    <row r="56">
      <c r="A56" s="238">
        <f>Raw!A56</f>
        <v>53</v>
      </c>
      <c r="B56" s="240">
        <f>Raw!E56</f>
        <v>41405</v>
      </c>
      <c r="C56" s="239" t="str">
        <f>Display_All!AE56</f>
        <v>DD1Fe</v>
      </c>
      <c r="D56" s="239" t="str">
        <f>Display_All!AF56</f>
        <v>25</v>
      </c>
      <c r="E56" s="368">
        <f>Raw!BI56</f>
        <v>0.5884677539</v>
      </c>
      <c r="F56" s="239" t="str">
        <f>Raw!BJ56</f>
        <v>raw</v>
      </c>
      <c r="G56" s="239" t="str">
        <f>Raw!BM56</f>
        <v/>
      </c>
      <c r="H56" s="239" t="str">
        <f>Raw!BO56</f>
        <v>all to 25</v>
      </c>
      <c r="I56" s="241">
        <f>Raw!CA56</f>
        <v>5.789473684</v>
      </c>
      <c r="J56" s="241">
        <f>if(Raw!CS56&gt;0,Raw!CS56,"None")</f>
        <v>5.4</v>
      </c>
      <c r="K56" s="368">
        <f>Raw!CW56</f>
        <v>0.216</v>
      </c>
      <c r="L56" s="369">
        <f>if(Raw!CX56&gt;0,Raw!CX56,"None")</f>
        <v>0.3670549466</v>
      </c>
      <c r="M56" s="264"/>
      <c r="N56" s="264"/>
      <c r="O56" s="264"/>
      <c r="P56" s="264"/>
      <c r="Q56" s="264"/>
      <c r="R56" s="264"/>
      <c r="S56" s="264"/>
      <c r="T56" s="264"/>
      <c r="U56" s="264"/>
    </row>
    <row r="57">
      <c r="A57" s="238">
        <f>Raw!A57</f>
        <v>54</v>
      </c>
      <c r="B57" s="240">
        <f>Raw!E57</f>
        <v>41420</v>
      </c>
      <c r="C57" s="239" t="str">
        <f>Display_All!AE57</f>
        <v>#REF!</v>
      </c>
      <c r="D57" s="239" t="str">
        <f>Display_All!AF57</f>
        <v>12/14.4/4/0</v>
      </c>
      <c r="E57" s="368" t="str">
        <f>Raw!BI57</f>
        <v>?</v>
      </c>
      <c r="F57" s="239" t="str">
        <f>Raw!BJ57</f>
        <v>roasted</v>
      </c>
      <c r="G57" s="239" t="str">
        <f>Raw!BM57</f>
        <v/>
      </c>
      <c r="H57" s="239" t="str">
        <f>Raw!BO57</f>
        <v>all to 5 / 25</v>
      </c>
      <c r="I57" s="241">
        <f>Raw!CA57</f>
        <v>5.243764172</v>
      </c>
      <c r="J57" s="241">
        <f>if(Raw!CS57&gt;0,Raw!CS57,"None")</f>
        <v>10.5</v>
      </c>
      <c r="K57" s="368">
        <f>Raw!CW57</f>
        <v>0.3453947368</v>
      </c>
      <c r="L57" s="369" t="str">
        <f>if(Raw!CX57&gt;0,Raw!CX57,"None")</f>
        <v>?</v>
      </c>
      <c r="M57" s="264"/>
      <c r="N57" s="264"/>
      <c r="O57" s="264"/>
      <c r="P57" s="264"/>
      <c r="Q57" s="264"/>
      <c r="R57" s="264"/>
      <c r="S57" s="264"/>
      <c r="T57" s="264"/>
      <c r="U57" s="264"/>
    </row>
    <row r="58">
      <c r="A58" s="238">
        <f>Raw!A58</f>
        <v>55</v>
      </c>
      <c r="B58" s="240">
        <f>Raw!E58</f>
        <v>41569</v>
      </c>
      <c r="C58" s="239" t="str">
        <f>Display_All!AE58</f>
        <v>Bratton's Run Goethite</v>
      </c>
      <c r="D58" s="239" t="str">
        <f>Display_All!AF58</f>
        <v>42.5</v>
      </c>
      <c r="E58" s="368">
        <f>Raw!BI58</f>
        <v>0.4535109057</v>
      </c>
      <c r="F58" s="239" t="str">
        <f>Raw!BJ58</f>
        <v>roasted?</v>
      </c>
      <c r="G58" s="239" t="str">
        <f>Raw!BM58</f>
        <v/>
      </c>
      <c r="H58" s="239" t="str">
        <f>Raw!BO58</f>
        <v>all to 5</v>
      </c>
      <c r="I58" s="241">
        <f>Raw!CA58</f>
        <v>6.642857143</v>
      </c>
      <c r="J58" s="241">
        <f>if(Raw!CS58&gt;0,Raw!CS58,"None")</f>
        <v>4.4</v>
      </c>
      <c r="K58" s="368">
        <f>Raw!CW58</f>
        <v>0.1035294118</v>
      </c>
      <c r="L58" s="369">
        <f>if(Raw!CX58&gt;0,Raw!CX58,"None")</f>
        <v>0.2282842826</v>
      </c>
      <c r="M58" s="264"/>
      <c r="N58" s="264"/>
      <c r="O58" s="264"/>
      <c r="P58" s="264"/>
      <c r="Q58" s="264"/>
      <c r="R58" s="264"/>
      <c r="S58" s="264"/>
      <c r="T58" s="264"/>
      <c r="U58" s="264"/>
    </row>
    <row r="59">
      <c r="A59" s="238">
        <f>Raw!A59</f>
        <v>56</v>
      </c>
      <c r="B59" s="240">
        <f>Raw!E59</f>
        <v>41804</v>
      </c>
      <c r="C59" s="239" t="str">
        <f>Display_All!AE59</f>
        <v>DD1M</v>
      </c>
      <c r="D59" s="239" t="str">
        <f>Display_All!AF59</f>
        <v>31</v>
      </c>
      <c r="E59" s="368">
        <f>Raw!BI59</f>
        <v>0.5123957643</v>
      </c>
      <c r="F59" s="239" t="str">
        <f>Raw!BJ59</f>
        <v>raw</v>
      </c>
      <c r="G59" s="239" t="str">
        <f>Raw!BM59</f>
        <v/>
      </c>
      <c r="H59" s="239" t="str">
        <f>Raw!BO59</f>
        <v>all to 25</v>
      </c>
      <c r="I59" s="241">
        <f>Raw!CA59</f>
        <v>5.617977528</v>
      </c>
      <c r="J59" s="241">
        <f>if(Raw!CS59&gt;0,Raw!CS59,"None")</f>
        <v>5.2</v>
      </c>
      <c r="K59" s="368">
        <f>Raw!CW59</f>
        <v>0.1677419355</v>
      </c>
      <c r="L59" s="369">
        <f>if(Raw!CX59&gt;0,Raw!CX59,"None")</f>
        <v>0.3273679198</v>
      </c>
      <c r="M59" s="264"/>
      <c r="N59" s="264"/>
      <c r="O59" s="264"/>
      <c r="P59" s="264"/>
      <c r="Q59" s="264"/>
      <c r="R59" s="264"/>
      <c r="S59" s="264"/>
      <c r="T59" s="264"/>
      <c r="U59" s="264"/>
    </row>
    <row r="60">
      <c r="A60" s="238">
        <f>Raw!A60</f>
        <v>57</v>
      </c>
      <c r="B60" s="240">
        <f>Raw!E60</f>
        <v>41862</v>
      </c>
      <c r="C60" s="239" t="str">
        <f>Display_All!AE60</f>
        <v>Macaulayite/Scotland Taconite/DD1-SSW</v>
      </c>
      <c r="D60" s="239" t="str">
        <f>Display_All!AF60</f>
        <v>16.2/7.8/6</v>
      </c>
      <c r="E60" s="368">
        <f>Raw!BI60</f>
        <v>0.4162579599</v>
      </c>
      <c r="F60" s="239" t="str">
        <f>Raw!BJ60</f>
        <v>roasted</v>
      </c>
      <c r="G60" s="239" t="str">
        <f>Raw!BM60</f>
        <v/>
      </c>
      <c r="H60" s="239" t="str">
        <f>Raw!BO60</f>
        <v>all to 5 / 25</v>
      </c>
      <c r="I60" s="241">
        <f>Raw!CA60</f>
        <v>5.447368421</v>
      </c>
      <c r="J60" s="241">
        <f>if(Raw!CS60&gt;0,Raw!CS60,"None")</f>
        <v>2.3</v>
      </c>
      <c r="K60" s="368">
        <f>Raw!CW60</f>
        <v>0.07666666667</v>
      </c>
      <c r="L60" s="369">
        <f>if(Raw!CX60&gt;0,Raw!CX60,"None")</f>
        <v>0.1841806621</v>
      </c>
      <c r="M60" s="264"/>
      <c r="N60" s="264"/>
      <c r="O60" s="264"/>
      <c r="P60" s="264"/>
      <c r="Q60" s="264"/>
      <c r="R60" s="264"/>
      <c r="S60" s="264"/>
      <c r="T60" s="264"/>
      <c r="U60" s="264"/>
    </row>
    <row r="61">
      <c r="A61" s="238">
        <f>Raw!A61</f>
        <v>58</v>
      </c>
      <c r="B61" s="240">
        <f>Raw!E61</f>
        <v>41865</v>
      </c>
      <c r="C61" s="239" t="str">
        <f>Display_All!AE61</f>
        <v>DD1-SSW/Scotland Taconite</v>
      </c>
      <c r="D61" s="239" t="str">
        <f>Display_All!AF61</f>
        <v>27/14</v>
      </c>
      <c r="E61" s="368">
        <f>Raw!BI61</f>
        <v>0.584357617</v>
      </c>
      <c r="F61" s="239" t="str">
        <f>Raw!BJ61</f>
        <v>roasted</v>
      </c>
      <c r="G61" s="239" t="str">
        <f>Raw!BM61</f>
        <v/>
      </c>
      <c r="H61" s="239" t="str">
        <f>Raw!BO61</f>
        <v>all to 5 / 25</v>
      </c>
      <c r="I61" s="241">
        <f>Raw!CA61</f>
        <v>8.05</v>
      </c>
      <c r="J61" s="241">
        <f>if(Raw!CS61&gt;0,Raw!CS61,"None")</f>
        <v>4.7</v>
      </c>
      <c r="K61" s="368">
        <f>Raw!CW61</f>
        <v>0.1146341463</v>
      </c>
      <c r="L61" s="369">
        <f>if(Raw!CX61&gt;0,Raw!CX61,"None")</f>
        <v>0.1961712195</v>
      </c>
      <c r="M61" s="264"/>
      <c r="N61" s="264"/>
      <c r="O61" s="264"/>
      <c r="P61" s="264"/>
      <c r="Q61" s="264"/>
      <c r="R61" s="264"/>
      <c r="S61" s="264"/>
      <c r="T61" s="264"/>
      <c r="U61" s="264"/>
    </row>
    <row r="62">
      <c r="A62" s="238">
        <f>Raw!A62</f>
        <v>59</v>
      </c>
      <c r="B62" s="240">
        <f>Raw!E62</f>
        <v>41868</v>
      </c>
      <c r="C62" s="239" t="str">
        <f>Display_All!AE62</f>
        <v>Scotland Taconite/DD1-SSW</v>
      </c>
      <c r="D62" s="239" t="str">
        <f>Display_All!AF62</f>
        <v>33.5/7.5</v>
      </c>
      <c r="E62" s="368">
        <f>Raw!BI62</f>
        <v>0.6346316106</v>
      </c>
      <c r="F62" s="239" t="str">
        <f>Raw!BJ62</f>
        <v>roasted</v>
      </c>
      <c r="G62" s="239" t="str">
        <f>Raw!BM62</f>
        <v/>
      </c>
      <c r="H62" s="239" t="str">
        <f>Raw!BO62</f>
        <v>all to 25 / 5</v>
      </c>
      <c r="I62" s="241">
        <f>Raw!CA62</f>
        <v>6.973684211</v>
      </c>
      <c r="J62" s="241">
        <f>if(Raw!CS62&gt;0,Raw!CS62,"None")</f>
        <v>11.6</v>
      </c>
      <c r="K62" s="368">
        <f>Raw!CW62</f>
        <v>0.2829268293</v>
      </c>
      <c r="L62" s="369">
        <f>if(Raw!CX62&gt;0,Raw!CX62,"None")</f>
        <v>0.445812696</v>
      </c>
      <c r="M62" s="264"/>
      <c r="N62" s="264"/>
      <c r="O62" s="264"/>
      <c r="P62" s="264"/>
      <c r="Q62" s="264"/>
      <c r="R62" s="264"/>
      <c r="S62" s="264"/>
      <c r="T62" s="264"/>
      <c r="U62" s="264"/>
    </row>
    <row r="63" hidden="1">
      <c r="A63" s="249" t="str">
        <f>Raw!A63</f>
        <v>T1</v>
      </c>
      <c r="B63" s="251">
        <f>Raw!E63</f>
        <v>41872</v>
      </c>
      <c r="C63" s="250" t="str">
        <f>Raw!AX63</f>
        <v/>
      </c>
      <c r="D63" s="250" t="str">
        <f>Raw!AY63</f>
        <v/>
      </c>
      <c r="E63" s="371" t="str">
        <f>Raw!BI63</f>
        <v>na</v>
      </c>
      <c r="F63" s="250" t="str">
        <f>Raw!BJ63</f>
        <v/>
      </c>
      <c r="G63" s="250" t="str">
        <f>Raw!BM63</f>
        <v/>
      </c>
      <c r="H63" s="250" t="str">
        <f>Raw!BO63</f>
        <v/>
      </c>
      <c r="I63" s="262" t="str">
        <f>Raw!CA63</f>
        <v/>
      </c>
      <c r="J63" s="262" t="str">
        <f>Raw!CS63</f>
        <v>na</v>
      </c>
      <c r="K63" s="368" t="str">
        <f>Raw!CW63</f>
        <v>na</v>
      </c>
      <c r="L63" s="369" t="str">
        <f>Raw!CX63</f>
        <v>?</v>
      </c>
      <c r="M63" s="264"/>
      <c r="N63" s="264"/>
      <c r="O63" s="264"/>
      <c r="P63" s="264"/>
      <c r="Q63" s="264"/>
      <c r="R63" s="264"/>
      <c r="S63" s="264"/>
      <c r="T63" s="264"/>
      <c r="U63" s="264"/>
    </row>
    <row r="64">
      <c r="A64" s="238" t="str">
        <f>Raw!A64</f>
        <v>60 / D28</v>
      </c>
      <c r="B64" s="240">
        <f>Raw!E64</f>
        <v>42175</v>
      </c>
      <c r="C64" s="239" t="str">
        <f>Display_All!AE64</f>
        <v>DD1Fa</v>
      </c>
      <c r="D64" s="239" t="str">
        <f>Display_All!AF64</f>
        <v>31</v>
      </c>
      <c r="E64" s="368">
        <f>Raw!BI64</f>
        <v>0.561817121</v>
      </c>
      <c r="F64" s="239" t="str">
        <f>Raw!BJ64</f>
        <v>raw</v>
      </c>
      <c r="G64" s="239" t="str">
        <f>Raw!BM64</f>
        <v/>
      </c>
      <c r="H64" s="239" t="str">
        <f>Raw!BO64</f>
        <v>all to 25</v>
      </c>
      <c r="I64" s="241">
        <f>Raw!CA64</f>
        <v>6.895604396</v>
      </c>
      <c r="J64" s="241">
        <f>if(Raw!CS64&gt;0,Raw!CS64,"None")</f>
        <v>7.7</v>
      </c>
      <c r="K64" s="368">
        <f>Raw!CW64</f>
        <v>0.2483870968</v>
      </c>
      <c r="L64" s="369">
        <f>if(Raw!CX64&gt;0,Raw!CX64,"None")</f>
        <v>0.4421137902</v>
      </c>
      <c r="M64" s="264"/>
      <c r="N64" s="264"/>
      <c r="O64" s="264"/>
      <c r="P64" s="264"/>
      <c r="Q64" s="264"/>
      <c r="R64" s="264"/>
      <c r="S64" s="264"/>
      <c r="T64" s="264"/>
      <c r="U64" s="264"/>
    </row>
    <row r="65">
      <c r="A65" s="238" t="str">
        <f>Raw!A65</f>
        <v>61 / D29</v>
      </c>
      <c r="B65" s="240">
        <f>Raw!E65</f>
        <v>42289</v>
      </c>
      <c r="C65" s="239" t="str">
        <f>Display_All!AE65</f>
        <v>DD1Fa</v>
      </c>
      <c r="D65" s="239" t="str">
        <f>Display_All!AF65</f>
        <v>30.5</v>
      </c>
      <c r="E65" s="368">
        <f>Raw!BI65</f>
        <v>0.561817121</v>
      </c>
      <c r="F65" s="239" t="str">
        <f>Raw!BJ65</f>
        <v/>
      </c>
      <c r="G65" s="239" t="str">
        <f>Raw!BM65</f>
        <v/>
      </c>
      <c r="H65" s="239" t="str">
        <f>Raw!BO65</f>
        <v>all to 25</v>
      </c>
      <c r="I65" s="241">
        <f>Raw!CA65</f>
        <v>7.867036011</v>
      </c>
      <c r="J65" s="241">
        <f>if(Raw!CS65&gt;0,Raw!CS65,"None")</f>
        <v>4.3</v>
      </c>
      <c r="K65" s="368">
        <f>Raw!CW65</f>
        <v>0.1409836066</v>
      </c>
      <c r="L65" s="369">
        <f>if(Raw!CX65&gt;0,Raw!CX65,"None")</f>
        <v>0.2509421683</v>
      </c>
      <c r="M65" s="264"/>
      <c r="N65" s="264"/>
      <c r="O65" s="264"/>
      <c r="P65" s="264"/>
      <c r="Q65" s="264"/>
      <c r="R65" s="264"/>
      <c r="S65" s="264"/>
      <c r="T65" s="264"/>
      <c r="U65" s="264"/>
    </row>
    <row r="66">
      <c r="A66" s="238">
        <f>Raw!A66</f>
        <v>62</v>
      </c>
      <c r="B66" s="240">
        <f>Raw!E66</f>
        <v>42512</v>
      </c>
      <c r="C66" s="239" t="str">
        <f>Display_All!AE66</f>
        <v>DD1Fa</v>
      </c>
      <c r="D66" s="239" t="str">
        <f>Display_All!AF66</f>
        <v>29</v>
      </c>
      <c r="E66" s="368">
        <f>Raw!BI66</f>
        <v>0.561817121</v>
      </c>
      <c r="F66" s="239" t="str">
        <f>Raw!BJ66</f>
        <v>raw</v>
      </c>
      <c r="G66" s="239" t="str">
        <f>Raw!BM66</f>
        <v/>
      </c>
      <c r="H66" s="239" t="str">
        <f>Raw!BO66</f>
        <v>all to 25</v>
      </c>
      <c r="I66" s="241">
        <f>Raw!CA66</f>
        <v>6.761363636</v>
      </c>
      <c r="J66" s="241" t="str">
        <f>if(Raw!CS66&gt;0,Raw!CS66,"None")</f>
        <v>NR</v>
      </c>
      <c r="K66" s="368" t="str">
        <f>Raw!CW66</f>
        <v>NR</v>
      </c>
      <c r="L66" s="369" t="str">
        <f>if(Raw!CX66&gt;0,Raw!CX66,"None")</f>
        <v>NR</v>
      </c>
      <c r="M66" s="264"/>
      <c r="N66" s="264"/>
      <c r="O66" s="264"/>
      <c r="P66" s="264"/>
      <c r="Q66" s="264"/>
      <c r="R66" s="264"/>
      <c r="S66" s="264"/>
      <c r="T66" s="264"/>
      <c r="U66" s="264"/>
    </row>
    <row r="67">
      <c r="A67" s="238">
        <f>Raw!A67</f>
        <v>63</v>
      </c>
      <c r="B67" s="240">
        <f>Raw!E67</f>
        <v>42541</v>
      </c>
      <c r="C67" s="239" t="str">
        <f>Display_All!AE67</f>
        <v>DD1Fd/Bratton's Run Goethite</v>
      </c>
      <c r="D67" s="239" t="str">
        <f>Display_All!AF67</f>
        <v>13.4/6.3</v>
      </c>
      <c r="E67" s="368">
        <f>Raw!BI67</f>
        <v>0.5333272807</v>
      </c>
      <c r="F67" s="239" t="str">
        <f>Raw!BJ67</f>
        <v/>
      </c>
      <c r="G67" s="239" t="str">
        <f>Raw!BM67</f>
        <v/>
      </c>
      <c r="H67" s="239" t="str">
        <f>Raw!BO67</f>
        <v>all to 25 / 10</v>
      </c>
      <c r="I67" s="241">
        <f>Raw!CA67</f>
        <v>19.44444444</v>
      </c>
      <c r="J67" s="241">
        <f>if(Raw!CS67&gt;0,Raw!CS67,"None")</f>
        <v>4.9</v>
      </c>
      <c r="K67" s="368">
        <f>Raw!CW67</f>
        <v>0.2487309645</v>
      </c>
      <c r="L67" s="369">
        <f>if(Raw!CX67&gt;0,Raw!CX67,"None")</f>
        <v>0.4663758511</v>
      </c>
      <c r="M67" s="264"/>
      <c r="N67" s="264"/>
      <c r="O67" s="264"/>
      <c r="P67" s="264"/>
      <c r="Q67" s="264"/>
      <c r="R67" s="264"/>
      <c r="S67" s="264"/>
      <c r="T67" s="264"/>
      <c r="U67" s="264"/>
    </row>
    <row r="68">
      <c r="A68" s="238">
        <f>Raw!A68</f>
        <v>64</v>
      </c>
      <c r="B68" s="240">
        <f>Raw!E68</f>
        <v>42622</v>
      </c>
      <c r="C68" s="239" t="str">
        <f>Display_All!AE68</f>
        <v>Harres Bog Ore/Guldager Bog Ore</v>
      </c>
      <c r="D68" s="239" t="str">
        <f>Display_All!AF68</f>
        <v>15/15</v>
      </c>
      <c r="E68" s="368" t="str">
        <f>Raw!BI68</f>
        <v>?</v>
      </c>
      <c r="F68" s="239" t="str">
        <f>Raw!BJ68</f>
        <v>raw</v>
      </c>
      <c r="G68" s="239" t="str">
        <f>Raw!BM68</f>
        <v/>
      </c>
      <c r="H68" s="239" t="str">
        <f>Raw!BO68</f>
        <v>all to 25</v>
      </c>
      <c r="I68" s="241">
        <f>Raw!CA68</f>
        <v>5.857142857</v>
      </c>
      <c r="J68" s="241">
        <f>if(Raw!CS68&gt;0,Raw!CS68,"None")</f>
        <v>5.8</v>
      </c>
      <c r="K68" s="368">
        <f>Raw!CW68</f>
        <v>0.1933333333</v>
      </c>
      <c r="L68" s="369" t="str">
        <f>if(Raw!CX68&gt;0,Raw!CX68,"None")</f>
        <v>?</v>
      </c>
      <c r="M68" s="264"/>
      <c r="N68" s="264"/>
      <c r="O68" s="264"/>
      <c r="P68" s="264"/>
      <c r="Q68" s="264"/>
      <c r="R68" s="264"/>
      <c r="S68" s="264"/>
      <c r="T68" s="264"/>
      <c r="U68" s="264"/>
    </row>
    <row r="69">
      <c r="A69" s="238">
        <f>Raw!A69</f>
        <v>65</v>
      </c>
      <c r="B69" s="240">
        <f>Raw!E69</f>
        <v>42624</v>
      </c>
      <c r="C69" s="239" t="str">
        <f>Display_All!AE69</f>
        <v>Harres Bog Ore/Guldager Bog Ore</v>
      </c>
      <c r="D69" s="239" t="str">
        <f>Display_All!AF69</f>
        <v>20.5/20.5</v>
      </c>
      <c r="E69" s="368" t="str">
        <f>Raw!BI69</f>
        <v>?</v>
      </c>
      <c r="F69" s="239" t="str">
        <f>Raw!BJ69</f>
        <v>raw</v>
      </c>
      <c r="G69" s="239">
        <f>Raw!BM69</f>
        <v>2</v>
      </c>
      <c r="H69" s="239" t="str">
        <f>Raw!BO69</f>
        <v>all to 25</v>
      </c>
      <c r="I69" s="241">
        <f>Raw!CA69</f>
        <v>5.80952381</v>
      </c>
      <c r="J69" s="241">
        <f>if(Raw!CS69&gt;0,Raw!CS69,"None")</f>
        <v>8.2</v>
      </c>
      <c r="K69" s="368">
        <f>Raw!CW69</f>
        <v>0.2</v>
      </c>
      <c r="L69" s="369" t="str">
        <f>if(Raw!CX69&gt;0,Raw!CX69,"None")</f>
        <v>?</v>
      </c>
      <c r="M69" s="264"/>
      <c r="N69" s="264"/>
      <c r="O69" s="264"/>
      <c r="P69" s="264"/>
      <c r="Q69" s="264"/>
      <c r="R69" s="264"/>
      <c r="S69" s="264"/>
      <c r="T69" s="264"/>
      <c r="U69" s="264"/>
    </row>
    <row r="70">
      <c r="A70" s="238">
        <f>Raw!A70</f>
        <v>66</v>
      </c>
      <c r="B70" s="240">
        <f>Raw!E70</f>
        <v>42630</v>
      </c>
      <c r="C70" s="239" t="str">
        <f>Display_All!AE70</f>
        <v>Lecht Scotland Goethite</v>
      </c>
      <c r="D70" s="239" t="str">
        <f>Display_All!AF70</f>
        <v>36.5</v>
      </c>
      <c r="E70" s="368" t="str">
        <f>Raw!BI70</f>
        <v>?</v>
      </c>
      <c r="F70" s="239" t="str">
        <f>Raw!BJ70</f>
        <v>roasted</v>
      </c>
      <c r="G70" s="239" t="str">
        <f>Raw!BM70</f>
        <v/>
      </c>
      <c r="H70" s="239" t="str">
        <f>Raw!BO70</f>
        <v>all to 10</v>
      </c>
      <c r="I70" s="241">
        <f>Raw!CA70</f>
        <v>8.253968254</v>
      </c>
      <c r="J70" s="241">
        <f>if(Raw!CS70&gt;0,Raw!CS70,"None")</f>
        <v>3.5</v>
      </c>
      <c r="K70" s="368">
        <f>Raw!CW70</f>
        <v>0.09589041096</v>
      </c>
      <c r="L70" s="369" t="str">
        <f>if(Raw!CX70&gt;0,Raw!CX70,"None")</f>
        <v>?</v>
      </c>
      <c r="M70" s="264"/>
      <c r="N70" s="264"/>
      <c r="O70" s="264"/>
      <c r="P70" s="264"/>
      <c r="Q70" s="264"/>
      <c r="R70" s="264"/>
      <c r="S70" s="264"/>
      <c r="T70" s="264"/>
      <c r="U70" s="264"/>
    </row>
    <row r="71">
      <c r="A71" s="238">
        <f>Raw!A71</f>
        <v>67</v>
      </c>
      <c r="B71" s="240">
        <f>Raw!E71</f>
        <v>42637</v>
      </c>
      <c r="C71" s="239" t="str">
        <f>Display_All!AE71</f>
        <v>DD1-SSW</v>
      </c>
      <c r="D71" s="239" t="str">
        <f>Display_All!AF71</f>
        <v>36.4</v>
      </c>
      <c r="E71" s="368">
        <f>Raw!BI71</f>
        <v>0.5482634678</v>
      </c>
      <c r="F71" s="239" t="str">
        <f>Raw!BJ71</f>
        <v>roasted</v>
      </c>
      <c r="G71" s="239">
        <f>Raw!BM71</f>
        <v>3</v>
      </c>
      <c r="H71" s="239" t="str">
        <f>Raw!BO71</f>
        <v>all to 25</v>
      </c>
      <c r="I71" s="241">
        <f>Raw!CA71</f>
        <v>4.700854701</v>
      </c>
      <c r="J71" s="241">
        <f>if(Raw!CS71&gt;0,Raw!CS71,"None")</f>
        <v>1.5</v>
      </c>
      <c r="K71" s="368">
        <f>Raw!CW71</f>
        <v>0.04120879121</v>
      </c>
      <c r="L71" s="369">
        <f>if(Raw!CX71&gt;0,Raw!CX71,"None")</f>
        <v>0.07516238748</v>
      </c>
      <c r="M71" s="264"/>
      <c r="N71" s="264"/>
      <c r="O71" s="264"/>
      <c r="P71" s="264"/>
      <c r="Q71" s="264"/>
      <c r="R71" s="264"/>
      <c r="S71" s="264"/>
      <c r="T71" s="264"/>
      <c r="U71" s="264"/>
    </row>
    <row r="72">
      <c r="A72" s="238">
        <f>Raw!A72</f>
        <v>68</v>
      </c>
      <c r="B72" s="240">
        <f>Raw!E72</f>
        <v>42640</v>
      </c>
      <c r="C72" s="239" t="str">
        <f>Display_All!AE72</f>
        <v>Scotland Taconite/Lecht Scotland Goethite/Gromps</v>
      </c>
      <c r="D72" s="239" t="str">
        <f>Display_All!AF72</f>
        <v>22/6/6</v>
      </c>
      <c r="E72" s="368" t="str">
        <f>Raw!BI72</f>
        <v>?</v>
      </c>
      <c r="F72" s="239" t="str">
        <f>Raw!BJ72</f>
        <v>roasted</v>
      </c>
      <c r="G72" s="239">
        <f>Raw!BM72</f>
        <v>3</v>
      </c>
      <c r="H72" s="239" t="str">
        <f>Raw!BO72</f>
        <v>all to 25</v>
      </c>
      <c r="I72" s="241">
        <f>Raw!CA72</f>
        <v>4.84375</v>
      </c>
      <c r="J72" s="241">
        <f>if(Raw!CS72&gt;0,Raw!CS72,"None")</f>
        <v>9</v>
      </c>
      <c r="K72" s="368">
        <f>Raw!CW72</f>
        <v>0.2647058824</v>
      </c>
      <c r="L72" s="369" t="str">
        <f>if(Raw!CX72&gt;0,Raw!CX72,"None")</f>
        <v>?</v>
      </c>
      <c r="M72" s="264"/>
      <c r="N72" s="264"/>
      <c r="O72" s="264"/>
      <c r="P72" s="264"/>
      <c r="Q72" s="264"/>
      <c r="R72" s="264"/>
      <c r="S72" s="264"/>
      <c r="T72" s="264"/>
      <c r="U72" s="264"/>
    </row>
    <row r="73" hidden="1">
      <c r="A73" s="249">
        <f>Raw!A73</f>
        <v>69</v>
      </c>
      <c r="B73" s="251">
        <f>Raw!E73</f>
        <v>42622</v>
      </c>
      <c r="C73" s="250" t="str">
        <f>Raw!AX73</f>
        <v/>
      </c>
      <c r="D73" s="250" t="str">
        <f>Raw!AY73</f>
        <v/>
      </c>
      <c r="E73" s="371" t="str">
        <f>Raw!BI73</f>
        <v>na</v>
      </c>
      <c r="F73" s="250" t="str">
        <f>Raw!BJ73</f>
        <v/>
      </c>
      <c r="G73" s="250" t="str">
        <f>Raw!BM73</f>
        <v/>
      </c>
      <c r="H73" s="250" t="str">
        <f>Raw!BO73</f>
        <v/>
      </c>
      <c r="I73" s="262" t="str">
        <f>Raw!CA73</f>
        <v>na</v>
      </c>
      <c r="J73" s="262" t="str">
        <f>Raw!CS73</f>
        <v>na</v>
      </c>
      <c r="K73" s="368" t="str">
        <f>Raw!CW73</f>
        <v>na</v>
      </c>
      <c r="L73" s="369" t="str">
        <f>Raw!CX73</f>
        <v>?</v>
      </c>
      <c r="M73" s="264"/>
      <c r="N73" s="264"/>
      <c r="O73" s="264"/>
      <c r="P73" s="264"/>
      <c r="Q73" s="264"/>
      <c r="R73" s="264"/>
      <c r="S73" s="264"/>
      <c r="T73" s="264"/>
      <c r="U73" s="264"/>
    </row>
    <row r="74">
      <c r="A74" s="238" t="str">
        <f>Raw!A74</f>
        <v>70 / D30</v>
      </c>
      <c r="B74" s="240">
        <f>Raw!E74</f>
        <v>42672</v>
      </c>
      <c r="C74" s="239" t="str">
        <f>Display_All!AE74</f>
        <v>DD1</v>
      </c>
      <c r="D74" s="239" t="str">
        <f>Display_All!AF74</f>
        <v>25</v>
      </c>
      <c r="E74" s="368">
        <f>Raw!BI74</f>
        <v>0.5482634678</v>
      </c>
      <c r="F74" s="239" t="str">
        <f>Raw!BJ74</f>
        <v>raw</v>
      </c>
      <c r="G74" s="239" t="str">
        <f>Raw!BM74</f>
        <v/>
      </c>
      <c r="H74" s="239" t="str">
        <f>Raw!BO74</f>
        <v>all to 25</v>
      </c>
      <c r="I74" s="241">
        <f>Raw!CA74</f>
        <v>6.626865672</v>
      </c>
      <c r="J74" s="241">
        <f>if(Raw!CS74&gt;0,Raw!CS74,"None")</f>
        <v>2.5</v>
      </c>
      <c r="K74" s="368">
        <f>Raw!CW74</f>
        <v>0.1</v>
      </c>
      <c r="L74" s="369">
        <f>if(Raw!CX74&gt;0,Raw!CX74,"None")</f>
        <v>0.1823940603</v>
      </c>
      <c r="M74" s="264"/>
      <c r="N74" s="264"/>
      <c r="O74" s="264"/>
      <c r="P74" s="264"/>
      <c r="Q74" s="264"/>
      <c r="R74" s="264"/>
      <c r="S74" s="264"/>
      <c r="T74" s="264"/>
      <c r="U74" s="264"/>
    </row>
    <row r="75">
      <c r="A75" s="238">
        <f>Raw!A75</f>
        <v>71</v>
      </c>
      <c r="B75" s="240">
        <f>Raw!E75</f>
        <v>42693</v>
      </c>
      <c r="C75" s="239" t="str">
        <f>Display_All!AE75</f>
        <v>DD1</v>
      </c>
      <c r="D75" s="239" t="str">
        <f>Display_All!AF75</f>
        <v>4</v>
      </c>
      <c r="E75" s="368">
        <f>Raw!BI75</f>
        <v>0.5482634678</v>
      </c>
      <c r="F75" s="239" t="str">
        <f>Raw!BJ75</f>
        <v>raw</v>
      </c>
      <c r="G75" s="239">
        <f>Raw!BM75</f>
        <v>2</v>
      </c>
      <c r="H75" s="239" t="str">
        <f>Raw!BO75</f>
        <v>all to 25</v>
      </c>
      <c r="I75" s="241">
        <f>Raw!CA75</f>
        <v>9.722222222</v>
      </c>
      <c r="J75" s="239" t="str">
        <f>if(Raw!CS75&gt;0,Raw!CS75,"None")</f>
        <v>None</v>
      </c>
      <c r="K75" s="368" t="str">
        <f>Raw!CW75</f>
        <v>na</v>
      </c>
      <c r="L75" s="369" t="str">
        <f>if(Raw!CX75&gt;0,Raw!CX75,"None")</f>
        <v>na</v>
      </c>
      <c r="M75" s="264"/>
      <c r="N75" s="264"/>
      <c r="O75" s="264"/>
      <c r="P75" s="264"/>
      <c r="Q75" s="264"/>
      <c r="R75" s="264"/>
      <c r="S75" s="264"/>
      <c r="T75" s="264"/>
      <c r="U75" s="264"/>
    </row>
    <row r="76">
      <c r="A76" s="238">
        <f>Raw!A76</f>
        <v>72</v>
      </c>
      <c r="B76" s="240">
        <f>Raw!E76</f>
        <v>42704</v>
      </c>
      <c r="C76" s="239" t="str">
        <f>Display_All!AE76</f>
        <v>DD1Fa/Guy's Run Goethite</v>
      </c>
      <c r="D76" s="239" t="str">
        <f>Display_All!AF76</f>
        <v>25.2/6.5</v>
      </c>
      <c r="E76" s="368">
        <f>Raw!BI76</f>
        <v>0.5655454716</v>
      </c>
      <c r="F76" s="239" t="str">
        <f>Raw!BJ76</f>
        <v>roasted</v>
      </c>
      <c r="G76" s="239" t="str">
        <f>Raw!BM76</f>
        <v/>
      </c>
      <c r="H76" s="239" t="str">
        <f>Raw!BO76</f>
        <v>all to 25 / 10</v>
      </c>
      <c r="I76" s="241">
        <f>Raw!CA76</f>
        <v>7.42872807</v>
      </c>
      <c r="J76" s="241">
        <f>if(Raw!CS76&gt;0,Raw!CS76,"None")</f>
        <v>7.8</v>
      </c>
      <c r="K76" s="368">
        <f>Raw!CW76</f>
        <v>0.2460567823</v>
      </c>
      <c r="L76" s="369">
        <f>if(Raw!CX76&gt;0,Raw!CX76,"None")</f>
        <v>0.435078689</v>
      </c>
      <c r="M76" s="264"/>
      <c r="N76" s="264"/>
      <c r="O76" s="264"/>
      <c r="P76" s="264"/>
      <c r="Q76" s="264"/>
      <c r="R76" s="264"/>
      <c r="S76" s="264"/>
      <c r="T76" s="264"/>
      <c r="U76" s="264"/>
    </row>
    <row r="77">
      <c r="A77" s="238">
        <f>Raw!A77</f>
        <v>73</v>
      </c>
      <c r="B77" s="240">
        <f>Raw!E77</f>
        <v>42907</v>
      </c>
      <c r="C77" s="239" t="str">
        <f>Display_All!AE77</f>
        <v>DD1Fa</v>
      </c>
      <c r="D77" s="239" t="str">
        <f>Display_All!AF77</f>
        <v>26.9</v>
      </c>
      <c r="E77" s="368">
        <f>Raw!BI77</f>
        <v>0.561817121</v>
      </c>
      <c r="F77" s="239" t="str">
        <f>Raw!BJ77</f>
        <v>raw</v>
      </c>
      <c r="G77" s="239">
        <f>Raw!BM77</f>
        <v>3</v>
      </c>
      <c r="H77" s="239" t="str">
        <f>Raw!BO77</f>
        <v>all to 25</v>
      </c>
      <c r="I77" s="241">
        <f>Raw!CA77</f>
        <v>12.2324159</v>
      </c>
      <c r="J77" s="241">
        <f>if(Raw!CS77&gt;0,Raw!CS77,"None")</f>
        <v>4.9</v>
      </c>
      <c r="K77" s="368">
        <f>Raw!CW77</f>
        <v>0.1821561338</v>
      </c>
      <c r="L77" s="369">
        <f>if(Raw!CX77&gt;0,Raw!CX77,"None")</f>
        <v>0.3242267403</v>
      </c>
      <c r="M77" s="264"/>
      <c r="N77" s="264"/>
      <c r="O77" s="264"/>
      <c r="P77" s="264"/>
      <c r="Q77" s="264"/>
      <c r="R77" s="264"/>
      <c r="S77" s="264"/>
      <c r="T77" s="264"/>
      <c r="U77" s="264"/>
    </row>
    <row r="78">
      <c r="A78" s="238">
        <f>Raw!A78</f>
        <v>74</v>
      </c>
      <c r="B78" s="240">
        <f>Raw!E78</f>
        <v>42932</v>
      </c>
      <c r="C78" s="239" t="str">
        <f>Display_All!AE78</f>
        <v>DD1</v>
      </c>
      <c r="D78" s="239" t="str">
        <f>Display_All!AF78</f>
        <v>27.5</v>
      </c>
      <c r="E78" s="368">
        <f>Raw!BI78</f>
        <v>0.5482634678</v>
      </c>
      <c r="F78" s="239" t="str">
        <f>Raw!BJ78</f>
        <v>raw</v>
      </c>
      <c r="G78" s="239" t="str">
        <f>Raw!BM78</f>
        <v/>
      </c>
      <c r="H78" s="239" t="str">
        <f>Raw!BO78</f>
        <v>all to 25</v>
      </c>
      <c r="I78" s="241">
        <f>Raw!CA78</f>
        <v>8.5</v>
      </c>
      <c r="J78" s="241">
        <f>if(Raw!CS78&gt;0,Raw!CS78,"None")</f>
        <v>5.5</v>
      </c>
      <c r="K78" s="368">
        <f>Raw!CW78</f>
        <v>0.2</v>
      </c>
      <c r="L78" s="369">
        <f>if(Raw!CX78&gt;0,Raw!CX78,"None")</f>
        <v>0.3647881206</v>
      </c>
      <c r="M78" s="264"/>
      <c r="N78" s="264"/>
      <c r="O78" s="264"/>
      <c r="P78" s="264"/>
      <c r="Q78" s="264"/>
      <c r="R78" s="264"/>
      <c r="S78" s="264"/>
      <c r="T78" s="264"/>
      <c r="U78" s="264"/>
    </row>
    <row r="79">
      <c r="A79" s="238">
        <f>Raw!A79</f>
        <v>75</v>
      </c>
      <c r="B79" s="240">
        <f>Raw!E79</f>
        <v>42953</v>
      </c>
      <c r="C79" s="239" t="str">
        <f>Display_All!AE79</f>
        <v>DD1</v>
      </c>
      <c r="D79" s="239" t="str">
        <f>Display_All!AF79</f>
        <v>20</v>
      </c>
      <c r="E79" s="368">
        <f>Raw!BI79</f>
        <v>0.5482634678</v>
      </c>
      <c r="F79" s="239" t="str">
        <f>Raw!BJ79</f>
        <v>raw</v>
      </c>
      <c r="G79" s="239" t="str">
        <f>Raw!BM79</f>
        <v/>
      </c>
      <c r="H79" s="239" t="str">
        <f>Raw!BO79</f>
        <v>all to 25</v>
      </c>
      <c r="I79" s="241">
        <f>Raw!CA79</f>
        <v>5.263157895</v>
      </c>
      <c r="J79" s="241">
        <f>if(Raw!CS79&gt;0,Raw!CS79,"None")</f>
        <v>2.9</v>
      </c>
      <c r="K79" s="368">
        <f>Raw!CW79</f>
        <v>0.145</v>
      </c>
      <c r="L79" s="369">
        <f>if(Raw!CX79&gt;0,Raw!CX79,"None")</f>
        <v>0.2644713874</v>
      </c>
      <c r="M79" s="264"/>
      <c r="N79" s="264"/>
      <c r="O79" s="264"/>
      <c r="P79" s="264"/>
      <c r="Q79" s="264"/>
      <c r="R79" s="264"/>
      <c r="S79" s="264"/>
      <c r="T79" s="264"/>
      <c r="U79" s="264"/>
    </row>
    <row r="80">
      <c r="A80" s="238">
        <f>Raw!A80</f>
        <v>76</v>
      </c>
      <c r="B80" s="240">
        <f>Raw!E80</f>
        <v>43274</v>
      </c>
      <c r="C80" s="239" t="str">
        <f>Display_All!AE80</f>
        <v>DD1Fa/Gromps</v>
      </c>
      <c r="D80" s="239" t="str">
        <f>Display_All!AF80</f>
        <v>28.2/2</v>
      </c>
      <c r="E80" s="368" t="str">
        <f>Raw!BI80</f>
        <v>?</v>
      </c>
      <c r="F80" s="239" t="str">
        <f>Raw!BJ80</f>
        <v>raw</v>
      </c>
      <c r="G80" s="239">
        <f>Raw!BM80</f>
        <v>2</v>
      </c>
      <c r="H80" s="239" t="str">
        <f>Raw!BO80</f>
        <v>all to 25</v>
      </c>
      <c r="I80" s="241">
        <f>Raw!CA80</f>
        <v>7.875816993</v>
      </c>
      <c r="J80" s="241">
        <f>if(Raw!CS80&gt;0,Raw!CS80,"None")</f>
        <v>6.1</v>
      </c>
      <c r="K80" s="368">
        <f>Raw!CW80</f>
        <v>0.201986755</v>
      </c>
      <c r="L80" s="369" t="str">
        <f>if(Raw!CX80&gt;0,Raw!CX80,"None")</f>
        <v>?</v>
      </c>
      <c r="M80" s="264"/>
      <c r="N80" s="264"/>
      <c r="O80" s="264"/>
      <c r="P80" s="264"/>
      <c r="Q80" s="264"/>
      <c r="R80" s="264"/>
      <c r="S80" s="264"/>
      <c r="T80" s="264"/>
      <c r="U80" s="264"/>
    </row>
    <row r="81">
      <c r="A81" s="238">
        <f>Raw!A81</f>
        <v>77</v>
      </c>
      <c r="B81" s="240">
        <f>Raw!E81</f>
        <v>43281</v>
      </c>
      <c r="C81" s="239" t="str">
        <f>Display_All!AE81</f>
        <v>DD1Fa/Gromps</v>
      </c>
      <c r="D81" s="239" t="str">
        <f>Display_All!AF81</f>
        <v>29.3/1</v>
      </c>
      <c r="E81" s="368" t="str">
        <f>Raw!BI81</f>
        <v>?</v>
      </c>
      <c r="F81" s="239" t="str">
        <f>Raw!BJ81</f>
        <v>raw</v>
      </c>
      <c r="G81" s="239">
        <f>Raw!BM81</f>
        <v>5</v>
      </c>
      <c r="H81" s="239" t="str">
        <f>Raw!BO81</f>
        <v>all to 25</v>
      </c>
      <c r="I81" s="241">
        <f>Raw!CA81</f>
        <v>6.695906433</v>
      </c>
      <c r="J81" s="241">
        <f>if(Raw!CS81&gt;0,Raw!CS81,"None")</f>
        <v>11</v>
      </c>
      <c r="K81" s="368">
        <f>Raw!CW81</f>
        <v>0.3630363036</v>
      </c>
      <c r="L81" s="369" t="str">
        <f>if(Raw!CX81&gt;0,Raw!CX81,"None")</f>
        <v>?</v>
      </c>
      <c r="M81" s="264"/>
      <c r="N81" s="264"/>
      <c r="O81" s="264"/>
      <c r="P81" s="264"/>
      <c r="Q81" s="264"/>
      <c r="R81" s="264"/>
      <c r="S81" s="264"/>
      <c r="T81" s="264"/>
      <c r="U81" s="264"/>
    </row>
    <row r="82">
      <c r="A82" s="238">
        <f>Raw!A82</f>
        <v>78</v>
      </c>
      <c r="B82" s="240">
        <f>Raw!E82</f>
        <v>43359</v>
      </c>
      <c r="C82" s="239" t="str">
        <f>Display_All!AE82</f>
        <v>DD1Fa</v>
      </c>
      <c r="D82" s="239" t="str">
        <f>Display_All!AF82</f>
        <v>30.6</v>
      </c>
      <c r="E82" s="368">
        <f>Raw!BI82</f>
        <v>0.561817121</v>
      </c>
      <c r="F82" s="239" t="str">
        <f>Raw!BJ82</f>
        <v>raw</v>
      </c>
      <c r="G82" s="239" t="str">
        <f>Raw!BM82</f>
        <v/>
      </c>
      <c r="H82" s="239" t="str">
        <f>Raw!BO82</f>
        <v>all to 25</v>
      </c>
      <c r="I82" s="241">
        <f>Raw!CA82</f>
        <v>6.900584795</v>
      </c>
      <c r="J82" s="241">
        <f>if(Raw!CS82&gt;0,Raw!CS82,"None")</f>
        <v>5.4</v>
      </c>
      <c r="K82" s="368">
        <f>Raw!CW82</f>
        <v>0.1764705882</v>
      </c>
      <c r="L82" s="369">
        <f>if(Raw!CX82&gt;0,Raw!CX82,"None")</f>
        <v>0.3141068181</v>
      </c>
      <c r="M82" s="264"/>
      <c r="N82" s="264"/>
      <c r="O82" s="264"/>
      <c r="P82" s="264"/>
      <c r="Q82" s="264"/>
      <c r="R82" s="264"/>
      <c r="S82" s="264"/>
      <c r="T82" s="264"/>
      <c r="U82" s="264"/>
    </row>
    <row r="83">
      <c r="A83" s="238">
        <f>Raw!A83</f>
        <v>79</v>
      </c>
      <c r="B83" s="240">
        <f>Raw!E83</f>
        <v>43386</v>
      </c>
      <c r="C83" s="239" t="str">
        <f>Display_All!AE83</f>
        <v>DD1Fa/Guy's Run Goethite</v>
      </c>
      <c r="D83" s="239" t="str">
        <f>Display_All!AF83</f>
        <v>24/6</v>
      </c>
      <c r="E83" s="368">
        <f>Raw!BI83</f>
        <v>0.5654536968</v>
      </c>
      <c r="F83" s="239" t="str">
        <f>Raw!BJ83</f>
        <v>roasted</v>
      </c>
      <c r="G83" s="239">
        <f>Raw!BM83</f>
        <v>1.2</v>
      </c>
      <c r="H83" s="239" t="str">
        <f>Raw!BO83</f>
        <v>all to 25 / 10</v>
      </c>
      <c r="I83" s="241">
        <f>Raw!CA83</f>
        <v>7.777777778</v>
      </c>
      <c r="J83" s="241">
        <f>if(Raw!CS83&gt;0,Raw!CS83,"None")</f>
        <v>8.5</v>
      </c>
      <c r="K83" s="368">
        <f>Raw!CW83</f>
        <v>0.2833333333</v>
      </c>
      <c r="L83" s="369">
        <f>if(Raw!CX83&gt;0,Raw!CX83,"None")</f>
        <v>0.5010725634</v>
      </c>
      <c r="M83" s="264"/>
      <c r="N83" s="264"/>
      <c r="O83" s="264"/>
      <c r="P83" s="264"/>
      <c r="Q83" s="264"/>
      <c r="R83" s="264"/>
      <c r="S83" s="264"/>
      <c r="T83" s="264"/>
      <c r="U83" s="264"/>
    </row>
    <row r="84">
      <c r="A84" s="238">
        <f>Raw!A84</f>
        <v>80</v>
      </c>
      <c r="B84" s="240">
        <f>Raw!E84</f>
        <v>43391</v>
      </c>
      <c r="C84" s="239" t="str">
        <f>Display_All!AE84</f>
        <v>Bratton's Run Goethite/DD1Fa</v>
      </c>
      <c r="D84" s="239" t="str">
        <f>Display_All!AF84</f>
        <v>13/5.8</v>
      </c>
      <c r="E84" s="368">
        <f>Raw!BI84</f>
        <v>0.4869245253</v>
      </c>
      <c r="F84" s="239" t="str">
        <f>Raw!BJ84</f>
        <v>roasted</v>
      </c>
      <c r="G84" s="239" t="str">
        <f>Raw!BM84</f>
        <v/>
      </c>
      <c r="H84" s="239" t="str">
        <f>Raw!BO84</f>
        <v>all to 10 / 25</v>
      </c>
      <c r="I84" s="241">
        <f>Raw!CA84</f>
        <v>9.747474747</v>
      </c>
      <c r="J84" s="239" t="str">
        <f>if(Raw!CS84&gt;0,Raw!CS84,"None")</f>
        <v>None</v>
      </c>
      <c r="K84" s="368" t="str">
        <f>Raw!CW84</f>
        <v>na</v>
      </c>
      <c r="L84" s="369" t="str">
        <f>if(Raw!CX84&gt;0,Raw!CX84,"None")</f>
        <v>na</v>
      </c>
      <c r="M84" s="264"/>
      <c r="N84" s="264"/>
      <c r="O84" s="264"/>
      <c r="P84" s="264"/>
      <c r="Q84" s="264"/>
      <c r="R84" s="264"/>
      <c r="S84" s="264"/>
      <c r="T84" s="264"/>
      <c r="U84" s="264"/>
    </row>
    <row r="85">
      <c r="A85" s="238">
        <f>Raw!A85</f>
        <v>81</v>
      </c>
      <c r="B85" s="240">
        <f>Raw!E85</f>
        <v>43407</v>
      </c>
      <c r="C85" s="239" t="str">
        <f>Display_All!AE85</f>
        <v>Gromps</v>
      </c>
      <c r="D85" s="239" t="str">
        <f>Display_All!AF85</f>
        <v>0/14.5</v>
      </c>
      <c r="E85" s="368" t="str">
        <f>Raw!BI85</f>
        <v>na</v>
      </c>
      <c r="F85" s="239" t="str">
        <f>Raw!BJ85</f>
        <v>raw</v>
      </c>
      <c r="G85" s="239">
        <f>Raw!BM85</f>
        <v>3.5</v>
      </c>
      <c r="H85" s="239" t="str">
        <f>Raw!BO85</f>
        <v>NR</v>
      </c>
      <c r="I85" s="241">
        <f>Raw!CA85</f>
        <v>6.626984127</v>
      </c>
      <c r="J85" s="241">
        <f>if(Raw!CS85&gt;0,Raw!CS85,"None")</f>
        <v>8</v>
      </c>
      <c r="K85" s="368">
        <f>Raw!CW85</f>
        <v>0.5517241379</v>
      </c>
      <c r="L85" s="369" t="str">
        <f>if(Raw!CX85&gt;0,Raw!CX85,"None")</f>
        <v>?</v>
      </c>
      <c r="M85" s="264"/>
      <c r="N85" s="264"/>
      <c r="O85" s="264"/>
      <c r="P85" s="264"/>
      <c r="Q85" s="264"/>
      <c r="R85" s="264"/>
      <c r="S85" s="264"/>
      <c r="T85" s="264"/>
      <c r="U85" s="264"/>
    </row>
    <row r="86">
      <c r="A86" s="238">
        <f>Raw!A86</f>
        <v>82</v>
      </c>
      <c r="B86" s="240">
        <f>Raw!E86</f>
        <v>43638</v>
      </c>
      <c r="C86" s="239" t="str">
        <f>Display_All!AE86</f>
        <v>DD1Fb</v>
      </c>
      <c r="D86" s="239" t="str">
        <f>Display_All!AF86</f>
        <v>26.3</v>
      </c>
      <c r="E86" s="368">
        <f>Raw!BI86</f>
        <v>0.5726600436</v>
      </c>
      <c r="F86" s="239" t="str">
        <f>Raw!BJ86</f>
        <v>raw</v>
      </c>
      <c r="G86" s="239">
        <f>Raw!BM86</f>
        <v>2.8</v>
      </c>
      <c r="H86" s="239" t="str">
        <f>Raw!BO86</f>
        <v>all to 25</v>
      </c>
      <c r="I86" s="241">
        <f>Raw!CA86</f>
        <v>7.945478723</v>
      </c>
      <c r="J86" s="241">
        <f>if(Raw!CS86&gt;0,Raw!CS86,"None")</f>
        <v>7.03</v>
      </c>
      <c r="K86" s="368">
        <f>Raw!CW86</f>
        <v>0.2673003802</v>
      </c>
      <c r="L86" s="369">
        <f>if(Raw!CX86&gt;0,Raw!CX86,"None")</f>
        <v>0.466769741</v>
      </c>
      <c r="M86" s="264"/>
      <c r="N86" s="264"/>
      <c r="O86" s="264"/>
      <c r="P86" s="264"/>
      <c r="Q86" s="264"/>
      <c r="R86" s="264"/>
      <c r="S86" s="264"/>
      <c r="T86" s="264"/>
      <c r="U86" s="264"/>
    </row>
    <row r="87">
      <c r="A87" s="238">
        <f>Raw!A87</f>
        <v>83</v>
      </c>
      <c r="B87" s="240">
        <f>Raw!E87</f>
        <v>43751</v>
      </c>
      <c r="C87" s="239" t="str">
        <f>Display_All!AE87</f>
        <v>DD1Fb</v>
      </c>
      <c r="D87" s="239" t="str">
        <f>Display_All!AF87</f>
        <v>26.2</v>
      </c>
      <c r="E87" s="368">
        <f>Raw!BI87</f>
        <v>0.5726600436</v>
      </c>
      <c r="F87" s="239" t="str">
        <f>Raw!BJ87</f>
        <v>raw</v>
      </c>
      <c r="G87" s="239" t="str">
        <f>Raw!BM87</f>
        <v/>
      </c>
      <c r="H87" s="239" t="str">
        <f>Raw!BO87</f>
        <v>all to 25</v>
      </c>
      <c r="I87" s="241">
        <f>Raw!CA87</f>
        <v>6.597222222</v>
      </c>
      <c r="J87" s="241">
        <f>if(Raw!CS87&gt;0,Raw!CS87,"None")</f>
        <v>6.3</v>
      </c>
      <c r="K87" s="368">
        <f>Raw!CW87</f>
        <v>0.2404580153</v>
      </c>
      <c r="L87" s="369">
        <f>if(Raw!CX87&gt;0,Raw!CX87,"None")</f>
        <v>0.4198966175</v>
      </c>
      <c r="M87" s="264"/>
      <c r="N87" s="264"/>
      <c r="O87" s="264"/>
      <c r="P87" s="264"/>
      <c r="Q87" s="264"/>
      <c r="R87" s="264"/>
      <c r="S87" s="264"/>
      <c r="T87" s="264"/>
      <c r="U87" s="264"/>
    </row>
    <row r="88">
      <c r="A88" s="238">
        <f>Raw!A88</f>
        <v>84</v>
      </c>
      <c r="B88" s="240">
        <f>Raw!E88</f>
        <v>43768</v>
      </c>
      <c r="C88" s="239" t="str">
        <f>Display_All!AE88</f>
        <v>DD1Fb</v>
      </c>
      <c r="D88" s="239" t="str">
        <f>Display_All!AF88</f>
        <v>26</v>
      </c>
      <c r="E88" s="368">
        <f>Raw!BI88</f>
        <v>0.5726600436</v>
      </c>
      <c r="F88" s="239" t="str">
        <f>Raw!BJ88</f>
        <v>raw</v>
      </c>
      <c r="G88" s="239" t="str">
        <f>Raw!BM88</f>
        <v/>
      </c>
      <c r="H88" s="239" t="str">
        <f>Raw!BO88</f>
        <v>all to 25</v>
      </c>
      <c r="I88" s="241">
        <f>Raw!CA88</f>
        <v>7.703703704</v>
      </c>
      <c r="J88" s="241">
        <f>if(Raw!CS88&gt;0,Raw!CS88,"None")</f>
        <v>6.8</v>
      </c>
      <c r="K88" s="368">
        <f>Raw!CW88</f>
        <v>0.2615384615</v>
      </c>
      <c r="L88" s="369">
        <f>if(Raw!CX88&gt;0,Raw!CX88,"None")</f>
        <v>0.4567080669</v>
      </c>
      <c r="M88" s="264"/>
      <c r="N88" s="264"/>
      <c r="O88" s="264"/>
      <c r="P88" s="264"/>
      <c r="Q88" s="264"/>
      <c r="R88" s="264"/>
      <c r="S88" s="264"/>
      <c r="T88" s="264"/>
      <c r="U88" s="264"/>
    </row>
    <row r="89">
      <c r="A89" s="238" t="str">
        <f>Raw!A89</f>
        <v>85 / D31</v>
      </c>
      <c r="B89" s="240">
        <f>Raw!E89</f>
        <v>44002</v>
      </c>
      <c r="C89" s="239" t="str">
        <f>Display_All!AE89</f>
        <v>DD1/Gromps</v>
      </c>
      <c r="D89" s="239" t="str">
        <f>Display_All!AF89</f>
        <v>25/1</v>
      </c>
      <c r="E89" s="368" t="str">
        <f>Raw!BI89</f>
        <v>?</v>
      </c>
      <c r="F89" s="239" t="str">
        <f>Raw!BJ89</f>
        <v>raw</v>
      </c>
      <c r="G89" s="239">
        <f>Raw!BM89</f>
        <v>4</v>
      </c>
      <c r="H89" s="239" t="str">
        <f>Raw!BO89</f>
        <v>all to 25</v>
      </c>
      <c r="I89" s="241">
        <f>Raw!CA89</f>
        <v>7.46031746</v>
      </c>
      <c r="J89" s="241">
        <f>if(Raw!CS89&gt;0,Raw!CS89,"None")</f>
        <v>2.6</v>
      </c>
      <c r="K89" s="368">
        <f>Raw!CW89</f>
        <v>0.1</v>
      </c>
      <c r="L89" s="369" t="str">
        <f>if(Raw!CX89&gt;0,Raw!CX89,"None")</f>
        <v>?</v>
      </c>
      <c r="M89" s="264"/>
      <c r="N89" s="264"/>
      <c r="O89" s="264"/>
      <c r="P89" s="264"/>
      <c r="Q89" s="264"/>
      <c r="R89" s="264"/>
      <c r="S89" s="264"/>
      <c r="T89" s="264"/>
      <c r="U89" s="264"/>
    </row>
    <row r="90">
      <c r="A90" s="238">
        <f>Raw!A90</f>
        <v>86</v>
      </c>
      <c r="B90" s="240">
        <f>Raw!E90</f>
        <v>44115</v>
      </c>
      <c r="C90" s="239" t="str">
        <f>Display_All!AE90</f>
        <v>DD1Fc</v>
      </c>
      <c r="D90" s="239" t="str">
        <f>Display_All!AF90</f>
        <v>28.5</v>
      </c>
      <c r="E90" s="368">
        <f>Raw!BI90</f>
        <v>0.569949313</v>
      </c>
      <c r="F90" s="239" t="str">
        <f>Raw!BJ90</f>
        <v>raw</v>
      </c>
      <c r="G90" s="239">
        <f>Raw!BM90</f>
        <v>4</v>
      </c>
      <c r="H90" s="239" t="str">
        <f>Raw!BO90</f>
        <v>all to 25</v>
      </c>
      <c r="I90" s="241">
        <f>Raw!CA90</f>
        <v>8.259259259</v>
      </c>
      <c r="J90" s="241">
        <f>if(Raw!CS90&gt;0,Raw!CS90,"None")</f>
        <v>5.5</v>
      </c>
      <c r="K90" s="368">
        <f>Raw!CW90</f>
        <v>0.1929824561</v>
      </c>
      <c r="L90" s="369">
        <f>if(Raw!CX90&gt;0,Raw!CX90,"None")</f>
        <v>0.338595822</v>
      </c>
      <c r="M90" s="264"/>
      <c r="N90" s="264"/>
      <c r="O90" s="264"/>
      <c r="P90" s="264"/>
      <c r="Q90" s="264"/>
      <c r="R90" s="264"/>
      <c r="S90" s="264"/>
      <c r="T90" s="264"/>
      <c r="U90" s="264"/>
    </row>
    <row r="91">
      <c r="A91" s="238" t="str">
        <f>Raw!A91</f>
        <v>87 / D32</v>
      </c>
      <c r="B91" s="240">
        <f>Raw!E91</f>
        <v>44135</v>
      </c>
      <c r="C91" s="239" t="str">
        <f>Display_All!AE91</f>
        <v>DD1-65/Bratton's Run Goethite/Opta Hematite/Guy's Run Goethite/Gromps</v>
      </c>
      <c r="D91" s="239" t="str">
        <f>Display_All!AF91</f>
        <v>31.5/14/6.5/6.5/6.5</v>
      </c>
      <c r="E91" s="368" t="str">
        <f>Raw!BI91</f>
        <v>?</v>
      </c>
      <c r="F91" s="239" t="str">
        <f>Raw!BJ91</f>
        <v>various</v>
      </c>
      <c r="G91" s="239">
        <f>Raw!BM91</f>
        <v>3</v>
      </c>
      <c r="H91" s="239" t="str">
        <f>Raw!BO91</f>
        <v>various</v>
      </c>
      <c r="I91" s="241">
        <f>Raw!CA91</f>
        <v>6.835222319</v>
      </c>
      <c r="J91" s="241">
        <f>if(Raw!CS91&gt;0,Raw!CS91,"None")</f>
        <v>15.9</v>
      </c>
      <c r="K91" s="368">
        <f>Raw!CW91</f>
        <v>0.2446153846</v>
      </c>
      <c r="L91" s="369" t="str">
        <f>if(Raw!CX91&gt;0,Raw!CX91,"None")</f>
        <v>?</v>
      </c>
      <c r="M91" s="264"/>
      <c r="N91" s="264"/>
      <c r="O91" s="264"/>
      <c r="P91" s="264"/>
      <c r="Q91" s="264"/>
      <c r="R91" s="264"/>
      <c r="S91" s="264"/>
      <c r="T91" s="264"/>
      <c r="U91" s="264"/>
    </row>
    <row r="92">
      <c r="A92" s="238" t="str">
        <f>Raw!A92</f>
        <v>88 / D33</v>
      </c>
      <c r="B92" s="240">
        <f>Raw!E92</f>
        <v>44366</v>
      </c>
      <c r="C92" s="239" t="str">
        <f>Display_All!AE92</f>
        <v>DD1</v>
      </c>
      <c r="D92" s="239" t="str">
        <f>Display_All!AF92</f>
        <v>25.5</v>
      </c>
      <c r="E92" s="368">
        <f>Raw!BI92</f>
        <v>0.5482634678</v>
      </c>
      <c r="F92" s="239" t="str">
        <f>Raw!BJ92</f>
        <v>raw</v>
      </c>
      <c r="G92" s="239">
        <f>Raw!BM92</f>
        <v>5</v>
      </c>
      <c r="H92" s="239" t="str">
        <f>Raw!BO92</f>
        <v>all to 25</v>
      </c>
      <c r="I92" s="241">
        <f>Raw!CA92</f>
        <v>8.611111111</v>
      </c>
      <c r="J92" s="241">
        <f>if(Raw!CS92&gt;0,Raw!CS92,"None")</f>
        <v>8.9</v>
      </c>
      <c r="K92" s="368">
        <f>Raw!CW92</f>
        <v>0.3490196078</v>
      </c>
      <c r="L92" s="369">
        <f>if(Raw!CX92&gt;0,Raw!CX92,"None")</f>
        <v>0.6365910339</v>
      </c>
      <c r="M92" s="264"/>
      <c r="N92" s="264"/>
      <c r="O92" s="264"/>
      <c r="P92" s="264"/>
      <c r="Q92" s="264"/>
      <c r="R92" s="264"/>
      <c r="S92" s="264"/>
      <c r="T92" s="264"/>
      <c r="U92" s="264"/>
    </row>
    <row r="93">
      <c r="A93" s="238" t="str">
        <f>Raw!A93</f>
        <v>89 / D34</v>
      </c>
      <c r="B93" s="240">
        <f>Raw!E93</f>
        <v>44443</v>
      </c>
      <c r="C93" s="239" t="str">
        <f>Display_All!AE93</f>
        <v>DD1</v>
      </c>
      <c r="D93" s="239" t="str">
        <f>Display_All!AF93</f>
        <v>26</v>
      </c>
      <c r="E93" s="368">
        <f>Raw!BI93</f>
        <v>0.5482634678</v>
      </c>
      <c r="F93" s="239" t="str">
        <f>Raw!BJ93</f>
        <v>raw</v>
      </c>
      <c r="G93" s="239">
        <f>Raw!BM93</f>
        <v>4.3</v>
      </c>
      <c r="H93" s="239" t="str">
        <f>Raw!BO93</f>
        <v>all to 25</v>
      </c>
      <c r="I93" s="241">
        <f>Raw!CA93</f>
        <v>5.777027027</v>
      </c>
      <c r="J93" s="241">
        <f>if(Raw!CS93&gt;0,Raw!CS93,"None")</f>
        <v>8.2</v>
      </c>
      <c r="K93" s="368">
        <f>Raw!CW93</f>
        <v>0.3153846154</v>
      </c>
      <c r="L93" s="369">
        <f>if(Raw!CX93&gt;0,Raw!CX93,"None")</f>
        <v>0.5752428055</v>
      </c>
      <c r="M93" s="264"/>
      <c r="N93" s="264"/>
      <c r="O93" s="264"/>
      <c r="P93" s="264"/>
      <c r="Q93" s="264"/>
      <c r="R93" s="264"/>
      <c r="S93" s="264"/>
      <c r="T93" s="264"/>
      <c r="U93" s="264"/>
    </row>
    <row r="94">
      <c r="A94" s="238" t="str">
        <f>Raw!A94</f>
        <v>90 / D35</v>
      </c>
      <c r="B94" s="240">
        <f>Raw!E94</f>
        <v>44497</v>
      </c>
      <c r="C94" s="239" t="str">
        <f>Display_All!AE94</f>
        <v>DD1</v>
      </c>
      <c r="D94" s="239" t="str">
        <f>Display_All!AF94</f>
        <v>24.3</v>
      </c>
      <c r="E94" s="368">
        <f>Raw!BI94</f>
        <v>0.5482634678</v>
      </c>
      <c r="F94" s="239" t="str">
        <f>Raw!BJ94</f>
        <v>raw</v>
      </c>
      <c r="G94" s="239">
        <f>Raw!BM94</f>
        <v>1.5</v>
      </c>
      <c r="H94" s="239" t="str">
        <f>Raw!BO94</f>
        <v>all to 25</v>
      </c>
      <c r="I94" s="241">
        <f>Raw!CA94</f>
        <v>7.236842105</v>
      </c>
      <c r="J94" s="241">
        <f>if(Raw!CS94&gt;0,Raw!CS94,"None")</f>
        <v>7.6</v>
      </c>
      <c r="K94" s="368">
        <f>Raw!CW94</f>
        <v>0.3127572016</v>
      </c>
      <c r="L94" s="369">
        <f>if(Raw!CX94&gt;0,Raw!CX94,"None")</f>
        <v>0.5704505589</v>
      </c>
      <c r="M94" s="264"/>
      <c r="N94" s="264"/>
      <c r="O94" s="264"/>
      <c r="P94" s="264"/>
      <c r="Q94" s="264"/>
      <c r="R94" s="264"/>
      <c r="S94" s="264"/>
      <c r="T94" s="264"/>
      <c r="U94" s="264"/>
    </row>
    <row r="95">
      <c r="A95" s="238" t="str">
        <f>Raw!A95</f>
        <v>91 / D36</v>
      </c>
      <c r="B95" s="240">
        <f>Raw!E95</f>
        <v>44734</v>
      </c>
      <c r="C95" s="239" t="str">
        <f>Display_All!AE95</f>
        <v>DD1/Bratton's Run Goethite</v>
      </c>
      <c r="D95" s="239" t="str">
        <f>Display_All!AF95</f>
        <v>24.5/2</v>
      </c>
      <c r="E95" s="368">
        <f>Raw!BI95</f>
        <v>0.5411123311</v>
      </c>
      <c r="F95" s="239" t="str">
        <f>Raw!BJ95</f>
        <v>raw</v>
      </c>
      <c r="G95" s="239" t="str">
        <f>Raw!BM95</f>
        <v/>
      </c>
      <c r="H95" s="239" t="str">
        <f>Raw!BO95</f>
        <v>all to 25 / 10</v>
      </c>
      <c r="I95" s="241">
        <f>Raw!CA95</f>
        <v>13.14814815</v>
      </c>
      <c r="J95" s="241">
        <f>if(Raw!CS95&gt;0,Raw!CS95,"None")</f>
        <v>7</v>
      </c>
      <c r="K95" s="368">
        <f>Raw!CW95</f>
        <v>0.2641509434</v>
      </c>
      <c r="L95" s="369">
        <f>if(Raw!CX95&gt;0,Raw!CX95,"None")</f>
        <v>0.4881628605</v>
      </c>
      <c r="M95" s="264"/>
      <c r="N95" s="264"/>
      <c r="O95" s="264"/>
      <c r="P95" s="264"/>
      <c r="Q95" s="264"/>
      <c r="R95" s="264"/>
      <c r="S95" s="264"/>
      <c r="T95" s="264"/>
      <c r="U95" s="264"/>
    </row>
    <row r="96">
      <c r="A96" s="238">
        <f>Raw!A96</f>
        <v>92</v>
      </c>
      <c r="B96" s="240">
        <f>Raw!E96</f>
        <v>44863</v>
      </c>
      <c r="C96" s="239" t="str">
        <f>Display_All!AE96</f>
        <v>DD1/Bratton's Run Goethite</v>
      </c>
      <c r="D96" s="239" t="str">
        <f>Display_All!AF96</f>
        <v>24.5/2</v>
      </c>
      <c r="E96" s="368">
        <f>Raw!BI96</f>
        <v>0.5411123311</v>
      </c>
      <c r="F96" s="239" t="str">
        <f>Raw!BJ96</f>
        <v>raw</v>
      </c>
      <c r="G96" s="239" t="str">
        <f>Raw!BM96</f>
        <v/>
      </c>
      <c r="H96" s="239" t="str">
        <f>Raw!BO96</f>
        <v>all to 25 / 10</v>
      </c>
      <c r="I96" s="241">
        <f>Raw!CA96</f>
        <v>11.18357488</v>
      </c>
      <c r="J96" s="241">
        <f>if(Raw!CS96&gt;0,Raw!CS96,"None")</f>
        <v>5</v>
      </c>
      <c r="K96" s="368">
        <f>Raw!CW96</f>
        <v>0.1886792453</v>
      </c>
      <c r="L96" s="369">
        <f>if(Raw!CX96&gt;0,Raw!CX96,"None")</f>
        <v>0.3486877575</v>
      </c>
      <c r="M96" s="264"/>
      <c r="N96" s="264"/>
      <c r="O96" s="264"/>
      <c r="P96" s="264"/>
      <c r="Q96" s="264"/>
      <c r="R96" s="264"/>
      <c r="S96" s="264"/>
      <c r="T96" s="264"/>
      <c r="U96" s="264"/>
    </row>
    <row r="97">
      <c r="A97" s="238">
        <f>Raw!A97</f>
        <v>93</v>
      </c>
      <c r="B97" s="240">
        <f>Raw!E97</f>
        <v>45165</v>
      </c>
      <c r="C97" s="239" t="str">
        <f>Display_All!AE97</f>
        <v>Antrim Irish Hematite</v>
      </c>
      <c r="D97" s="239" t="str">
        <f>Display_All!AF97</f>
        <v>25.5</v>
      </c>
      <c r="E97" s="368">
        <f>Raw!BI97</f>
        <v>0.3497153807</v>
      </c>
      <c r="F97" s="239" t="str">
        <f>Raw!BJ97</f>
        <v>roasted</v>
      </c>
      <c r="G97" s="239" t="str">
        <f>Raw!BM97</f>
        <v/>
      </c>
      <c r="H97" s="239" t="str">
        <f>Raw!BO97</f>
        <v>all to 5</v>
      </c>
      <c r="I97" s="241">
        <f>Raw!CA97</f>
        <v>7.625</v>
      </c>
      <c r="J97" s="241">
        <f>if(Raw!CS97&gt;0,Raw!CS97,"None")</f>
        <v>1.4</v>
      </c>
      <c r="K97" s="368">
        <f>Raw!CW97</f>
        <v>0.05490196078</v>
      </c>
      <c r="L97" s="369">
        <f>if(Raw!CX97&gt;0,Raw!CX97,"None")</f>
        <v>0.1569904094</v>
      </c>
      <c r="M97" s="264"/>
      <c r="N97" s="264"/>
      <c r="O97" s="264"/>
      <c r="P97" s="264"/>
      <c r="Q97" s="264"/>
      <c r="R97" s="264"/>
      <c r="S97" s="264"/>
      <c r="T97" s="264"/>
      <c r="U97" s="264"/>
    </row>
    <row r="98">
      <c r="A98" s="238" t="str">
        <f>Raw!A98</f>
        <v>94 / D37</v>
      </c>
      <c r="B98" s="240">
        <f>Raw!E98</f>
        <v>45227</v>
      </c>
      <c r="C98" s="239" t="str">
        <f>Display_All!AE98</f>
        <v>DD1</v>
      </c>
      <c r="D98" s="239" t="str">
        <f>Display_All!AF98</f>
        <v>17.5</v>
      </c>
      <c r="E98" s="368">
        <f>Raw!BI98</f>
        <v>0.5482634678</v>
      </c>
      <c r="F98" s="239" t="str">
        <f>Raw!BJ98</f>
        <v>raw</v>
      </c>
      <c r="G98" s="239">
        <f>Raw!BM98</f>
        <v>2.8</v>
      </c>
      <c r="H98" s="239" t="str">
        <f>Raw!BO98</f>
        <v>all to 25</v>
      </c>
      <c r="I98" s="241">
        <f>Raw!CA98</f>
        <v>17.88288288</v>
      </c>
      <c r="J98" s="241">
        <f>if(Raw!CS98&gt;0,Raw!CS98,"None")</f>
        <v>3.023</v>
      </c>
      <c r="K98" s="368">
        <f>Raw!CW98</f>
        <v>0.1727428571</v>
      </c>
      <c r="L98" s="369">
        <f>if(Raw!CX98&gt;0,Raw!CX98,"None")</f>
        <v>0.315072711</v>
      </c>
      <c r="M98" s="264"/>
      <c r="N98" s="264"/>
      <c r="O98" s="264"/>
      <c r="P98" s="264"/>
      <c r="Q98" s="264"/>
      <c r="R98" s="264"/>
      <c r="S98" s="264"/>
      <c r="T98" s="264"/>
      <c r="U98" s="264"/>
    </row>
    <row r="99">
      <c r="A99" s="238" t="str">
        <f>Raw!A99</f>
        <v>95 / D38</v>
      </c>
      <c r="B99" s="240">
        <f>Raw!E99</f>
        <v>45464</v>
      </c>
      <c r="C99" s="239" t="str">
        <f>Display_All!AE99</f>
        <v>DD1</v>
      </c>
      <c r="D99" s="239" t="str">
        <f>Display_All!AF99</f>
        <v>17.5</v>
      </c>
      <c r="E99" s="368">
        <f>Raw!BI99</f>
        <v>0.5482634678</v>
      </c>
      <c r="F99" s="239" t="str">
        <f>Raw!BJ99</f>
        <v>raw</v>
      </c>
      <c r="G99" s="239">
        <f>Raw!BM99</f>
        <v>4</v>
      </c>
      <c r="H99" s="239" t="str">
        <f>Raw!BO99</f>
        <v>all to 25</v>
      </c>
      <c r="I99" s="241">
        <f>Raw!CA99</f>
        <v>11.9924812</v>
      </c>
      <c r="J99" s="241" t="str">
        <f>if(Raw!CS99&gt;0,Raw!CS99,"None")</f>
        <v>NR</v>
      </c>
      <c r="K99" s="368" t="str">
        <f>Raw!CW99</f>
        <v>NR</v>
      </c>
      <c r="L99" s="369" t="str">
        <f>if(Raw!CX99&gt;0,Raw!CX99,"None")</f>
        <v>NR</v>
      </c>
      <c r="M99" s="264"/>
      <c r="N99" s="264"/>
      <c r="O99" s="264"/>
      <c r="P99" s="264"/>
      <c r="Q99" s="264"/>
      <c r="R99" s="264"/>
      <c r="S99" s="264"/>
      <c r="T99" s="264"/>
      <c r="U99" s="264"/>
    </row>
    <row r="100">
      <c r="A100" s="249" t="str">
        <f>Raw!A100</f>
        <v>96 / D39</v>
      </c>
      <c r="B100" s="251">
        <f>Raw!E100</f>
        <v>45578</v>
      </c>
      <c r="C100" s="250" t="str">
        <f>Display_All!AE100</f>
        <v>DD1</v>
      </c>
      <c r="D100" s="250" t="str">
        <f>Display_All!AF100</f>
        <v>15</v>
      </c>
      <c r="E100" s="371">
        <f>Raw!BI100</f>
        <v>0.5482634678</v>
      </c>
      <c r="F100" s="250" t="str">
        <f>Raw!BJ100</f>
        <v>raw</v>
      </c>
      <c r="G100" s="250">
        <f>Raw!BM100</f>
        <v>3</v>
      </c>
      <c r="H100" s="250" t="str">
        <f>Raw!BO100</f>
        <v>all to 25</v>
      </c>
      <c r="I100" s="262">
        <f>Raw!CA100</f>
        <v>20.75</v>
      </c>
      <c r="J100" s="262">
        <f>if(Raw!CS100&gt;0,Raw!CS100,"None")</f>
        <v>3.302</v>
      </c>
      <c r="K100" s="371">
        <f>Raw!CW100</f>
        <v>0.2201333333</v>
      </c>
      <c r="L100" s="372">
        <f>if(Raw!CX100&gt;0,Raw!CX100,"None")</f>
        <v>0.4015101247</v>
      </c>
      <c r="M100" s="264"/>
      <c r="N100" s="264"/>
      <c r="O100" s="264"/>
      <c r="P100" s="264"/>
      <c r="Q100" s="264"/>
      <c r="R100" s="264"/>
      <c r="S100" s="264"/>
      <c r="T100" s="264"/>
      <c r="U100" s="264"/>
    </row>
    <row r="101">
      <c r="A101" s="249">
        <f>Raw!A101</f>
        <v>97</v>
      </c>
      <c r="B101" s="251">
        <f>Raw!E101</f>
        <v>45584</v>
      </c>
      <c r="C101" s="250" t="str">
        <f>Display_All!AE101</f>
        <v>Leslie Plate Ore</v>
      </c>
      <c r="D101" s="250" t="str">
        <f>Display_All!AF101</f>
        <v>31</v>
      </c>
      <c r="E101" s="371" t="str">
        <f>Raw!BI101</f>
        <v>?</v>
      </c>
      <c r="F101" s="250" t="str">
        <f>Raw!BJ101</f>
        <v/>
      </c>
      <c r="G101" s="250" t="str">
        <f>Raw!BM101</f>
        <v/>
      </c>
      <c r="H101" s="250" t="str">
        <f>Raw!BO101</f>
        <v/>
      </c>
      <c r="I101" s="262">
        <f>Raw!CA101</f>
        <v>13.12964492</v>
      </c>
      <c r="J101" s="262">
        <f>if(Raw!CS101&gt;0,Raw!CS101,"None")</f>
        <v>2.8</v>
      </c>
      <c r="K101" s="371">
        <f>Raw!CW101</f>
        <v>0.09032258065</v>
      </c>
      <c r="L101" s="372" t="str">
        <f>if(Raw!CX101&gt;0,Raw!CX101,"None")</f>
        <v>?</v>
      </c>
      <c r="M101" s="264"/>
      <c r="N101" s="264"/>
      <c r="O101" s="264"/>
      <c r="P101" s="264"/>
      <c r="Q101" s="264"/>
      <c r="R101" s="264"/>
      <c r="S101" s="264"/>
      <c r="T101" s="264"/>
      <c r="U101" s="264"/>
    </row>
    <row r="102">
      <c r="A102" s="249" t="str">
        <f>Raw!A102</f>
        <v>98 / D40</v>
      </c>
      <c r="B102" s="251">
        <f>Raw!E102</f>
        <v>45599</v>
      </c>
      <c r="C102" s="250" t="str">
        <f>Display_All!AE102</f>
        <v>DD1</v>
      </c>
      <c r="D102" s="250" t="str">
        <f>Display_All!AF102</f>
        <v>17</v>
      </c>
      <c r="E102" s="371">
        <f>Raw!BI102</f>
        <v>0.5482634678</v>
      </c>
      <c r="F102" s="250" t="str">
        <f>Raw!BJ102</f>
        <v>raw</v>
      </c>
      <c r="G102" s="250">
        <f>Raw!BM102</f>
        <v>4</v>
      </c>
      <c r="H102" s="250" t="str">
        <f>Raw!BO102</f>
        <v>all to 25</v>
      </c>
      <c r="I102" s="262">
        <f>Raw!CA102</f>
        <v>7.727272727</v>
      </c>
      <c r="J102" s="250">
        <f>if(Raw!CS102&gt;0,Raw!CS102,"None")</f>
        <v>0.971</v>
      </c>
      <c r="K102" s="371">
        <f>Raw!CW102</f>
        <v>0.05727937706</v>
      </c>
      <c r="L102" s="372">
        <f>if(Raw!CX102&gt;0,Raw!CX102,"None")</f>
        <v>0.1044741815</v>
      </c>
      <c r="M102" s="264"/>
      <c r="N102" s="264"/>
      <c r="O102" s="264"/>
      <c r="P102" s="264"/>
      <c r="Q102" s="264"/>
      <c r="R102" s="264"/>
      <c r="S102" s="264"/>
      <c r="T102" s="264"/>
      <c r="U102" s="264"/>
    </row>
    <row r="103">
      <c r="A103" s="249">
        <f>Raw!A103</f>
        <v>99</v>
      </c>
      <c r="B103" s="251">
        <f>Raw!E103</f>
        <v>45605</v>
      </c>
      <c r="C103" s="250" t="str">
        <f>Display_All!AE103</f>
        <v>Gatineau Magnetite</v>
      </c>
      <c r="D103" s="250" t="str">
        <f>Display_All!AF103</f>
        <v>34.5</v>
      </c>
      <c r="E103" s="371" t="str">
        <f>Raw!BI103</f>
        <v>?</v>
      </c>
      <c r="F103" s="250" t="str">
        <f>Raw!BJ103</f>
        <v/>
      </c>
      <c r="G103" s="250">
        <f>Raw!BM103</f>
        <v>2</v>
      </c>
      <c r="H103" s="250" t="str">
        <f>Raw!BO103</f>
        <v>all to 25</v>
      </c>
      <c r="I103" s="262">
        <f>Raw!CA103</f>
        <v>6.744186047</v>
      </c>
      <c r="J103" s="250" t="str">
        <f>if(Raw!CS103&gt;0,Raw!CS103,"None")</f>
        <v>None</v>
      </c>
      <c r="K103" s="371" t="str">
        <f>Raw!CW103</f>
        <v>na</v>
      </c>
      <c r="L103" s="372" t="str">
        <f>if(Raw!CX103&gt;0,Raw!CX103,"None")</f>
        <v>?</v>
      </c>
      <c r="M103" s="264"/>
      <c r="N103" s="264"/>
      <c r="O103" s="264"/>
      <c r="P103" s="264"/>
      <c r="Q103" s="264"/>
      <c r="R103" s="264"/>
      <c r="S103" s="264"/>
      <c r="T103" s="264"/>
      <c r="U103" s="264"/>
    </row>
    <row r="104">
      <c r="A104" s="265">
        <f>Raw!A104</f>
        <v>100</v>
      </c>
      <c r="B104" s="267" t="str">
        <f>Raw!E104</f>
        <v/>
      </c>
      <c r="C104" s="266" t="str">
        <f>Display_All!AE104</f>
        <v/>
      </c>
      <c r="D104" s="266" t="str">
        <f>Display_All!AF104</f>
        <v>0</v>
      </c>
      <c r="E104" s="373" t="str">
        <f>Raw!BI104</f>
        <v/>
      </c>
      <c r="F104" s="266" t="str">
        <f>Raw!BJ104</f>
        <v/>
      </c>
      <c r="G104" s="266" t="str">
        <f>Raw!BM104</f>
        <v/>
      </c>
      <c r="H104" s="266" t="str">
        <f>Raw!BO104</f>
        <v/>
      </c>
      <c r="I104" s="269" t="str">
        <f>Raw!CA104</f>
        <v/>
      </c>
      <c r="J104" s="266" t="str">
        <f>if(Raw!CS104&gt;0,Raw!CS104,"None")</f>
        <v>None</v>
      </c>
      <c r="K104" s="373" t="str">
        <f>Raw!CW104</f>
        <v/>
      </c>
      <c r="L104" s="374" t="str">
        <f>if(Raw!CX104&gt;0,Raw!CX104,"None")</f>
        <v>None</v>
      </c>
      <c r="M104" s="264"/>
      <c r="N104" s="264"/>
      <c r="O104" s="264"/>
      <c r="P104" s="264"/>
      <c r="Q104" s="264"/>
      <c r="R104" s="264"/>
      <c r="S104" s="264"/>
      <c r="T104" s="264"/>
      <c r="U104" s="264"/>
    </row>
    <row r="105">
      <c r="A105" s="264"/>
      <c r="B105" s="264"/>
      <c r="C105" s="264"/>
      <c r="D105" s="264"/>
      <c r="E105" s="264"/>
      <c r="F105" s="264"/>
      <c r="G105" s="264"/>
      <c r="H105" s="264"/>
      <c r="I105" s="264"/>
      <c r="J105" s="264"/>
      <c r="K105" s="264"/>
      <c r="L105" s="264"/>
      <c r="M105" s="264"/>
      <c r="N105" s="264"/>
      <c r="O105" s="264"/>
      <c r="P105" s="264"/>
      <c r="Q105" s="264"/>
      <c r="R105" s="264"/>
      <c r="S105" s="264"/>
      <c r="T105" s="264"/>
      <c r="U105" s="264"/>
    </row>
    <row r="106">
      <c r="A106" s="264"/>
      <c r="B106" s="264"/>
      <c r="C106" s="264"/>
      <c r="D106" s="264"/>
      <c r="E106" s="264"/>
      <c r="F106" s="264"/>
      <c r="G106" s="264"/>
      <c r="H106" s="264"/>
      <c r="I106" s="264"/>
      <c r="J106" s="264"/>
      <c r="K106" s="264"/>
      <c r="L106" s="264"/>
      <c r="M106" s="264"/>
      <c r="N106" s="264"/>
      <c r="O106" s="264"/>
      <c r="P106" s="264"/>
      <c r="Q106" s="264"/>
      <c r="R106" s="264"/>
      <c r="S106" s="264"/>
      <c r="T106" s="264"/>
      <c r="U106" s="264"/>
    </row>
    <row r="107">
      <c r="A107" s="264"/>
      <c r="B107" s="264"/>
      <c r="C107" s="264"/>
      <c r="D107" s="264"/>
      <c r="E107" s="264"/>
      <c r="F107" s="264"/>
      <c r="G107" s="264"/>
      <c r="H107" s="264"/>
      <c r="I107" s="264"/>
      <c r="J107" s="264"/>
      <c r="K107" s="264"/>
      <c r="L107" s="264"/>
      <c r="M107" s="264"/>
      <c r="N107" s="264"/>
      <c r="O107" s="264"/>
      <c r="P107" s="264"/>
      <c r="Q107" s="264"/>
      <c r="R107" s="264"/>
      <c r="S107" s="264"/>
      <c r="T107" s="264"/>
      <c r="U107" s="264"/>
    </row>
    <row r="108">
      <c r="A108" s="264"/>
      <c r="B108" s="264"/>
      <c r="C108" s="264"/>
      <c r="D108" s="264"/>
      <c r="E108" s="264"/>
      <c r="F108" s="264"/>
      <c r="G108" s="264"/>
      <c r="H108" s="264"/>
      <c r="I108" s="264"/>
      <c r="J108" s="264"/>
      <c r="K108" s="264"/>
      <c r="L108" s="264"/>
      <c r="M108" s="264"/>
      <c r="N108" s="264"/>
      <c r="O108" s="264"/>
      <c r="P108" s="264"/>
      <c r="Q108" s="264"/>
      <c r="R108" s="264"/>
      <c r="S108" s="264"/>
      <c r="T108" s="264"/>
      <c r="U108" s="264"/>
    </row>
    <row r="109">
      <c r="A109" s="264"/>
      <c r="B109" s="264"/>
      <c r="C109" s="264"/>
      <c r="D109" s="264"/>
      <c r="E109" s="264"/>
      <c r="F109" s="264"/>
      <c r="G109" s="264"/>
      <c r="H109" s="264"/>
      <c r="I109" s="264"/>
      <c r="J109" s="264"/>
      <c r="K109" s="264"/>
      <c r="L109" s="264"/>
      <c r="M109" s="264"/>
      <c r="N109" s="264"/>
      <c r="O109" s="264"/>
      <c r="P109" s="264"/>
      <c r="Q109" s="264"/>
      <c r="R109" s="264"/>
      <c r="S109" s="264"/>
      <c r="T109" s="264"/>
      <c r="U109" s="264"/>
    </row>
    <row r="110">
      <c r="A110" s="264"/>
      <c r="B110" s="264"/>
      <c r="C110" s="264"/>
      <c r="D110" s="264"/>
      <c r="E110" s="264"/>
      <c r="F110" s="264"/>
      <c r="G110" s="264"/>
      <c r="H110" s="264"/>
      <c r="I110" s="264"/>
      <c r="J110" s="264"/>
      <c r="K110" s="264"/>
      <c r="L110" s="264"/>
      <c r="M110" s="264"/>
      <c r="N110" s="264"/>
      <c r="O110" s="264"/>
      <c r="P110" s="264"/>
      <c r="Q110" s="264"/>
      <c r="R110" s="264"/>
      <c r="S110" s="264"/>
      <c r="T110" s="264"/>
      <c r="U110" s="264"/>
    </row>
    <row r="111">
      <c r="A111" s="264"/>
      <c r="B111" s="264"/>
      <c r="C111" s="264"/>
      <c r="D111" s="264"/>
      <c r="E111" s="264"/>
      <c r="F111" s="264"/>
      <c r="G111" s="264"/>
      <c r="H111" s="264"/>
      <c r="I111" s="264"/>
      <c r="J111" s="264"/>
      <c r="K111" s="264"/>
      <c r="L111" s="264"/>
      <c r="M111" s="264"/>
      <c r="N111" s="264"/>
      <c r="O111" s="264"/>
      <c r="P111" s="264"/>
      <c r="Q111" s="264"/>
      <c r="R111" s="264"/>
      <c r="S111" s="264"/>
      <c r="T111" s="264"/>
      <c r="U111" s="264"/>
    </row>
    <row r="112">
      <c r="A112" s="264"/>
      <c r="B112" s="264"/>
      <c r="C112" s="264"/>
      <c r="D112" s="264"/>
      <c r="E112" s="264"/>
      <c r="F112" s="264"/>
      <c r="G112" s="264"/>
      <c r="H112" s="264"/>
      <c r="I112" s="264"/>
      <c r="J112" s="264"/>
      <c r="K112" s="264"/>
      <c r="L112" s="264"/>
      <c r="M112" s="264"/>
      <c r="N112" s="264"/>
      <c r="O112" s="264"/>
      <c r="P112" s="264"/>
      <c r="Q112" s="264"/>
      <c r="R112" s="264"/>
      <c r="S112" s="264"/>
      <c r="T112" s="264"/>
      <c r="U112" s="264"/>
    </row>
    <row r="113">
      <c r="A113" s="264"/>
      <c r="B113" s="264"/>
      <c r="C113" s="264"/>
      <c r="D113" s="264"/>
      <c r="E113" s="264"/>
      <c r="F113" s="264"/>
      <c r="G113" s="264"/>
      <c r="H113" s="264"/>
      <c r="I113" s="264"/>
      <c r="J113" s="264"/>
      <c r="K113" s="264"/>
      <c r="L113" s="264"/>
      <c r="M113" s="264"/>
      <c r="N113" s="264"/>
      <c r="O113" s="264"/>
      <c r="P113" s="264"/>
      <c r="Q113" s="264"/>
      <c r="R113" s="264"/>
      <c r="S113" s="264"/>
      <c r="T113" s="264"/>
      <c r="U113" s="264"/>
    </row>
    <row r="114">
      <c r="A114" s="264"/>
      <c r="B114" s="264"/>
      <c r="C114" s="264"/>
      <c r="D114" s="264"/>
      <c r="E114" s="264"/>
      <c r="F114" s="264"/>
      <c r="G114" s="264"/>
      <c r="H114" s="264"/>
      <c r="I114" s="264"/>
      <c r="J114" s="264"/>
      <c r="K114" s="264"/>
      <c r="L114" s="264"/>
      <c r="M114" s="264"/>
      <c r="N114" s="264"/>
      <c r="O114" s="264"/>
      <c r="P114" s="264"/>
      <c r="Q114" s="264"/>
      <c r="R114" s="264"/>
      <c r="S114" s="264"/>
      <c r="T114" s="264"/>
      <c r="U114" s="264"/>
    </row>
    <row r="115">
      <c r="A115" s="264"/>
      <c r="B115" s="264"/>
      <c r="C115" s="264"/>
      <c r="D115" s="264"/>
      <c r="E115" s="264"/>
      <c r="F115" s="264"/>
      <c r="G115" s="264"/>
      <c r="H115" s="264"/>
      <c r="I115" s="264"/>
      <c r="J115" s="264"/>
      <c r="K115" s="264"/>
      <c r="L115" s="264"/>
      <c r="M115" s="264"/>
      <c r="N115" s="264"/>
      <c r="O115" s="264"/>
      <c r="P115" s="264"/>
      <c r="Q115" s="264"/>
      <c r="R115" s="264"/>
      <c r="S115" s="264"/>
      <c r="T115" s="264"/>
      <c r="U115" s="264"/>
    </row>
    <row r="116">
      <c r="A116" s="264"/>
      <c r="B116" s="264"/>
      <c r="C116" s="264"/>
      <c r="D116" s="264"/>
      <c r="E116" s="264"/>
      <c r="F116" s="264"/>
      <c r="G116" s="264"/>
      <c r="H116" s="264"/>
      <c r="I116" s="264"/>
      <c r="J116" s="264"/>
      <c r="K116" s="264"/>
      <c r="L116" s="264"/>
      <c r="M116" s="264"/>
      <c r="N116" s="264"/>
      <c r="O116" s="264"/>
      <c r="P116" s="264"/>
      <c r="Q116" s="264"/>
      <c r="R116" s="264"/>
      <c r="S116" s="264"/>
      <c r="T116" s="264"/>
      <c r="U116" s="264"/>
    </row>
    <row r="117">
      <c r="A117" s="264"/>
      <c r="B117" s="264"/>
      <c r="C117" s="264"/>
      <c r="D117" s="264"/>
      <c r="E117" s="264"/>
      <c r="F117" s="264"/>
      <c r="G117" s="264"/>
      <c r="H117" s="264"/>
      <c r="I117" s="264"/>
      <c r="J117" s="264"/>
      <c r="K117" s="264"/>
      <c r="L117" s="264"/>
      <c r="M117" s="264"/>
      <c r="N117" s="264"/>
      <c r="O117" s="264"/>
      <c r="P117" s="264"/>
      <c r="Q117" s="264"/>
      <c r="R117" s="264"/>
      <c r="S117" s="264"/>
      <c r="T117" s="264"/>
      <c r="U117" s="264"/>
    </row>
    <row r="118">
      <c r="A118" s="264"/>
      <c r="B118" s="264"/>
      <c r="C118" s="264"/>
      <c r="D118" s="264"/>
      <c r="E118" s="264"/>
      <c r="F118" s="264"/>
      <c r="G118" s="264"/>
      <c r="H118" s="264"/>
      <c r="I118" s="264"/>
      <c r="J118" s="264"/>
      <c r="K118" s="264"/>
      <c r="L118" s="264"/>
      <c r="M118" s="264"/>
      <c r="N118" s="264"/>
      <c r="O118" s="264"/>
      <c r="P118" s="264"/>
      <c r="Q118" s="264"/>
      <c r="R118" s="264"/>
      <c r="S118" s="264"/>
      <c r="T118" s="264"/>
      <c r="U118" s="264"/>
    </row>
    <row r="119">
      <c r="A119" s="264"/>
      <c r="B119" s="264"/>
      <c r="C119" s="264"/>
      <c r="D119" s="264"/>
      <c r="E119" s="264"/>
      <c r="F119" s="264"/>
      <c r="G119" s="264"/>
      <c r="H119" s="264"/>
      <c r="I119" s="264"/>
      <c r="J119" s="264"/>
      <c r="K119" s="264"/>
      <c r="L119" s="264"/>
      <c r="M119" s="264"/>
      <c r="N119" s="264"/>
      <c r="O119" s="264"/>
      <c r="P119" s="264"/>
      <c r="Q119" s="264"/>
      <c r="R119" s="264"/>
      <c r="S119" s="264"/>
      <c r="T119" s="264"/>
      <c r="U119" s="264"/>
    </row>
    <row r="120">
      <c r="A120" s="264"/>
      <c r="B120" s="264"/>
      <c r="C120" s="264"/>
      <c r="D120" s="264"/>
      <c r="E120" s="264"/>
      <c r="F120" s="264"/>
      <c r="G120" s="264"/>
      <c r="H120" s="264"/>
      <c r="I120" s="264"/>
      <c r="J120" s="264"/>
      <c r="K120" s="264"/>
      <c r="L120" s="264"/>
      <c r="M120" s="264"/>
      <c r="N120" s="264"/>
      <c r="O120" s="264"/>
      <c r="P120" s="264"/>
      <c r="Q120" s="264"/>
      <c r="R120" s="264"/>
      <c r="S120" s="264"/>
      <c r="T120" s="264"/>
      <c r="U120" s="264"/>
    </row>
    <row r="121">
      <c r="A121" s="264"/>
      <c r="B121" s="264"/>
      <c r="C121" s="264"/>
      <c r="D121" s="264"/>
      <c r="E121" s="264"/>
      <c r="F121" s="264"/>
      <c r="G121" s="264"/>
      <c r="H121" s="264"/>
      <c r="I121" s="264"/>
      <c r="J121" s="264"/>
      <c r="K121" s="264"/>
      <c r="L121" s="264"/>
      <c r="M121" s="264"/>
      <c r="N121" s="264"/>
      <c r="O121" s="264"/>
      <c r="P121" s="264"/>
      <c r="Q121" s="264"/>
      <c r="R121" s="264"/>
      <c r="S121" s="264"/>
      <c r="T121" s="264"/>
      <c r="U121" s="264"/>
    </row>
    <row r="122">
      <c r="A122" s="264"/>
      <c r="B122" s="264"/>
      <c r="C122" s="264"/>
      <c r="D122" s="264"/>
      <c r="E122" s="264"/>
      <c r="F122" s="264"/>
      <c r="G122" s="264"/>
      <c r="H122" s="264"/>
      <c r="I122" s="264"/>
      <c r="J122" s="264"/>
      <c r="K122" s="264"/>
      <c r="L122" s="264"/>
      <c r="M122" s="264"/>
      <c r="N122" s="264"/>
      <c r="O122" s="264"/>
      <c r="P122" s="264"/>
      <c r="Q122" s="264"/>
      <c r="R122" s="264"/>
      <c r="S122" s="264"/>
      <c r="T122" s="264"/>
      <c r="U122" s="264"/>
    </row>
    <row r="123">
      <c r="A123" s="264"/>
      <c r="B123" s="264"/>
      <c r="C123" s="264"/>
      <c r="D123" s="264"/>
      <c r="E123" s="264"/>
      <c r="F123" s="264"/>
      <c r="G123" s="264"/>
      <c r="H123" s="264"/>
      <c r="I123" s="264"/>
      <c r="J123" s="264"/>
      <c r="K123" s="264"/>
      <c r="L123" s="264"/>
      <c r="M123" s="264"/>
      <c r="N123" s="264"/>
      <c r="O123" s="264"/>
      <c r="P123" s="264"/>
      <c r="Q123" s="264"/>
      <c r="R123" s="264"/>
      <c r="S123" s="264"/>
      <c r="T123" s="264"/>
      <c r="U123" s="264"/>
    </row>
    <row r="124">
      <c r="A124" s="264"/>
      <c r="B124" s="264"/>
      <c r="C124" s="264"/>
      <c r="D124" s="264"/>
      <c r="E124" s="264"/>
      <c r="F124" s="264"/>
      <c r="G124" s="264"/>
      <c r="H124" s="264"/>
      <c r="I124" s="264"/>
      <c r="J124" s="264"/>
      <c r="K124" s="264"/>
      <c r="L124" s="264"/>
      <c r="M124" s="264"/>
      <c r="N124" s="264"/>
      <c r="O124" s="264"/>
      <c r="P124" s="264"/>
      <c r="Q124" s="264"/>
      <c r="R124" s="264"/>
      <c r="S124" s="264"/>
      <c r="T124" s="264"/>
      <c r="U124" s="264"/>
    </row>
    <row r="125">
      <c r="A125" s="264"/>
      <c r="B125" s="264"/>
      <c r="C125" s="264"/>
      <c r="D125" s="264"/>
      <c r="E125" s="264"/>
      <c r="F125" s="264"/>
      <c r="G125" s="264"/>
      <c r="H125" s="264"/>
      <c r="I125" s="264"/>
      <c r="J125" s="264"/>
      <c r="K125" s="264"/>
      <c r="L125" s="264"/>
      <c r="M125" s="264"/>
      <c r="N125" s="264"/>
      <c r="O125" s="264"/>
      <c r="P125" s="264"/>
      <c r="Q125" s="264"/>
      <c r="R125" s="264"/>
      <c r="S125" s="264"/>
      <c r="T125" s="264"/>
      <c r="U125" s="264"/>
    </row>
    <row r="126">
      <c r="A126" s="264"/>
      <c r="B126" s="264"/>
      <c r="C126" s="264"/>
      <c r="D126" s="264"/>
      <c r="E126" s="264"/>
      <c r="F126" s="264"/>
      <c r="G126" s="264"/>
      <c r="H126" s="264"/>
      <c r="I126" s="264"/>
      <c r="J126" s="264"/>
      <c r="K126" s="264"/>
      <c r="L126" s="264"/>
      <c r="M126" s="264"/>
      <c r="N126" s="264"/>
      <c r="O126" s="264"/>
      <c r="P126" s="264"/>
      <c r="Q126" s="264"/>
      <c r="R126" s="264"/>
      <c r="S126" s="264"/>
      <c r="T126" s="264"/>
      <c r="U126" s="264"/>
    </row>
    <row r="127">
      <c r="A127" s="264"/>
      <c r="B127" s="264"/>
      <c r="C127" s="264"/>
      <c r="D127" s="264"/>
      <c r="E127" s="264"/>
      <c r="F127" s="264"/>
      <c r="G127" s="264"/>
      <c r="H127" s="264"/>
      <c r="I127" s="264"/>
      <c r="J127" s="264"/>
      <c r="K127" s="264"/>
      <c r="L127" s="264"/>
      <c r="M127" s="264"/>
      <c r="N127" s="264"/>
      <c r="O127" s="264"/>
      <c r="P127" s="264"/>
      <c r="Q127" s="264"/>
      <c r="R127" s="264"/>
      <c r="S127" s="264"/>
      <c r="T127" s="264"/>
      <c r="U127" s="264"/>
    </row>
    <row r="128">
      <c r="A128" s="264"/>
      <c r="B128" s="264"/>
      <c r="C128" s="264"/>
      <c r="D128" s="264"/>
      <c r="E128" s="264"/>
      <c r="F128" s="264"/>
      <c r="G128" s="264"/>
      <c r="H128" s="264"/>
      <c r="I128" s="264"/>
      <c r="J128" s="264"/>
      <c r="K128" s="264"/>
      <c r="L128" s="264"/>
      <c r="M128" s="264"/>
      <c r="N128" s="264"/>
      <c r="O128" s="264"/>
      <c r="P128" s="264"/>
      <c r="Q128" s="264"/>
      <c r="R128" s="264"/>
      <c r="S128" s="264"/>
      <c r="T128" s="264"/>
      <c r="U128" s="264"/>
    </row>
    <row r="129">
      <c r="A129" s="264"/>
      <c r="B129" s="264"/>
      <c r="C129" s="264"/>
      <c r="D129" s="264"/>
      <c r="E129" s="264"/>
      <c r="F129" s="264"/>
      <c r="G129" s="264"/>
      <c r="H129" s="264"/>
      <c r="I129" s="264"/>
      <c r="J129" s="264"/>
      <c r="K129" s="264"/>
      <c r="L129" s="264"/>
      <c r="M129" s="264"/>
      <c r="N129" s="264"/>
      <c r="O129" s="264"/>
      <c r="P129" s="264"/>
      <c r="Q129" s="264"/>
      <c r="R129" s="264"/>
      <c r="S129" s="264"/>
      <c r="T129" s="264"/>
      <c r="U129" s="264"/>
    </row>
    <row r="130">
      <c r="A130" s="264"/>
      <c r="B130" s="264"/>
      <c r="C130" s="264"/>
      <c r="D130" s="264"/>
      <c r="E130" s="264"/>
      <c r="F130" s="264"/>
      <c r="G130" s="264"/>
      <c r="H130" s="264"/>
      <c r="I130" s="264"/>
      <c r="J130" s="264"/>
      <c r="K130" s="264"/>
      <c r="L130" s="264"/>
      <c r="M130" s="264"/>
      <c r="N130" s="264"/>
      <c r="O130" s="264"/>
      <c r="P130" s="264"/>
      <c r="Q130" s="264"/>
      <c r="R130" s="264"/>
      <c r="S130" s="264"/>
      <c r="T130" s="264"/>
      <c r="U130" s="264"/>
    </row>
    <row r="131">
      <c r="A131" s="264"/>
      <c r="B131" s="264"/>
      <c r="C131" s="264"/>
      <c r="D131" s="264"/>
      <c r="E131" s="264"/>
      <c r="F131" s="264"/>
      <c r="G131" s="264"/>
      <c r="H131" s="264"/>
      <c r="I131" s="264"/>
      <c r="J131" s="264"/>
      <c r="K131" s="264"/>
      <c r="L131" s="264"/>
      <c r="M131" s="264"/>
      <c r="N131" s="264"/>
      <c r="O131" s="264"/>
      <c r="P131" s="264"/>
      <c r="Q131" s="264"/>
      <c r="R131" s="264"/>
      <c r="S131" s="264"/>
      <c r="T131" s="264"/>
      <c r="U131" s="264"/>
    </row>
    <row r="132">
      <c r="A132" s="264"/>
      <c r="B132" s="264"/>
      <c r="C132" s="264"/>
      <c r="D132" s="264"/>
      <c r="E132" s="264"/>
      <c r="F132" s="264"/>
      <c r="G132" s="264"/>
      <c r="H132" s="264"/>
      <c r="I132" s="264"/>
      <c r="J132" s="264"/>
      <c r="K132" s="264"/>
      <c r="L132" s="264"/>
      <c r="M132" s="264"/>
      <c r="N132" s="264"/>
      <c r="O132" s="264"/>
      <c r="P132" s="264"/>
      <c r="Q132" s="264"/>
      <c r="R132" s="264"/>
      <c r="S132" s="264"/>
      <c r="T132" s="264"/>
      <c r="U132" s="264"/>
    </row>
    <row r="133">
      <c r="A133" s="264"/>
      <c r="B133" s="264"/>
      <c r="C133" s="264"/>
      <c r="D133" s="264"/>
      <c r="E133" s="264"/>
      <c r="F133" s="264"/>
      <c r="G133" s="264"/>
      <c r="H133" s="264"/>
      <c r="I133" s="264"/>
      <c r="J133" s="264"/>
      <c r="K133" s="264"/>
      <c r="L133" s="264"/>
      <c r="M133" s="264"/>
      <c r="N133" s="264"/>
      <c r="O133" s="264"/>
      <c r="P133" s="264"/>
      <c r="Q133" s="264"/>
      <c r="R133" s="264"/>
      <c r="S133" s="264"/>
      <c r="T133" s="264"/>
      <c r="U133" s="264"/>
    </row>
    <row r="134">
      <c r="A134" s="264"/>
      <c r="B134" s="264"/>
      <c r="C134" s="264"/>
      <c r="D134" s="264"/>
      <c r="E134" s="264"/>
      <c r="F134" s="264"/>
      <c r="G134" s="264"/>
      <c r="H134" s="264"/>
      <c r="I134" s="264"/>
      <c r="J134" s="264"/>
      <c r="K134" s="264"/>
      <c r="L134" s="264"/>
      <c r="M134" s="264"/>
      <c r="N134" s="264"/>
      <c r="O134" s="264"/>
      <c r="P134" s="264"/>
      <c r="Q134" s="264"/>
      <c r="R134" s="264"/>
      <c r="S134" s="264"/>
      <c r="T134" s="264"/>
      <c r="U134" s="264"/>
    </row>
    <row r="135">
      <c r="A135" s="264"/>
      <c r="B135" s="264"/>
      <c r="C135" s="264"/>
      <c r="D135" s="264"/>
      <c r="E135" s="264"/>
      <c r="F135" s="264"/>
      <c r="G135" s="264"/>
      <c r="H135" s="264"/>
      <c r="I135" s="264"/>
      <c r="J135" s="264"/>
      <c r="K135" s="264"/>
      <c r="L135" s="264"/>
      <c r="M135" s="264"/>
      <c r="N135" s="264"/>
      <c r="O135" s="264"/>
      <c r="P135" s="264"/>
      <c r="Q135" s="264"/>
      <c r="R135" s="264"/>
      <c r="S135" s="264"/>
      <c r="T135" s="264"/>
      <c r="U135" s="264"/>
    </row>
    <row r="136">
      <c r="A136" s="264"/>
      <c r="B136" s="264"/>
      <c r="C136" s="264"/>
      <c r="D136" s="264"/>
      <c r="E136" s="264"/>
      <c r="F136" s="264"/>
      <c r="G136" s="264"/>
      <c r="H136" s="264"/>
      <c r="I136" s="264"/>
      <c r="J136" s="264"/>
      <c r="K136" s="264"/>
      <c r="L136" s="264"/>
      <c r="M136" s="264"/>
      <c r="N136" s="264"/>
      <c r="O136" s="264"/>
      <c r="P136" s="264"/>
      <c r="Q136" s="264"/>
      <c r="R136" s="264"/>
      <c r="S136" s="264"/>
      <c r="T136" s="264"/>
      <c r="U136" s="264"/>
    </row>
    <row r="137">
      <c r="A137" s="264"/>
      <c r="B137" s="264"/>
      <c r="C137" s="264"/>
      <c r="D137" s="264"/>
      <c r="E137" s="264"/>
      <c r="F137" s="264"/>
      <c r="G137" s="264"/>
      <c r="H137" s="264"/>
      <c r="I137" s="264"/>
      <c r="J137" s="264"/>
      <c r="K137" s="264"/>
      <c r="L137" s="264"/>
      <c r="M137" s="264"/>
      <c r="N137" s="264"/>
      <c r="O137" s="264"/>
      <c r="P137" s="264"/>
      <c r="Q137" s="264"/>
      <c r="R137" s="264"/>
      <c r="S137" s="264"/>
      <c r="T137" s="264"/>
      <c r="U137" s="264"/>
    </row>
    <row r="138">
      <c r="A138" s="264"/>
      <c r="B138" s="264"/>
      <c r="C138" s="264"/>
      <c r="D138" s="264"/>
      <c r="E138" s="264"/>
      <c r="F138" s="264"/>
      <c r="G138" s="264"/>
      <c r="H138" s="264"/>
      <c r="I138" s="264"/>
      <c r="J138" s="264"/>
      <c r="K138" s="264"/>
      <c r="L138" s="264"/>
      <c r="M138" s="264"/>
      <c r="N138" s="264"/>
      <c r="O138" s="264"/>
      <c r="P138" s="264"/>
      <c r="Q138" s="264"/>
      <c r="R138" s="264"/>
      <c r="S138" s="264"/>
      <c r="T138" s="264"/>
      <c r="U138" s="264"/>
    </row>
    <row r="139">
      <c r="A139" s="264"/>
      <c r="B139" s="264"/>
      <c r="C139" s="264"/>
      <c r="D139" s="264"/>
      <c r="E139" s="264"/>
      <c r="F139" s="264"/>
      <c r="G139" s="264"/>
      <c r="H139" s="264"/>
      <c r="I139" s="264"/>
      <c r="J139" s="264"/>
      <c r="K139" s="264"/>
      <c r="L139" s="264"/>
      <c r="M139" s="264"/>
      <c r="N139" s="264"/>
      <c r="O139" s="264"/>
      <c r="P139" s="264"/>
      <c r="Q139" s="264"/>
      <c r="R139" s="264"/>
      <c r="S139" s="264"/>
      <c r="T139" s="264"/>
      <c r="U139" s="264"/>
    </row>
    <row r="140">
      <c r="A140" s="264"/>
      <c r="B140" s="264"/>
      <c r="C140" s="264"/>
      <c r="D140" s="264"/>
      <c r="E140" s="264"/>
      <c r="F140" s="264"/>
      <c r="G140" s="264"/>
      <c r="H140" s="264"/>
      <c r="I140" s="264"/>
      <c r="J140" s="264"/>
      <c r="K140" s="264"/>
      <c r="L140" s="264"/>
      <c r="M140" s="264"/>
      <c r="N140" s="264"/>
      <c r="O140" s="264"/>
      <c r="P140" s="264"/>
      <c r="Q140" s="264"/>
      <c r="R140" s="264"/>
      <c r="S140" s="264"/>
      <c r="T140" s="264"/>
      <c r="U140" s="264"/>
    </row>
    <row r="141">
      <c r="A141" s="264"/>
      <c r="B141" s="264"/>
      <c r="C141" s="264"/>
      <c r="D141" s="264"/>
      <c r="E141" s="264"/>
      <c r="F141" s="264"/>
      <c r="G141" s="264"/>
      <c r="H141" s="264"/>
      <c r="I141" s="264"/>
      <c r="J141" s="264"/>
      <c r="K141" s="264"/>
      <c r="L141" s="264"/>
      <c r="M141" s="264"/>
      <c r="N141" s="264"/>
      <c r="O141" s="264"/>
      <c r="P141" s="264"/>
      <c r="Q141" s="264"/>
      <c r="R141" s="264"/>
      <c r="S141" s="264"/>
      <c r="T141" s="264"/>
      <c r="U141" s="264"/>
    </row>
    <row r="142">
      <c r="A142" s="264"/>
      <c r="B142" s="264"/>
      <c r="C142" s="264"/>
      <c r="D142" s="264"/>
      <c r="E142" s="264"/>
      <c r="F142" s="264"/>
      <c r="G142" s="264"/>
      <c r="H142" s="264"/>
      <c r="I142" s="264"/>
      <c r="J142" s="264"/>
      <c r="K142" s="264"/>
      <c r="L142" s="264"/>
      <c r="M142" s="264"/>
      <c r="N142" s="264"/>
      <c r="O142" s="264"/>
      <c r="P142" s="264"/>
      <c r="Q142" s="264"/>
      <c r="R142" s="264"/>
      <c r="S142" s="264"/>
      <c r="T142" s="264"/>
      <c r="U142" s="264"/>
    </row>
    <row r="143">
      <c r="A143" s="264"/>
      <c r="B143" s="264"/>
      <c r="C143" s="264"/>
      <c r="D143" s="264"/>
      <c r="E143" s="264"/>
      <c r="F143" s="264"/>
      <c r="G143" s="264"/>
      <c r="H143" s="264"/>
      <c r="I143" s="264"/>
      <c r="J143" s="264"/>
      <c r="K143" s="264"/>
      <c r="L143" s="264"/>
      <c r="M143" s="264"/>
      <c r="N143" s="264"/>
      <c r="O143" s="264"/>
      <c r="P143" s="264"/>
      <c r="Q143" s="264"/>
      <c r="R143" s="264"/>
      <c r="S143" s="264"/>
      <c r="T143" s="264"/>
      <c r="U143" s="264"/>
    </row>
    <row r="144">
      <c r="A144" s="264"/>
      <c r="B144" s="264"/>
      <c r="C144" s="264"/>
      <c r="D144" s="264"/>
      <c r="E144" s="264"/>
      <c r="F144" s="264"/>
      <c r="G144" s="264"/>
      <c r="H144" s="264"/>
      <c r="I144" s="264"/>
      <c r="J144" s="264"/>
      <c r="K144" s="264"/>
      <c r="L144" s="264"/>
      <c r="M144" s="264"/>
      <c r="N144" s="264"/>
      <c r="O144" s="264"/>
      <c r="P144" s="264"/>
      <c r="Q144" s="264"/>
      <c r="R144" s="264"/>
      <c r="S144" s="264"/>
      <c r="T144" s="264"/>
      <c r="U144" s="264"/>
    </row>
    <row r="145">
      <c r="A145" s="264"/>
      <c r="B145" s="264"/>
      <c r="C145" s="264"/>
      <c r="D145" s="264"/>
      <c r="E145" s="264"/>
      <c r="F145" s="264"/>
      <c r="G145" s="264"/>
      <c r="H145" s="264"/>
      <c r="I145" s="264"/>
      <c r="J145" s="264"/>
      <c r="K145" s="264"/>
      <c r="L145" s="264"/>
      <c r="M145" s="264"/>
      <c r="N145" s="264"/>
      <c r="O145" s="264"/>
      <c r="P145" s="264"/>
      <c r="Q145" s="264"/>
      <c r="R145" s="264"/>
      <c r="S145" s="264"/>
      <c r="T145" s="264"/>
      <c r="U145" s="264"/>
    </row>
    <row r="146">
      <c r="A146" s="264"/>
      <c r="B146" s="264"/>
      <c r="C146" s="264"/>
      <c r="D146" s="264"/>
      <c r="E146" s="264"/>
      <c r="F146" s="264"/>
      <c r="G146" s="264"/>
      <c r="H146" s="264"/>
      <c r="I146" s="264"/>
      <c r="J146" s="264"/>
      <c r="K146" s="264"/>
      <c r="L146" s="264"/>
      <c r="M146" s="264"/>
      <c r="N146" s="264"/>
      <c r="O146" s="264"/>
      <c r="P146" s="264"/>
      <c r="Q146" s="264"/>
      <c r="R146" s="264"/>
      <c r="S146" s="264"/>
      <c r="T146" s="264"/>
      <c r="U146" s="264"/>
    </row>
    <row r="147">
      <c r="A147" s="264"/>
      <c r="B147" s="264"/>
      <c r="C147" s="264"/>
      <c r="D147" s="264"/>
      <c r="E147" s="264"/>
      <c r="F147" s="264"/>
      <c r="G147" s="264"/>
      <c r="H147" s="264"/>
      <c r="I147" s="264"/>
      <c r="J147" s="264"/>
      <c r="K147" s="264"/>
      <c r="L147" s="264"/>
      <c r="M147" s="264"/>
      <c r="N147" s="264"/>
      <c r="O147" s="264"/>
      <c r="P147" s="264"/>
      <c r="Q147" s="264"/>
      <c r="R147" s="264"/>
      <c r="S147" s="264"/>
      <c r="T147" s="264"/>
      <c r="U147" s="264"/>
    </row>
    <row r="148">
      <c r="A148" s="264"/>
      <c r="B148" s="264"/>
      <c r="C148" s="264"/>
      <c r="D148" s="264"/>
      <c r="E148" s="264"/>
      <c r="F148" s="264"/>
      <c r="G148" s="264"/>
      <c r="H148" s="264"/>
      <c r="I148" s="264"/>
      <c r="J148" s="264"/>
      <c r="K148" s="264"/>
      <c r="L148" s="264"/>
      <c r="M148" s="264"/>
      <c r="N148" s="264"/>
      <c r="O148" s="264"/>
      <c r="P148" s="264"/>
      <c r="Q148" s="264"/>
      <c r="R148" s="264"/>
      <c r="S148" s="264"/>
      <c r="T148" s="264"/>
      <c r="U148" s="264"/>
    </row>
    <row r="149">
      <c r="A149" s="264"/>
      <c r="B149" s="264"/>
      <c r="C149" s="264"/>
      <c r="D149" s="264"/>
      <c r="E149" s="264"/>
      <c r="F149" s="264"/>
      <c r="G149" s="264"/>
      <c r="H149" s="264"/>
      <c r="I149" s="264"/>
      <c r="J149" s="264"/>
      <c r="K149" s="264"/>
      <c r="L149" s="264"/>
      <c r="M149" s="264"/>
      <c r="N149" s="264"/>
      <c r="O149" s="264"/>
      <c r="P149" s="264"/>
      <c r="Q149" s="264"/>
      <c r="R149" s="264"/>
      <c r="S149" s="264"/>
      <c r="T149" s="264"/>
      <c r="U149" s="264"/>
    </row>
    <row r="150">
      <c r="A150" s="264"/>
      <c r="B150" s="264"/>
      <c r="C150" s="264"/>
      <c r="D150" s="264"/>
      <c r="E150" s="264"/>
      <c r="F150" s="264"/>
      <c r="G150" s="264"/>
      <c r="H150" s="264"/>
      <c r="I150" s="264"/>
      <c r="J150" s="264"/>
      <c r="K150" s="264"/>
      <c r="L150" s="264"/>
      <c r="M150" s="264"/>
      <c r="N150" s="264"/>
      <c r="O150" s="264"/>
      <c r="P150" s="264"/>
      <c r="Q150" s="264"/>
      <c r="R150" s="264"/>
      <c r="S150" s="264"/>
      <c r="T150" s="264"/>
      <c r="U150" s="264"/>
    </row>
    <row r="151">
      <c r="A151" s="264"/>
      <c r="B151" s="264"/>
      <c r="C151" s="264"/>
      <c r="D151" s="264"/>
      <c r="E151" s="264"/>
      <c r="F151" s="264"/>
      <c r="G151" s="264"/>
      <c r="H151" s="264"/>
      <c r="I151" s="264"/>
      <c r="J151" s="264"/>
      <c r="K151" s="264"/>
      <c r="L151" s="264"/>
      <c r="M151" s="264"/>
      <c r="N151" s="264"/>
      <c r="O151" s="264"/>
      <c r="P151" s="264"/>
      <c r="Q151" s="264"/>
      <c r="R151" s="264"/>
      <c r="S151" s="264"/>
      <c r="T151" s="264"/>
      <c r="U151" s="264"/>
    </row>
    <row r="152">
      <c r="A152" s="264"/>
      <c r="B152" s="264"/>
      <c r="C152" s="264"/>
      <c r="D152" s="264"/>
      <c r="E152" s="264"/>
      <c r="F152" s="264"/>
      <c r="G152" s="264"/>
      <c r="H152" s="264"/>
      <c r="I152" s="264"/>
      <c r="J152" s="264"/>
      <c r="K152" s="264"/>
      <c r="L152" s="264"/>
      <c r="M152" s="264"/>
      <c r="N152" s="264"/>
      <c r="O152" s="264"/>
      <c r="P152" s="264"/>
      <c r="Q152" s="264"/>
      <c r="R152" s="264"/>
      <c r="S152" s="264"/>
      <c r="T152" s="264"/>
      <c r="U152" s="264"/>
    </row>
    <row r="153">
      <c r="A153" s="264"/>
      <c r="B153" s="264"/>
      <c r="C153" s="264"/>
      <c r="D153" s="264"/>
      <c r="E153" s="264"/>
      <c r="F153" s="264"/>
      <c r="G153" s="264"/>
      <c r="H153" s="264"/>
      <c r="I153" s="264"/>
      <c r="J153" s="264"/>
      <c r="K153" s="264"/>
      <c r="L153" s="264"/>
      <c r="M153" s="264"/>
      <c r="N153" s="264"/>
      <c r="O153" s="264"/>
      <c r="P153" s="264"/>
      <c r="Q153" s="264"/>
      <c r="R153" s="264"/>
      <c r="S153" s="264"/>
      <c r="T153" s="264"/>
      <c r="U153" s="264"/>
    </row>
    <row r="154">
      <c r="A154" s="264"/>
      <c r="B154" s="264"/>
      <c r="C154" s="264"/>
      <c r="D154" s="264"/>
      <c r="E154" s="264"/>
      <c r="F154" s="264"/>
      <c r="G154" s="264"/>
      <c r="H154" s="264"/>
      <c r="I154" s="264"/>
      <c r="J154" s="264"/>
      <c r="K154" s="264"/>
      <c r="L154" s="264"/>
      <c r="M154" s="264"/>
      <c r="N154" s="264"/>
      <c r="O154" s="264"/>
      <c r="P154" s="264"/>
      <c r="Q154" s="264"/>
      <c r="R154" s="264"/>
      <c r="S154" s="264"/>
      <c r="T154" s="264"/>
      <c r="U154" s="264"/>
    </row>
    <row r="155">
      <c r="A155" s="264"/>
      <c r="B155" s="264"/>
      <c r="C155" s="264"/>
      <c r="D155" s="264"/>
      <c r="E155" s="264"/>
      <c r="F155" s="264"/>
      <c r="G155" s="264"/>
      <c r="H155" s="264"/>
      <c r="I155" s="264"/>
      <c r="J155" s="264"/>
      <c r="K155" s="264"/>
      <c r="L155" s="264"/>
      <c r="M155" s="264"/>
      <c r="N155" s="264"/>
      <c r="O155" s="264"/>
      <c r="P155" s="264"/>
      <c r="Q155" s="264"/>
      <c r="R155" s="264"/>
      <c r="S155" s="264"/>
      <c r="T155" s="264"/>
      <c r="U155" s="264"/>
    </row>
    <row r="156">
      <c r="A156" s="264"/>
      <c r="B156" s="264"/>
      <c r="C156" s="264"/>
      <c r="D156" s="264"/>
      <c r="E156" s="264"/>
      <c r="F156" s="264"/>
      <c r="G156" s="264"/>
      <c r="H156" s="264"/>
      <c r="I156" s="264"/>
      <c r="J156" s="264"/>
      <c r="K156" s="264"/>
      <c r="L156" s="264"/>
      <c r="M156" s="264"/>
      <c r="N156" s="264"/>
      <c r="O156" s="264"/>
      <c r="P156" s="264"/>
      <c r="Q156" s="264"/>
      <c r="R156" s="264"/>
      <c r="S156" s="264"/>
      <c r="T156" s="264"/>
      <c r="U156" s="264"/>
    </row>
    <row r="157">
      <c r="A157" s="264"/>
      <c r="B157" s="264"/>
      <c r="C157" s="264"/>
      <c r="D157" s="264"/>
      <c r="E157" s="264"/>
      <c r="F157" s="264"/>
      <c r="G157" s="264"/>
      <c r="H157" s="264"/>
      <c r="I157" s="264"/>
      <c r="J157" s="264"/>
      <c r="K157" s="264"/>
      <c r="L157" s="264"/>
      <c r="M157" s="264"/>
      <c r="N157" s="264"/>
      <c r="O157" s="264"/>
      <c r="P157" s="264"/>
      <c r="Q157" s="264"/>
      <c r="R157" s="264"/>
      <c r="S157" s="264"/>
      <c r="T157" s="264"/>
      <c r="U157" s="264"/>
    </row>
    <row r="158">
      <c r="A158" s="264"/>
      <c r="B158" s="264"/>
      <c r="C158" s="264"/>
      <c r="D158" s="264"/>
      <c r="E158" s="264"/>
      <c r="F158" s="264"/>
      <c r="G158" s="264"/>
      <c r="H158" s="264"/>
      <c r="I158" s="264"/>
      <c r="J158" s="264"/>
      <c r="K158" s="264"/>
      <c r="L158" s="264"/>
      <c r="M158" s="264"/>
      <c r="N158" s="264"/>
      <c r="O158" s="264"/>
      <c r="P158" s="264"/>
      <c r="Q158" s="264"/>
      <c r="R158" s="264"/>
      <c r="S158" s="264"/>
      <c r="T158" s="264"/>
      <c r="U158" s="264"/>
    </row>
    <row r="159">
      <c r="A159" s="264"/>
      <c r="B159" s="264"/>
      <c r="C159" s="264"/>
      <c r="D159" s="264"/>
      <c r="E159" s="264"/>
      <c r="F159" s="264"/>
      <c r="G159" s="264"/>
      <c r="H159" s="264"/>
      <c r="I159" s="264"/>
      <c r="J159" s="264"/>
      <c r="K159" s="264"/>
      <c r="L159" s="264"/>
      <c r="M159" s="264"/>
      <c r="N159" s="264"/>
      <c r="O159" s="264"/>
      <c r="P159" s="264"/>
      <c r="Q159" s="264"/>
      <c r="R159" s="264"/>
      <c r="S159" s="264"/>
      <c r="T159" s="264"/>
      <c r="U159" s="264"/>
    </row>
    <row r="160">
      <c r="A160" s="264"/>
      <c r="B160" s="264"/>
      <c r="C160" s="264"/>
      <c r="D160" s="264"/>
      <c r="E160" s="264"/>
      <c r="F160" s="264"/>
      <c r="G160" s="264"/>
      <c r="H160" s="264"/>
      <c r="I160" s="264"/>
      <c r="J160" s="264"/>
      <c r="K160" s="264"/>
      <c r="L160" s="264"/>
      <c r="M160" s="264"/>
      <c r="N160" s="264"/>
      <c r="O160" s="264"/>
      <c r="P160" s="264"/>
      <c r="Q160" s="264"/>
      <c r="R160" s="264"/>
      <c r="S160" s="264"/>
      <c r="T160" s="264"/>
      <c r="U160" s="264"/>
    </row>
    <row r="161">
      <c r="A161" s="264"/>
      <c r="B161" s="264"/>
      <c r="C161" s="264"/>
      <c r="D161" s="264"/>
      <c r="E161" s="264"/>
      <c r="F161" s="264"/>
      <c r="G161" s="264"/>
      <c r="H161" s="264"/>
      <c r="I161" s="264"/>
      <c r="J161" s="264"/>
      <c r="K161" s="264"/>
      <c r="L161" s="264"/>
      <c r="M161" s="264"/>
      <c r="N161" s="264"/>
      <c r="O161" s="264"/>
      <c r="P161" s="264"/>
      <c r="Q161" s="264"/>
      <c r="R161" s="264"/>
      <c r="S161" s="264"/>
      <c r="T161" s="264"/>
      <c r="U161" s="264"/>
    </row>
    <row r="162">
      <c r="A162" s="264"/>
      <c r="B162" s="264"/>
      <c r="C162" s="264"/>
      <c r="D162" s="264"/>
      <c r="E162" s="264"/>
      <c r="F162" s="264"/>
      <c r="G162" s="264"/>
      <c r="H162" s="264"/>
      <c r="I162" s="264"/>
      <c r="J162" s="264"/>
      <c r="K162" s="264"/>
      <c r="L162" s="264"/>
      <c r="M162" s="264"/>
      <c r="N162" s="264"/>
      <c r="O162" s="264"/>
      <c r="P162" s="264"/>
      <c r="Q162" s="264"/>
      <c r="R162" s="264"/>
      <c r="S162" s="264"/>
      <c r="T162" s="264"/>
      <c r="U162" s="264"/>
    </row>
    <row r="163">
      <c r="A163" s="264"/>
      <c r="B163" s="264"/>
      <c r="C163" s="264"/>
      <c r="D163" s="264"/>
      <c r="E163" s="264"/>
      <c r="F163" s="264"/>
      <c r="G163" s="264"/>
      <c r="H163" s="264"/>
      <c r="I163" s="264"/>
      <c r="J163" s="264"/>
      <c r="K163" s="264"/>
      <c r="L163" s="264"/>
      <c r="M163" s="264"/>
      <c r="N163" s="264"/>
      <c r="O163" s="264"/>
      <c r="P163" s="264"/>
      <c r="Q163" s="264"/>
      <c r="R163" s="264"/>
      <c r="S163" s="264"/>
      <c r="T163" s="264"/>
      <c r="U163" s="264"/>
    </row>
    <row r="164">
      <c r="A164" s="264"/>
      <c r="B164" s="264"/>
      <c r="C164" s="264"/>
      <c r="D164" s="264"/>
      <c r="E164" s="264"/>
      <c r="F164" s="264"/>
      <c r="G164" s="264"/>
      <c r="H164" s="264"/>
      <c r="I164" s="264"/>
      <c r="J164" s="264"/>
      <c r="K164" s="264"/>
      <c r="L164" s="264"/>
      <c r="M164" s="264"/>
      <c r="N164" s="264"/>
      <c r="O164" s="264"/>
      <c r="P164" s="264"/>
      <c r="Q164" s="264"/>
      <c r="R164" s="264"/>
      <c r="S164" s="264"/>
      <c r="T164" s="264"/>
      <c r="U164" s="264"/>
    </row>
    <row r="165">
      <c r="A165" s="264"/>
      <c r="B165" s="264"/>
      <c r="C165" s="264"/>
      <c r="D165" s="264"/>
      <c r="E165" s="264"/>
      <c r="F165" s="264"/>
      <c r="G165" s="264"/>
      <c r="H165" s="264"/>
      <c r="I165" s="264"/>
      <c r="J165" s="264"/>
      <c r="K165" s="264"/>
      <c r="L165" s="264"/>
      <c r="M165" s="264"/>
      <c r="N165" s="264"/>
      <c r="O165" s="264"/>
      <c r="P165" s="264"/>
      <c r="Q165" s="264"/>
      <c r="R165" s="264"/>
      <c r="S165" s="264"/>
      <c r="T165" s="264"/>
      <c r="U165" s="264"/>
    </row>
    <row r="166">
      <c r="A166" s="264"/>
      <c r="B166" s="264"/>
      <c r="C166" s="264"/>
      <c r="D166" s="264"/>
      <c r="E166" s="264"/>
      <c r="F166" s="264"/>
      <c r="G166" s="264"/>
      <c r="H166" s="264"/>
      <c r="I166" s="264"/>
      <c r="J166" s="264"/>
      <c r="K166" s="264"/>
      <c r="L166" s="264"/>
      <c r="M166" s="264"/>
      <c r="N166" s="264"/>
      <c r="O166" s="264"/>
      <c r="P166" s="264"/>
      <c r="Q166" s="264"/>
      <c r="R166" s="264"/>
      <c r="S166" s="264"/>
      <c r="T166" s="264"/>
      <c r="U166" s="264"/>
    </row>
    <row r="167">
      <c r="A167" s="264"/>
      <c r="B167" s="264"/>
      <c r="C167" s="264"/>
      <c r="D167" s="264"/>
      <c r="E167" s="264"/>
      <c r="F167" s="264"/>
      <c r="G167" s="264"/>
      <c r="H167" s="264"/>
      <c r="I167" s="264"/>
      <c r="J167" s="264"/>
      <c r="K167" s="264"/>
      <c r="L167" s="264"/>
      <c r="M167" s="264"/>
      <c r="N167" s="264"/>
      <c r="O167" s="264"/>
      <c r="P167" s="264"/>
      <c r="Q167" s="264"/>
      <c r="R167" s="264"/>
      <c r="S167" s="264"/>
      <c r="T167" s="264"/>
      <c r="U167" s="264"/>
    </row>
    <row r="168">
      <c r="A168" s="264"/>
      <c r="B168" s="264"/>
      <c r="C168" s="264"/>
      <c r="D168" s="264"/>
      <c r="E168" s="264"/>
      <c r="F168" s="264"/>
      <c r="G168" s="264"/>
      <c r="H168" s="264"/>
      <c r="I168" s="264"/>
      <c r="J168" s="264"/>
      <c r="K168" s="264"/>
      <c r="L168" s="264"/>
      <c r="M168" s="264"/>
      <c r="N168" s="264"/>
      <c r="O168" s="264"/>
      <c r="P168" s="264"/>
      <c r="Q168" s="264"/>
      <c r="R168" s="264"/>
      <c r="S168" s="264"/>
      <c r="T168" s="264"/>
      <c r="U168" s="264"/>
    </row>
    <row r="169">
      <c r="A169" s="264"/>
      <c r="B169" s="264"/>
      <c r="C169" s="264"/>
      <c r="D169" s="264"/>
      <c r="E169" s="264"/>
      <c r="F169" s="264"/>
      <c r="G169" s="264"/>
      <c r="H169" s="264"/>
      <c r="I169" s="264"/>
      <c r="J169" s="264"/>
      <c r="K169" s="264"/>
      <c r="L169" s="264"/>
      <c r="M169" s="264"/>
      <c r="N169" s="264"/>
      <c r="O169" s="264"/>
      <c r="P169" s="264"/>
      <c r="Q169" s="264"/>
      <c r="R169" s="264"/>
      <c r="S169" s="264"/>
      <c r="T169" s="264"/>
      <c r="U169" s="264"/>
    </row>
    <row r="170">
      <c r="A170" s="264"/>
      <c r="B170" s="264"/>
      <c r="C170" s="264"/>
      <c r="D170" s="264"/>
      <c r="E170" s="264"/>
      <c r="F170" s="264"/>
      <c r="G170" s="264"/>
      <c r="H170" s="264"/>
      <c r="I170" s="264"/>
      <c r="J170" s="264"/>
      <c r="K170" s="264"/>
      <c r="L170" s="264"/>
      <c r="M170" s="264"/>
      <c r="N170" s="264"/>
      <c r="O170" s="264"/>
      <c r="P170" s="264"/>
      <c r="Q170" s="264"/>
      <c r="R170" s="264"/>
      <c r="S170" s="264"/>
      <c r="T170" s="264"/>
      <c r="U170" s="264"/>
    </row>
    <row r="171">
      <c r="A171" s="264"/>
      <c r="B171" s="264"/>
      <c r="C171" s="264"/>
      <c r="D171" s="264"/>
      <c r="E171" s="264"/>
      <c r="F171" s="264"/>
      <c r="G171" s="264"/>
      <c r="H171" s="264"/>
      <c r="I171" s="264"/>
      <c r="J171" s="264"/>
      <c r="K171" s="264"/>
      <c r="L171" s="264"/>
      <c r="M171" s="264"/>
      <c r="N171" s="264"/>
      <c r="O171" s="264"/>
      <c r="P171" s="264"/>
      <c r="Q171" s="264"/>
      <c r="R171" s="264"/>
      <c r="S171" s="264"/>
      <c r="T171" s="264"/>
      <c r="U171" s="264"/>
    </row>
    <row r="172">
      <c r="A172" s="264"/>
      <c r="B172" s="264"/>
      <c r="C172" s="264"/>
      <c r="D172" s="264"/>
      <c r="E172" s="264"/>
      <c r="F172" s="264"/>
      <c r="G172" s="264"/>
      <c r="H172" s="264"/>
      <c r="I172" s="264"/>
      <c r="J172" s="264"/>
      <c r="K172" s="264"/>
      <c r="L172" s="264"/>
      <c r="M172" s="264"/>
      <c r="N172" s="264"/>
      <c r="O172" s="264"/>
      <c r="P172" s="264"/>
      <c r="Q172" s="264"/>
      <c r="R172" s="264"/>
      <c r="S172" s="264"/>
      <c r="T172" s="264"/>
      <c r="U172" s="264"/>
    </row>
    <row r="173">
      <c r="A173" s="264"/>
      <c r="B173" s="264"/>
      <c r="C173" s="264"/>
      <c r="D173" s="264"/>
      <c r="E173" s="264"/>
      <c r="F173" s="264"/>
      <c r="G173" s="264"/>
      <c r="H173" s="264"/>
      <c r="I173" s="264"/>
      <c r="J173" s="264"/>
      <c r="K173" s="264"/>
      <c r="L173" s="264"/>
      <c r="M173" s="264"/>
      <c r="N173" s="264"/>
      <c r="O173" s="264"/>
      <c r="P173" s="264"/>
      <c r="Q173" s="264"/>
      <c r="R173" s="264"/>
      <c r="S173" s="264"/>
      <c r="T173" s="264"/>
      <c r="U173" s="264"/>
    </row>
    <row r="174">
      <c r="A174" s="264"/>
      <c r="B174" s="264"/>
      <c r="C174" s="264"/>
      <c r="D174" s="264"/>
      <c r="E174" s="264"/>
      <c r="F174" s="264"/>
      <c r="G174" s="264"/>
      <c r="H174" s="264"/>
      <c r="I174" s="264"/>
      <c r="J174" s="264"/>
      <c r="K174" s="264"/>
      <c r="L174" s="264"/>
      <c r="M174" s="264"/>
      <c r="N174" s="264"/>
      <c r="O174" s="264"/>
      <c r="P174" s="264"/>
      <c r="Q174" s="264"/>
      <c r="R174" s="264"/>
      <c r="S174" s="264"/>
      <c r="T174" s="264"/>
      <c r="U174" s="264"/>
    </row>
    <row r="175">
      <c r="A175" s="264"/>
      <c r="B175" s="264"/>
      <c r="C175" s="264"/>
      <c r="D175" s="264"/>
      <c r="E175" s="264"/>
      <c r="F175" s="264"/>
      <c r="G175" s="264"/>
      <c r="H175" s="264"/>
      <c r="I175" s="264"/>
      <c r="J175" s="264"/>
      <c r="K175" s="264"/>
      <c r="L175" s="264"/>
      <c r="M175" s="264"/>
      <c r="N175" s="264"/>
      <c r="O175" s="264"/>
      <c r="P175" s="264"/>
      <c r="Q175" s="264"/>
      <c r="R175" s="264"/>
      <c r="S175" s="264"/>
      <c r="T175" s="264"/>
      <c r="U175" s="264"/>
    </row>
    <row r="176">
      <c r="A176" s="264"/>
      <c r="B176" s="264"/>
      <c r="C176" s="264"/>
      <c r="D176" s="264"/>
      <c r="E176" s="264"/>
      <c r="F176" s="264"/>
      <c r="G176" s="264"/>
      <c r="H176" s="264"/>
      <c r="I176" s="264"/>
      <c r="J176" s="264"/>
      <c r="K176" s="264"/>
      <c r="L176" s="264"/>
      <c r="M176" s="264"/>
      <c r="N176" s="264"/>
      <c r="O176" s="264"/>
      <c r="P176" s="264"/>
      <c r="Q176" s="264"/>
      <c r="R176" s="264"/>
      <c r="S176" s="264"/>
      <c r="T176" s="264"/>
      <c r="U176" s="264"/>
    </row>
    <row r="177">
      <c r="A177" s="264"/>
      <c r="B177" s="264"/>
      <c r="C177" s="264"/>
      <c r="D177" s="264"/>
      <c r="E177" s="264"/>
      <c r="F177" s="264"/>
      <c r="G177" s="264"/>
      <c r="H177" s="264"/>
      <c r="I177" s="264"/>
      <c r="J177" s="264"/>
      <c r="K177" s="264"/>
      <c r="L177" s="264"/>
      <c r="M177" s="264"/>
      <c r="N177" s="264"/>
      <c r="O177" s="264"/>
      <c r="P177" s="264"/>
      <c r="Q177" s="264"/>
      <c r="R177" s="264"/>
      <c r="S177" s="264"/>
      <c r="T177" s="264"/>
      <c r="U177" s="264"/>
    </row>
    <row r="178">
      <c r="A178" s="264"/>
      <c r="B178" s="264"/>
      <c r="C178" s="264"/>
      <c r="D178" s="264"/>
      <c r="E178" s="264"/>
      <c r="F178" s="264"/>
      <c r="G178" s="264"/>
      <c r="H178" s="264"/>
      <c r="I178" s="264"/>
      <c r="J178" s="264"/>
      <c r="K178" s="264"/>
      <c r="L178" s="264"/>
      <c r="M178" s="264"/>
      <c r="N178" s="264"/>
      <c r="O178" s="264"/>
      <c r="P178" s="264"/>
      <c r="Q178" s="264"/>
      <c r="R178" s="264"/>
      <c r="S178" s="264"/>
      <c r="T178" s="264"/>
      <c r="U178" s="264"/>
    </row>
    <row r="179">
      <c r="A179" s="264"/>
      <c r="B179" s="264"/>
      <c r="C179" s="264"/>
      <c r="D179" s="264"/>
      <c r="E179" s="264"/>
      <c r="F179" s="264"/>
      <c r="G179" s="264"/>
      <c r="H179" s="264"/>
      <c r="I179" s="264"/>
      <c r="J179" s="264"/>
      <c r="K179" s="264"/>
      <c r="L179" s="264"/>
      <c r="M179" s="264"/>
      <c r="N179" s="264"/>
      <c r="O179" s="264"/>
      <c r="P179" s="264"/>
      <c r="Q179" s="264"/>
      <c r="R179" s="264"/>
      <c r="S179" s="264"/>
      <c r="T179" s="264"/>
      <c r="U179" s="264"/>
    </row>
    <row r="180">
      <c r="A180" s="264"/>
      <c r="B180" s="264"/>
      <c r="C180" s="264"/>
      <c r="D180" s="264"/>
      <c r="E180" s="264"/>
      <c r="F180" s="264"/>
      <c r="G180" s="264"/>
      <c r="H180" s="264"/>
      <c r="I180" s="264"/>
      <c r="J180" s="264"/>
      <c r="K180" s="264"/>
      <c r="L180" s="264"/>
      <c r="M180" s="264"/>
      <c r="N180" s="264"/>
      <c r="O180" s="264"/>
      <c r="P180" s="264"/>
      <c r="Q180" s="264"/>
      <c r="R180" s="264"/>
      <c r="S180" s="264"/>
      <c r="T180" s="264"/>
      <c r="U180" s="264"/>
    </row>
    <row r="181">
      <c r="A181" s="264"/>
      <c r="B181" s="264"/>
      <c r="C181" s="264"/>
      <c r="D181" s="264"/>
      <c r="E181" s="264"/>
      <c r="F181" s="264"/>
      <c r="G181" s="264"/>
      <c r="H181" s="264"/>
      <c r="I181" s="264"/>
      <c r="J181" s="264"/>
      <c r="K181" s="264"/>
      <c r="L181" s="264"/>
      <c r="M181" s="264"/>
      <c r="N181" s="264"/>
      <c r="O181" s="264"/>
      <c r="P181" s="264"/>
      <c r="Q181" s="264"/>
      <c r="R181" s="264"/>
      <c r="S181" s="264"/>
      <c r="T181" s="264"/>
      <c r="U181" s="264"/>
    </row>
    <row r="182">
      <c r="A182" s="264"/>
      <c r="B182" s="264"/>
      <c r="C182" s="264"/>
      <c r="D182" s="264"/>
      <c r="E182" s="264"/>
      <c r="F182" s="264"/>
      <c r="G182" s="264"/>
      <c r="H182" s="264"/>
      <c r="I182" s="264"/>
      <c r="J182" s="264"/>
      <c r="K182" s="264"/>
      <c r="L182" s="264"/>
      <c r="M182" s="264"/>
      <c r="N182" s="264"/>
      <c r="O182" s="264"/>
      <c r="P182" s="264"/>
      <c r="Q182" s="264"/>
      <c r="R182" s="264"/>
      <c r="S182" s="264"/>
      <c r="T182" s="264"/>
      <c r="U182" s="264"/>
    </row>
    <row r="183">
      <c r="A183" s="264"/>
      <c r="B183" s="264"/>
      <c r="C183" s="264"/>
      <c r="D183" s="264"/>
      <c r="E183" s="264"/>
      <c r="F183" s="264"/>
      <c r="G183" s="264"/>
      <c r="H183" s="264"/>
      <c r="I183" s="264"/>
      <c r="J183" s="264"/>
      <c r="K183" s="264"/>
      <c r="L183" s="264"/>
      <c r="M183" s="264"/>
      <c r="N183" s="264"/>
      <c r="O183" s="264"/>
      <c r="P183" s="264"/>
      <c r="Q183" s="264"/>
      <c r="R183" s="264"/>
      <c r="S183" s="264"/>
      <c r="T183" s="264"/>
      <c r="U183" s="264"/>
    </row>
    <row r="184">
      <c r="A184" s="264"/>
      <c r="B184" s="264"/>
      <c r="C184" s="264"/>
      <c r="D184" s="264"/>
      <c r="E184" s="264"/>
      <c r="F184" s="264"/>
      <c r="G184" s="264"/>
      <c r="H184" s="264"/>
      <c r="I184" s="264"/>
      <c r="J184" s="264"/>
      <c r="K184" s="264"/>
      <c r="L184" s="264"/>
      <c r="M184" s="264"/>
      <c r="N184" s="264"/>
      <c r="O184" s="264"/>
      <c r="P184" s="264"/>
      <c r="Q184" s="264"/>
      <c r="R184" s="264"/>
      <c r="S184" s="264"/>
      <c r="T184" s="264"/>
      <c r="U184" s="264"/>
    </row>
    <row r="185">
      <c r="A185" s="264"/>
      <c r="B185" s="264"/>
      <c r="C185" s="264"/>
      <c r="D185" s="264"/>
      <c r="E185" s="264"/>
      <c r="F185" s="264"/>
      <c r="G185" s="264"/>
      <c r="H185" s="264"/>
      <c r="I185" s="264"/>
      <c r="J185" s="264"/>
      <c r="K185" s="264"/>
      <c r="L185" s="264"/>
      <c r="M185" s="264"/>
      <c r="N185" s="264"/>
      <c r="O185" s="264"/>
      <c r="P185" s="264"/>
      <c r="Q185" s="264"/>
      <c r="R185" s="264"/>
      <c r="S185" s="264"/>
      <c r="T185" s="264"/>
      <c r="U185" s="264"/>
    </row>
    <row r="186">
      <c r="A186" s="264"/>
      <c r="B186" s="264"/>
      <c r="C186" s="264"/>
      <c r="D186" s="264"/>
      <c r="E186" s="264"/>
      <c r="F186" s="264"/>
      <c r="G186" s="264"/>
      <c r="H186" s="264"/>
      <c r="I186" s="264"/>
      <c r="J186" s="264"/>
      <c r="K186" s="264"/>
      <c r="L186" s="264"/>
      <c r="M186" s="264"/>
      <c r="N186" s="264"/>
      <c r="O186" s="264"/>
      <c r="P186" s="264"/>
      <c r="Q186" s="264"/>
      <c r="R186" s="264"/>
      <c r="S186" s="264"/>
      <c r="T186" s="264"/>
      <c r="U186" s="264"/>
    </row>
    <row r="187">
      <c r="A187" s="264"/>
      <c r="B187" s="264"/>
      <c r="C187" s="264"/>
      <c r="D187" s="264"/>
      <c r="E187" s="264"/>
      <c r="F187" s="264"/>
      <c r="G187" s="264"/>
      <c r="H187" s="264"/>
      <c r="I187" s="264"/>
      <c r="J187" s="264"/>
      <c r="K187" s="264"/>
      <c r="L187" s="264"/>
      <c r="M187" s="264"/>
      <c r="N187" s="264"/>
      <c r="O187" s="264"/>
      <c r="P187" s="264"/>
      <c r="Q187" s="264"/>
      <c r="R187" s="264"/>
      <c r="S187" s="264"/>
      <c r="T187" s="264"/>
      <c r="U187" s="264"/>
    </row>
    <row r="188">
      <c r="A188" s="264"/>
      <c r="B188" s="264"/>
      <c r="C188" s="264"/>
      <c r="D188" s="264"/>
      <c r="E188" s="264"/>
      <c r="F188" s="264"/>
      <c r="G188" s="264"/>
      <c r="H188" s="264"/>
      <c r="I188" s="264"/>
      <c r="J188" s="264"/>
      <c r="K188" s="264"/>
      <c r="L188" s="264"/>
      <c r="M188" s="264"/>
      <c r="N188" s="264"/>
      <c r="O188" s="264"/>
      <c r="P188" s="264"/>
      <c r="Q188" s="264"/>
      <c r="R188" s="264"/>
      <c r="S188" s="264"/>
      <c r="T188" s="264"/>
      <c r="U188" s="264"/>
    </row>
    <row r="189">
      <c r="A189" s="264"/>
      <c r="B189" s="264"/>
      <c r="C189" s="264"/>
      <c r="D189" s="264"/>
      <c r="E189" s="264"/>
      <c r="F189" s="264"/>
      <c r="G189" s="264"/>
      <c r="H189" s="264"/>
      <c r="I189" s="264"/>
      <c r="J189" s="264"/>
      <c r="K189" s="264"/>
      <c r="L189" s="264"/>
      <c r="M189" s="264"/>
      <c r="N189" s="264"/>
      <c r="O189" s="264"/>
      <c r="P189" s="264"/>
      <c r="Q189" s="264"/>
      <c r="R189" s="264"/>
      <c r="S189" s="264"/>
      <c r="T189" s="264"/>
      <c r="U189" s="264"/>
    </row>
    <row r="190">
      <c r="A190" s="264"/>
      <c r="B190" s="264"/>
      <c r="C190" s="264"/>
      <c r="D190" s="264"/>
      <c r="E190" s="264"/>
      <c r="F190" s="264"/>
      <c r="G190" s="264"/>
      <c r="H190" s="264"/>
      <c r="I190" s="264"/>
      <c r="J190" s="264"/>
      <c r="K190" s="264"/>
      <c r="L190" s="264"/>
      <c r="M190" s="264"/>
      <c r="N190" s="264"/>
      <c r="O190" s="264"/>
      <c r="P190" s="264"/>
      <c r="Q190" s="264"/>
      <c r="R190" s="264"/>
      <c r="S190" s="264"/>
      <c r="T190" s="264"/>
      <c r="U190" s="264"/>
    </row>
    <row r="191">
      <c r="A191" s="264"/>
      <c r="B191" s="264"/>
      <c r="C191" s="264"/>
      <c r="D191" s="264"/>
      <c r="E191" s="264"/>
      <c r="F191" s="264"/>
      <c r="G191" s="264"/>
      <c r="H191" s="264"/>
      <c r="I191" s="264"/>
      <c r="J191" s="264"/>
      <c r="K191" s="264"/>
      <c r="L191" s="264"/>
      <c r="M191" s="264"/>
      <c r="N191" s="264"/>
      <c r="O191" s="264"/>
      <c r="P191" s="264"/>
      <c r="Q191" s="264"/>
      <c r="R191" s="264"/>
      <c r="S191" s="264"/>
      <c r="T191" s="264"/>
      <c r="U191" s="264"/>
    </row>
    <row r="192">
      <c r="A192" s="264"/>
      <c r="B192" s="264"/>
      <c r="C192" s="264"/>
      <c r="D192" s="264"/>
      <c r="E192" s="264"/>
      <c r="F192" s="264"/>
      <c r="G192" s="264"/>
      <c r="H192" s="264"/>
      <c r="I192" s="264"/>
      <c r="J192" s="264"/>
      <c r="K192" s="264"/>
      <c r="L192" s="264"/>
      <c r="M192" s="264"/>
      <c r="N192" s="264"/>
      <c r="O192" s="264"/>
      <c r="P192" s="264"/>
      <c r="Q192" s="264"/>
      <c r="R192" s="264"/>
      <c r="S192" s="264"/>
      <c r="T192" s="264"/>
      <c r="U192" s="264"/>
    </row>
    <row r="193">
      <c r="A193" s="264"/>
      <c r="B193" s="264"/>
      <c r="C193" s="264"/>
      <c r="D193" s="264"/>
      <c r="E193" s="264"/>
      <c r="F193" s="264"/>
      <c r="G193" s="264"/>
      <c r="H193" s="264"/>
      <c r="I193" s="264"/>
      <c r="J193" s="264"/>
      <c r="K193" s="264"/>
      <c r="L193" s="264"/>
      <c r="M193" s="264"/>
      <c r="N193" s="264"/>
      <c r="O193" s="264"/>
      <c r="P193" s="264"/>
      <c r="Q193" s="264"/>
      <c r="R193" s="264"/>
      <c r="S193" s="264"/>
      <c r="T193" s="264"/>
      <c r="U193" s="264"/>
    </row>
    <row r="194">
      <c r="A194" s="264"/>
      <c r="B194" s="264"/>
      <c r="C194" s="264"/>
      <c r="D194" s="264"/>
      <c r="E194" s="264"/>
      <c r="F194" s="264"/>
      <c r="G194" s="264"/>
      <c r="H194" s="264"/>
      <c r="I194" s="264"/>
      <c r="J194" s="264"/>
      <c r="K194" s="264"/>
      <c r="L194" s="264"/>
      <c r="M194" s="264"/>
      <c r="N194" s="264"/>
      <c r="O194" s="264"/>
      <c r="P194" s="264"/>
      <c r="Q194" s="264"/>
      <c r="R194" s="264"/>
      <c r="S194" s="264"/>
      <c r="T194" s="264"/>
      <c r="U194" s="264"/>
    </row>
    <row r="195">
      <c r="A195" s="264"/>
      <c r="B195" s="264"/>
      <c r="C195" s="264"/>
      <c r="D195" s="264"/>
      <c r="E195" s="264"/>
      <c r="F195" s="264"/>
      <c r="G195" s="264"/>
      <c r="H195" s="264"/>
      <c r="I195" s="264"/>
      <c r="J195" s="264"/>
      <c r="K195" s="264"/>
      <c r="L195" s="264"/>
      <c r="M195" s="264"/>
      <c r="N195" s="264"/>
      <c r="O195" s="264"/>
      <c r="P195" s="264"/>
      <c r="Q195" s="264"/>
      <c r="R195" s="264"/>
      <c r="S195" s="264"/>
      <c r="T195" s="264"/>
      <c r="U195" s="264"/>
    </row>
    <row r="196">
      <c r="A196" s="264"/>
      <c r="B196" s="264"/>
      <c r="C196" s="264"/>
      <c r="D196" s="264"/>
      <c r="E196" s="264"/>
      <c r="F196" s="264"/>
      <c r="G196" s="264"/>
      <c r="H196" s="264"/>
      <c r="I196" s="264"/>
      <c r="J196" s="264"/>
      <c r="K196" s="264"/>
      <c r="L196" s="264"/>
      <c r="M196" s="264"/>
      <c r="N196" s="264"/>
      <c r="O196" s="264"/>
      <c r="P196" s="264"/>
      <c r="Q196" s="264"/>
      <c r="R196" s="264"/>
      <c r="S196" s="264"/>
      <c r="T196" s="264"/>
      <c r="U196" s="264"/>
    </row>
    <row r="197">
      <c r="A197" s="264"/>
      <c r="B197" s="264"/>
      <c r="C197" s="264"/>
      <c r="D197" s="264"/>
      <c r="E197" s="264"/>
      <c r="F197" s="264"/>
      <c r="G197" s="264"/>
      <c r="H197" s="264"/>
      <c r="I197" s="264"/>
      <c r="J197" s="264"/>
      <c r="K197" s="264"/>
      <c r="L197" s="264"/>
      <c r="M197" s="264"/>
      <c r="N197" s="264"/>
      <c r="O197" s="264"/>
      <c r="P197" s="264"/>
      <c r="Q197" s="264"/>
      <c r="R197" s="264"/>
      <c r="S197" s="264"/>
      <c r="T197" s="264"/>
      <c r="U197" s="264"/>
    </row>
    <row r="198">
      <c r="A198" s="264"/>
      <c r="B198" s="264"/>
      <c r="C198" s="264"/>
      <c r="D198" s="264"/>
      <c r="E198" s="264"/>
      <c r="F198" s="264"/>
      <c r="G198" s="264"/>
      <c r="H198" s="264"/>
      <c r="I198" s="264"/>
      <c r="J198" s="264"/>
      <c r="K198" s="264"/>
      <c r="L198" s="264"/>
      <c r="M198" s="264"/>
      <c r="N198" s="264"/>
      <c r="O198" s="264"/>
      <c r="P198" s="264"/>
      <c r="Q198" s="264"/>
      <c r="R198" s="264"/>
      <c r="S198" s="264"/>
      <c r="T198" s="264"/>
      <c r="U198" s="264"/>
    </row>
    <row r="199">
      <c r="A199" s="264"/>
      <c r="B199" s="264"/>
      <c r="C199" s="264"/>
      <c r="D199" s="264"/>
      <c r="E199" s="264"/>
      <c r="F199" s="264"/>
      <c r="G199" s="264"/>
      <c r="H199" s="264"/>
      <c r="I199" s="264"/>
      <c r="J199" s="264"/>
      <c r="K199" s="264"/>
      <c r="L199" s="264"/>
      <c r="M199" s="264"/>
      <c r="N199" s="264"/>
      <c r="O199" s="264"/>
      <c r="P199" s="264"/>
      <c r="Q199" s="264"/>
      <c r="R199" s="264"/>
      <c r="S199" s="264"/>
      <c r="T199" s="264"/>
      <c r="U199" s="264"/>
    </row>
    <row r="200">
      <c r="A200" s="264"/>
      <c r="B200" s="264"/>
      <c r="C200" s="264"/>
      <c r="D200" s="264"/>
      <c r="E200" s="264"/>
      <c r="F200" s="264"/>
      <c r="G200" s="264"/>
      <c r="H200" s="264"/>
      <c r="I200" s="264"/>
      <c r="J200" s="264"/>
      <c r="K200" s="264"/>
      <c r="L200" s="264"/>
      <c r="M200" s="264"/>
      <c r="N200" s="264"/>
      <c r="O200" s="264"/>
      <c r="P200" s="264"/>
      <c r="Q200" s="264"/>
      <c r="R200" s="264"/>
      <c r="S200" s="264"/>
      <c r="T200" s="264"/>
      <c r="U200" s="264"/>
    </row>
    <row r="201">
      <c r="A201" s="264"/>
      <c r="B201" s="264"/>
      <c r="C201" s="264"/>
      <c r="D201" s="264"/>
      <c r="E201" s="264"/>
      <c r="F201" s="264"/>
      <c r="G201" s="264"/>
      <c r="H201" s="264"/>
      <c r="I201" s="264"/>
      <c r="J201" s="264"/>
      <c r="K201" s="264"/>
      <c r="L201" s="264"/>
      <c r="M201" s="264"/>
      <c r="N201" s="264"/>
      <c r="O201" s="264"/>
      <c r="P201" s="264"/>
      <c r="Q201" s="264"/>
      <c r="R201" s="264"/>
      <c r="S201" s="264"/>
      <c r="T201" s="264"/>
      <c r="U201" s="264"/>
    </row>
    <row r="202">
      <c r="A202" s="264"/>
      <c r="B202" s="264"/>
      <c r="C202" s="264"/>
      <c r="D202" s="264"/>
      <c r="E202" s="264"/>
      <c r="F202" s="264"/>
      <c r="G202" s="264"/>
      <c r="H202" s="264"/>
      <c r="I202" s="264"/>
      <c r="J202" s="264"/>
      <c r="K202" s="264"/>
      <c r="L202" s="264"/>
      <c r="M202" s="264"/>
      <c r="N202" s="264"/>
      <c r="O202" s="264"/>
      <c r="P202" s="264"/>
      <c r="Q202" s="264"/>
      <c r="R202" s="264"/>
      <c r="S202" s="264"/>
      <c r="T202" s="264"/>
      <c r="U202" s="264"/>
    </row>
    <row r="203">
      <c r="A203" s="264"/>
      <c r="B203" s="264"/>
      <c r="C203" s="264"/>
      <c r="D203" s="264"/>
      <c r="E203" s="264"/>
      <c r="F203" s="264"/>
      <c r="G203" s="264"/>
      <c r="H203" s="264"/>
      <c r="I203" s="264"/>
      <c r="J203" s="264"/>
      <c r="K203" s="264"/>
      <c r="L203" s="264"/>
      <c r="M203" s="264"/>
      <c r="N203" s="264"/>
      <c r="O203" s="264"/>
      <c r="P203" s="264"/>
      <c r="Q203" s="264"/>
      <c r="R203" s="264"/>
      <c r="S203" s="264"/>
      <c r="T203" s="264"/>
      <c r="U203" s="264"/>
    </row>
    <row r="204">
      <c r="A204" s="264"/>
      <c r="B204" s="264"/>
      <c r="C204" s="264"/>
      <c r="D204" s="264"/>
      <c r="E204" s="264"/>
      <c r="F204" s="264"/>
      <c r="G204" s="264"/>
      <c r="H204" s="264"/>
      <c r="I204" s="264"/>
      <c r="J204" s="264"/>
      <c r="K204" s="264"/>
      <c r="L204" s="264"/>
      <c r="M204" s="264"/>
      <c r="N204" s="264"/>
      <c r="O204" s="264"/>
      <c r="P204" s="264"/>
      <c r="Q204" s="264"/>
      <c r="R204" s="264"/>
      <c r="S204" s="264"/>
      <c r="T204" s="264"/>
      <c r="U204" s="264"/>
    </row>
    <row r="205">
      <c r="A205" s="264"/>
      <c r="B205" s="264"/>
      <c r="C205" s="264"/>
      <c r="D205" s="264"/>
      <c r="E205" s="264"/>
      <c r="F205" s="264"/>
      <c r="G205" s="264"/>
      <c r="H205" s="264"/>
      <c r="I205" s="264"/>
      <c r="J205" s="264"/>
      <c r="K205" s="264"/>
      <c r="L205" s="264"/>
      <c r="M205" s="264"/>
      <c r="N205" s="264"/>
      <c r="O205" s="264"/>
      <c r="P205" s="264"/>
      <c r="Q205" s="264"/>
      <c r="R205" s="264"/>
      <c r="S205" s="264"/>
      <c r="T205" s="264"/>
      <c r="U205" s="264"/>
    </row>
    <row r="206">
      <c r="A206" s="264"/>
      <c r="B206" s="264"/>
      <c r="C206" s="264"/>
      <c r="D206" s="264"/>
      <c r="E206" s="264"/>
      <c r="F206" s="264"/>
      <c r="G206" s="264"/>
      <c r="H206" s="264"/>
      <c r="I206" s="264"/>
      <c r="J206" s="264"/>
      <c r="K206" s="264"/>
      <c r="L206" s="264"/>
      <c r="M206" s="264"/>
      <c r="N206" s="264"/>
      <c r="O206" s="264"/>
      <c r="P206" s="264"/>
      <c r="Q206" s="264"/>
      <c r="R206" s="264"/>
      <c r="S206" s="264"/>
      <c r="T206" s="264"/>
      <c r="U206" s="264"/>
    </row>
    <row r="207">
      <c r="A207" s="264"/>
      <c r="B207" s="264"/>
      <c r="C207" s="264"/>
      <c r="D207" s="264"/>
      <c r="E207" s="264"/>
      <c r="F207" s="264"/>
      <c r="G207" s="264"/>
      <c r="H207" s="264"/>
      <c r="I207" s="264"/>
      <c r="J207" s="264"/>
      <c r="K207" s="264"/>
      <c r="L207" s="264"/>
      <c r="M207" s="264"/>
      <c r="N207" s="264"/>
      <c r="O207" s="264"/>
      <c r="P207" s="264"/>
      <c r="Q207" s="264"/>
      <c r="R207" s="264"/>
      <c r="S207" s="264"/>
      <c r="T207" s="264"/>
      <c r="U207" s="264"/>
    </row>
    <row r="208">
      <c r="A208" s="264"/>
      <c r="B208" s="264"/>
      <c r="C208" s="264"/>
      <c r="D208" s="264"/>
      <c r="E208" s="264"/>
      <c r="F208" s="264"/>
      <c r="G208" s="264"/>
      <c r="H208" s="264"/>
      <c r="I208" s="264"/>
      <c r="J208" s="264"/>
      <c r="K208" s="264"/>
      <c r="L208" s="264"/>
      <c r="M208" s="264"/>
      <c r="N208" s="264"/>
      <c r="O208" s="264"/>
      <c r="P208" s="264"/>
      <c r="Q208" s="264"/>
      <c r="R208" s="264"/>
      <c r="S208" s="264"/>
      <c r="T208" s="264"/>
      <c r="U208" s="264"/>
    </row>
    <row r="209">
      <c r="A209" s="264"/>
      <c r="B209" s="264"/>
      <c r="C209" s="264"/>
      <c r="D209" s="264"/>
      <c r="E209" s="264"/>
      <c r="F209" s="264"/>
      <c r="G209" s="264"/>
      <c r="H209" s="264"/>
      <c r="I209" s="264"/>
      <c r="J209" s="264"/>
      <c r="K209" s="264"/>
      <c r="L209" s="264"/>
      <c r="M209" s="264"/>
      <c r="N209" s="264"/>
      <c r="O209" s="264"/>
      <c r="P209" s="264"/>
      <c r="Q209" s="264"/>
      <c r="R209" s="264"/>
      <c r="S209" s="264"/>
      <c r="T209" s="264"/>
      <c r="U209" s="264"/>
    </row>
    <row r="210">
      <c r="A210" s="264"/>
      <c r="B210" s="264"/>
      <c r="C210" s="264"/>
      <c r="D210" s="264"/>
      <c r="E210" s="264"/>
      <c r="F210" s="264"/>
      <c r="G210" s="264"/>
      <c r="H210" s="264"/>
      <c r="I210" s="264"/>
      <c r="J210" s="264"/>
      <c r="K210" s="264"/>
      <c r="L210" s="264"/>
      <c r="M210" s="264"/>
      <c r="N210" s="264"/>
      <c r="O210" s="264"/>
      <c r="P210" s="264"/>
      <c r="Q210" s="264"/>
      <c r="R210" s="264"/>
      <c r="S210" s="264"/>
      <c r="T210" s="264"/>
      <c r="U210" s="264"/>
    </row>
    <row r="211">
      <c r="A211" s="264"/>
      <c r="B211" s="264"/>
      <c r="C211" s="264"/>
      <c r="D211" s="264"/>
      <c r="E211" s="264"/>
      <c r="F211" s="264"/>
      <c r="G211" s="264"/>
      <c r="H211" s="264"/>
      <c r="I211" s="264"/>
      <c r="J211" s="264"/>
      <c r="K211" s="264"/>
      <c r="L211" s="264"/>
      <c r="M211" s="264"/>
      <c r="N211" s="264"/>
      <c r="O211" s="264"/>
      <c r="P211" s="264"/>
      <c r="Q211" s="264"/>
      <c r="R211" s="264"/>
      <c r="S211" s="264"/>
      <c r="T211" s="264"/>
      <c r="U211" s="264"/>
    </row>
    <row r="212">
      <c r="A212" s="264"/>
      <c r="B212" s="264"/>
      <c r="C212" s="264"/>
      <c r="D212" s="264"/>
      <c r="E212" s="264"/>
      <c r="F212" s="264"/>
      <c r="G212" s="264"/>
      <c r="H212" s="264"/>
      <c r="I212" s="264"/>
      <c r="J212" s="264"/>
      <c r="K212" s="264"/>
      <c r="L212" s="264"/>
      <c r="M212" s="264"/>
      <c r="N212" s="264"/>
      <c r="O212" s="264"/>
      <c r="P212" s="264"/>
      <c r="Q212" s="264"/>
      <c r="R212" s="264"/>
      <c r="S212" s="264"/>
      <c r="T212" s="264"/>
      <c r="U212" s="264"/>
    </row>
    <row r="213">
      <c r="A213" s="264"/>
      <c r="B213" s="264"/>
      <c r="C213" s="264"/>
      <c r="D213" s="264"/>
      <c r="E213" s="264"/>
      <c r="F213" s="264"/>
      <c r="G213" s="264"/>
      <c r="H213" s="264"/>
      <c r="I213" s="264"/>
      <c r="J213" s="264"/>
      <c r="K213" s="264"/>
      <c r="L213" s="264"/>
      <c r="M213" s="264"/>
      <c r="N213" s="264"/>
      <c r="O213" s="264"/>
      <c r="P213" s="264"/>
      <c r="Q213" s="264"/>
      <c r="R213" s="264"/>
      <c r="S213" s="264"/>
      <c r="T213" s="264"/>
      <c r="U213" s="264"/>
    </row>
    <row r="214">
      <c r="A214" s="264"/>
      <c r="B214" s="264"/>
      <c r="C214" s="264"/>
      <c r="D214" s="264"/>
      <c r="E214" s="264"/>
      <c r="F214" s="264"/>
      <c r="G214" s="264"/>
      <c r="H214" s="264"/>
      <c r="I214" s="264"/>
      <c r="J214" s="264"/>
      <c r="K214" s="264"/>
      <c r="L214" s="264"/>
      <c r="M214" s="264"/>
      <c r="N214" s="264"/>
      <c r="O214" s="264"/>
      <c r="P214" s="264"/>
      <c r="Q214" s="264"/>
      <c r="R214" s="264"/>
      <c r="S214" s="264"/>
      <c r="T214" s="264"/>
      <c r="U214" s="264"/>
    </row>
    <row r="215">
      <c r="A215" s="264"/>
      <c r="B215" s="264"/>
      <c r="C215" s="264"/>
      <c r="D215" s="264"/>
      <c r="E215" s="264"/>
      <c r="F215" s="264"/>
      <c r="G215" s="264"/>
      <c r="H215" s="264"/>
      <c r="I215" s="264"/>
      <c r="J215" s="264"/>
      <c r="K215" s="264"/>
      <c r="L215" s="264"/>
      <c r="M215" s="264"/>
      <c r="N215" s="264"/>
      <c r="O215" s="264"/>
      <c r="P215" s="264"/>
      <c r="Q215" s="264"/>
      <c r="R215" s="264"/>
      <c r="S215" s="264"/>
      <c r="T215" s="264"/>
      <c r="U215" s="264"/>
    </row>
    <row r="216">
      <c r="A216" s="264"/>
      <c r="B216" s="264"/>
      <c r="C216" s="264"/>
      <c r="D216" s="264"/>
      <c r="E216" s="264"/>
      <c r="F216" s="264"/>
      <c r="G216" s="264"/>
      <c r="H216" s="264"/>
      <c r="I216" s="264"/>
      <c r="J216" s="264"/>
      <c r="K216" s="264"/>
      <c r="L216" s="264"/>
      <c r="M216" s="264"/>
      <c r="N216" s="264"/>
      <c r="O216" s="264"/>
      <c r="P216" s="264"/>
      <c r="Q216" s="264"/>
      <c r="R216" s="264"/>
      <c r="S216" s="264"/>
      <c r="T216" s="264"/>
      <c r="U216" s="264"/>
    </row>
    <row r="217">
      <c r="A217" s="264"/>
      <c r="B217" s="264"/>
      <c r="C217" s="264"/>
      <c r="D217" s="264"/>
      <c r="E217" s="264"/>
      <c r="F217" s="264"/>
      <c r="G217" s="264"/>
      <c r="H217" s="264"/>
      <c r="I217" s="264"/>
      <c r="J217" s="264"/>
      <c r="K217" s="264"/>
      <c r="L217" s="264"/>
      <c r="M217" s="264"/>
      <c r="N217" s="264"/>
      <c r="O217" s="264"/>
      <c r="P217" s="264"/>
      <c r="Q217" s="264"/>
      <c r="R217" s="264"/>
      <c r="S217" s="264"/>
      <c r="T217" s="264"/>
      <c r="U217" s="264"/>
    </row>
    <row r="218">
      <c r="A218" s="264"/>
      <c r="B218" s="264"/>
      <c r="C218" s="264"/>
      <c r="D218" s="264"/>
      <c r="E218" s="264"/>
      <c r="F218" s="264"/>
      <c r="G218" s="264"/>
      <c r="H218" s="264"/>
      <c r="I218" s="264"/>
      <c r="J218" s="264"/>
      <c r="K218" s="264"/>
      <c r="L218" s="264"/>
      <c r="M218" s="264"/>
      <c r="N218" s="264"/>
      <c r="O218" s="264"/>
      <c r="P218" s="264"/>
      <c r="Q218" s="264"/>
      <c r="R218" s="264"/>
      <c r="S218" s="264"/>
      <c r="T218" s="264"/>
      <c r="U218" s="264"/>
    </row>
    <row r="219">
      <c r="A219" s="264"/>
      <c r="B219" s="264"/>
      <c r="C219" s="264"/>
      <c r="D219" s="264"/>
      <c r="E219" s="264"/>
      <c r="F219" s="264"/>
      <c r="G219" s="264"/>
      <c r="H219" s="264"/>
      <c r="I219" s="264"/>
      <c r="J219" s="264"/>
      <c r="K219" s="264"/>
      <c r="L219" s="264"/>
      <c r="M219" s="264"/>
      <c r="N219" s="264"/>
      <c r="O219" s="264"/>
      <c r="P219" s="264"/>
      <c r="Q219" s="264"/>
      <c r="R219" s="264"/>
      <c r="S219" s="264"/>
      <c r="T219" s="264"/>
      <c r="U219" s="264"/>
    </row>
    <row r="220">
      <c r="A220" s="264"/>
      <c r="B220" s="264"/>
      <c r="C220" s="264"/>
      <c r="D220" s="264"/>
      <c r="E220" s="264"/>
      <c r="F220" s="264"/>
      <c r="G220" s="264"/>
      <c r="H220" s="264"/>
      <c r="I220" s="264"/>
      <c r="J220" s="264"/>
      <c r="K220" s="264"/>
      <c r="L220" s="264"/>
      <c r="M220" s="264"/>
      <c r="N220" s="264"/>
      <c r="O220" s="264"/>
      <c r="P220" s="264"/>
      <c r="Q220" s="264"/>
      <c r="R220" s="264"/>
      <c r="S220" s="264"/>
      <c r="T220" s="264"/>
      <c r="U220" s="264"/>
    </row>
    <row r="221">
      <c r="A221" s="264"/>
      <c r="B221" s="264"/>
      <c r="C221" s="264"/>
      <c r="D221" s="264"/>
      <c r="E221" s="264"/>
      <c r="F221" s="264"/>
      <c r="G221" s="264"/>
      <c r="H221" s="264"/>
      <c r="I221" s="264"/>
      <c r="J221" s="264"/>
      <c r="K221" s="264"/>
      <c r="L221" s="264"/>
      <c r="M221" s="264"/>
      <c r="N221" s="264"/>
      <c r="O221" s="264"/>
      <c r="P221" s="264"/>
      <c r="Q221" s="264"/>
      <c r="R221" s="264"/>
      <c r="S221" s="264"/>
      <c r="T221" s="264"/>
      <c r="U221" s="264"/>
    </row>
    <row r="222">
      <c r="A222" s="264"/>
      <c r="B222" s="264"/>
      <c r="C222" s="264"/>
      <c r="D222" s="264"/>
      <c r="E222" s="264"/>
      <c r="F222" s="264"/>
      <c r="G222" s="264"/>
      <c r="H222" s="264"/>
      <c r="I222" s="264"/>
      <c r="J222" s="264"/>
      <c r="K222" s="264"/>
      <c r="L222" s="264"/>
      <c r="M222" s="264"/>
      <c r="N222" s="264"/>
      <c r="O222" s="264"/>
      <c r="P222" s="264"/>
      <c r="Q222" s="264"/>
      <c r="R222" s="264"/>
      <c r="S222" s="264"/>
      <c r="T222" s="264"/>
      <c r="U222" s="264"/>
    </row>
    <row r="223">
      <c r="A223" s="264"/>
      <c r="B223" s="264"/>
      <c r="C223" s="264"/>
      <c r="D223" s="264"/>
      <c r="E223" s="264"/>
      <c r="F223" s="264"/>
      <c r="G223" s="264"/>
      <c r="H223" s="264"/>
      <c r="I223" s="264"/>
      <c r="J223" s="264"/>
      <c r="K223" s="264"/>
      <c r="L223" s="264"/>
      <c r="M223" s="264"/>
      <c r="N223" s="264"/>
      <c r="O223" s="264"/>
      <c r="P223" s="264"/>
      <c r="Q223" s="264"/>
      <c r="R223" s="264"/>
      <c r="S223" s="264"/>
      <c r="T223" s="264"/>
      <c r="U223" s="264"/>
    </row>
    <row r="224">
      <c r="A224" s="264"/>
      <c r="B224" s="264"/>
      <c r="C224" s="264"/>
      <c r="D224" s="264"/>
      <c r="E224" s="264"/>
      <c r="F224" s="264"/>
      <c r="G224" s="264"/>
      <c r="H224" s="264"/>
      <c r="I224" s="264"/>
      <c r="J224" s="264"/>
      <c r="K224" s="264"/>
      <c r="L224" s="264"/>
      <c r="M224" s="264"/>
      <c r="N224" s="264"/>
      <c r="O224" s="264"/>
      <c r="P224" s="264"/>
      <c r="Q224" s="264"/>
      <c r="R224" s="264"/>
      <c r="S224" s="264"/>
      <c r="T224" s="264"/>
      <c r="U224" s="264"/>
    </row>
    <row r="225">
      <c r="A225" s="264"/>
      <c r="B225" s="264"/>
      <c r="C225" s="264"/>
      <c r="D225" s="264"/>
      <c r="E225" s="264"/>
      <c r="F225" s="264"/>
      <c r="G225" s="264"/>
      <c r="H225" s="264"/>
      <c r="I225" s="264"/>
      <c r="J225" s="264"/>
      <c r="K225" s="264"/>
      <c r="L225" s="264"/>
      <c r="M225" s="264"/>
      <c r="N225" s="264"/>
      <c r="O225" s="264"/>
      <c r="P225" s="264"/>
      <c r="Q225" s="264"/>
      <c r="R225" s="264"/>
      <c r="S225" s="264"/>
      <c r="T225" s="264"/>
      <c r="U225" s="264"/>
    </row>
    <row r="226">
      <c r="A226" s="264"/>
      <c r="B226" s="264"/>
      <c r="C226" s="264"/>
      <c r="D226" s="264"/>
      <c r="E226" s="264"/>
      <c r="F226" s="264"/>
      <c r="G226" s="264"/>
      <c r="H226" s="264"/>
      <c r="I226" s="264"/>
      <c r="J226" s="264"/>
      <c r="K226" s="264"/>
      <c r="L226" s="264"/>
      <c r="M226" s="264"/>
      <c r="N226" s="264"/>
      <c r="O226" s="264"/>
      <c r="P226" s="264"/>
      <c r="Q226" s="264"/>
      <c r="R226" s="264"/>
      <c r="S226" s="264"/>
      <c r="T226" s="264"/>
      <c r="U226" s="264"/>
    </row>
    <row r="227">
      <c r="A227" s="264"/>
      <c r="B227" s="264"/>
      <c r="C227" s="264"/>
      <c r="D227" s="264"/>
      <c r="E227" s="264"/>
      <c r="F227" s="264"/>
      <c r="G227" s="264"/>
      <c r="H227" s="264"/>
      <c r="I227" s="264"/>
      <c r="J227" s="264"/>
      <c r="K227" s="264"/>
      <c r="L227" s="264"/>
      <c r="M227" s="264"/>
      <c r="N227" s="264"/>
      <c r="O227" s="264"/>
      <c r="P227" s="264"/>
      <c r="Q227" s="264"/>
      <c r="R227" s="264"/>
      <c r="S227" s="264"/>
      <c r="T227" s="264"/>
      <c r="U227" s="264"/>
    </row>
    <row r="228">
      <c r="A228" s="264"/>
      <c r="B228" s="264"/>
      <c r="C228" s="264"/>
      <c r="D228" s="264"/>
      <c r="E228" s="264"/>
      <c r="F228" s="264"/>
      <c r="G228" s="264"/>
      <c r="H228" s="264"/>
      <c r="I228" s="264"/>
      <c r="J228" s="264"/>
      <c r="K228" s="264"/>
      <c r="L228" s="264"/>
      <c r="M228" s="264"/>
      <c r="N228" s="264"/>
      <c r="O228" s="264"/>
      <c r="P228" s="264"/>
      <c r="Q228" s="264"/>
      <c r="R228" s="264"/>
      <c r="S228" s="264"/>
      <c r="T228" s="264"/>
      <c r="U228" s="264"/>
    </row>
    <row r="229">
      <c r="A229" s="264"/>
      <c r="B229" s="264"/>
      <c r="C229" s="264"/>
      <c r="D229" s="264"/>
      <c r="E229" s="264"/>
      <c r="F229" s="264"/>
      <c r="G229" s="264"/>
      <c r="H229" s="264"/>
      <c r="I229" s="264"/>
      <c r="J229" s="264"/>
      <c r="K229" s="264"/>
      <c r="L229" s="264"/>
      <c r="M229" s="264"/>
      <c r="N229" s="264"/>
      <c r="O229" s="264"/>
      <c r="P229" s="264"/>
      <c r="Q229" s="264"/>
      <c r="R229" s="264"/>
      <c r="S229" s="264"/>
      <c r="T229" s="264"/>
      <c r="U229" s="264"/>
    </row>
    <row r="230">
      <c r="A230" s="264"/>
      <c r="B230" s="264"/>
      <c r="C230" s="264"/>
      <c r="D230" s="264"/>
      <c r="E230" s="264"/>
      <c r="F230" s="264"/>
      <c r="G230" s="264"/>
      <c r="H230" s="264"/>
      <c r="I230" s="264"/>
      <c r="J230" s="264"/>
      <c r="K230" s="264"/>
      <c r="L230" s="264"/>
      <c r="M230" s="264"/>
      <c r="N230" s="264"/>
      <c r="O230" s="264"/>
      <c r="P230" s="264"/>
      <c r="Q230" s="264"/>
      <c r="R230" s="264"/>
      <c r="S230" s="264"/>
      <c r="T230" s="264"/>
      <c r="U230" s="264"/>
    </row>
    <row r="231">
      <c r="A231" s="264"/>
      <c r="B231" s="264"/>
      <c r="C231" s="264"/>
      <c r="D231" s="264"/>
      <c r="E231" s="264"/>
      <c r="F231" s="264"/>
      <c r="G231" s="264"/>
      <c r="H231" s="264"/>
      <c r="I231" s="264"/>
      <c r="J231" s="264"/>
      <c r="K231" s="264"/>
      <c r="L231" s="264"/>
      <c r="M231" s="264"/>
      <c r="N231" s="264"/>
      <c r="O231" s="264"/>
      <c r="P231" s="264"/>
      <c r="Q231" s="264"/>
      <c r="R231" s="264"/>
      <c r="S231" s="264"/>
      <c r="T231" s="264"/>
      <c r="U231" s="264"/>
    </row>
    <row r="232">
      <c r="A232" s="264"/>
      <c r="B232" s="264"/>
      <c r="C232" s="264"/>
      <c r="D232" s="264"/>
      <c r="E232" s="264"/>
      <c r="F232" s="264"/>
      <c r="G232" s="264"/>
      <c r="H232" s="264"/>
      <c r="I232" s="264"/>
      <c r="J232" s="264"/>
      <c r="K232" s="264"/>
      <c r="L232" s="264"/>
      <c r="M232" s="264"/>
      <c r="N232" s="264"/>
      <c r="O232" s="264"/>
      <c r="P232" s="264"/>
      <c r="Q232" s="264"/>
      <c r="R232" s="264"/>
      <c r="S232" s="264"/>
      <c r="T232" s="264"/>
      <c r="U232" s="264"/>
    </row>
    <row r="233">
      <c r="A233" s="264"/>
      <c r="B233" s="264"/>
      <c r="C233" s="264"/>
      <c r="D233" s="264"/>
      <c r="E233" s="264"/>
      <c r="F233" s="264"/>
      <c r="G233" s="264"/>
      <c r="H233" s="264"/>
      <c r="I233" s="264"/>
      <c r="J233" s="264"/>
      <c r="K233" s="264"/>
      <c r="L233" s="264"/>
      <c r="M233" s="264"/>
      <c r="N233" s="264"/>
      <c r="O233" s="264"/>
      <c r="P233" s="264"/>
      <c r="Q233" s="264"/>
      <c r="R233" s="264"/>
      <c r="S233" s="264"/>
      <c r="T233" s="264"/>
      <c r="U233" s="264"/>
    </row>
    <row r="234">
      <c r="A234" s="264"/>
      <c r="B234" s="264"/>
      <c r="C234" s="264"/>
      <c r="D234" s="264"/>
      <c r="E234" s="264"/>
      <c r="F234" s="264"/>
      <c r="G234" s="264"/>
      <c r="H234" s="264"/>
      <c r="I234" s="264"/>
      <c r="J234" s="264"/>
      <c r="K234" s="264"/>
      <c r="L234" s="264"/>
      <c r="M234" s="264"/>
      <c r="N234" s="264"/>
      <c r="O234" s="264"/>
      <c r="P234" s="264"/>
      <c r="Q234" s="264"/>
      <c r="R234" s="264"/>
      <c r="S234" s="264"/>
      <c r="T234" s="264"/>
      <c r="U234" s="264"/>
    </row>
    <row r="235">
      <c r="A235" s="264"/>
      <c r="B235" s="264"/>
      <c r="C235" s="264"/>
      <c r="D235" s="264"/>
      <c r="E235" s="264"/>
      <c r="F235" s="264"/>
      <c r="G235" s="264"/>
      <c r="H235" s="264"/>
      <c r="I235" s="264"/>
      <c r="J235" s="264"/>
      <c r="K235" s="264"/>
      <c r="L235" s="264"/>
      <c r="M235" s="264"/>
      <c r="N235" s="264"/>
      <c r="O235" s="264"/>
      <c r="P235" s="264"/>
      <c r="Q235" s="264"/>
      <c r="R235" s="264"/>
      <c r="S235" s="264"/>
      <c r="T235" s="264"/>
      <c r="U235" s="264"/>
    </row>
    <row r="236">
      <c r="A236" s="264"/>
      <c r="B236" s="264"/>
      <c r="C236" s="264"/>
      <c r="D236" s="264"/>
      <c r="E236" s="264"/>
      <c r="F236" s="264"/>
      <c r="G236" s="264"/>
      <c r="H236" s="264"/>
      <c r="I236" s="264"/>
      <c r="J236" s="264"/>
      <c r="K236" s="264"/>
      <c r="L236" s="264"/>
      <c r="M236" s="264"/>
      <c r="N236" s="264"/>
      <c r="O236" s="264"/>
      <c r="P236" s="264"/>
      <c r="Q236" s="264"/>
      <c r="R236" s="264"/>
      <c r="S236" s="264"/>
      <c r="T236" s="264"/>
      <c r="U236" s="264"/>
    </row>
    <row r="237">
      <c r="A237" s="264"/>
      <c r="B237" s="264"/>
      <c r="C237" s="264"/>
      <c r="D237" s="264"/>
      <c r="E237" s="264"/>
      <c r="F237" s="264"/>
      <c r="G237" s="264"/>
      <c r="H237" s="264"/>
      <c r="I237" s="264"/>
      <c r="J237" s="264"/>
      <c r="K237" s="264"/>
      <c r="L237" s="264"/>
      <c r="M237" s="264"/>
      <c r="N237" s="264"/>
      <c r="O237" s="264"/>
      <c r="P237" s="264"/>
      <c r="Q237" s="264"/>
      <c r="R237" s="264"/>
      <c r="S237" s="264"/>
      <c r="T237" s="264"/>
      <c r="U237" s="264"/>
    </row>
    <row r="238">
      <c r="A238" s="264"/>
      <c r="B238" s="264"/>
      <c r="C238" s="264"/>
      <c r="D238" s="264"/>
      <c r="E238" s="264"/>
      <c r="F238" s="264"/>
      <c r="G238" s="264"/>
      <c r="H238" s="264"/>
      <c r="I238" s="264"/>
      <c r="J238" s="264"/>
      <c r="K238" s="264"/>
      <c r="L238" s="264"/>
      <c r="M238" s="264"/>
      <c r="N238" s="264"/>
      <c r="O238" s="264"/>
      <c r="P238" s="264"/>
      <c r="Q238" s="264"/>
      <c r="R238" s="264"/>
      <c r="S238" s="264"/>
      <c r="T238" s="264"/>
      <c r="U238" s="264"/>
    </row>
    <row r="239">
      <c r="A239" s="264"/>
      <c r="B239" s="264"/>
      <c r="C239" s="264"/>
      <c r="D239" s="264"/>
      <c r="E239" s="264"/>
      <c r="F239" s="264"/>
      <c r="G239" s="264"/>
      <c r="H239" s="264"/>
      <c r="I239" s="264"/>
      <c r="J239" s="264"/>
      <c r="K239" s="264"/>
      <c r="L239" s="264"/>
      <c r="M239" s="264"/>
      <c r="N239" s="264"/>
      <c r="O239" s="264"/>
      <c r="P239" s="264"/>
      <c r="Q239" s="264"/>
      <c r="R239" s="264"/>
      <c r="S239" s="264"/>
      <c r="T239" s="264"/>
      <c r="U239" s="264"/>
    </row>
    <row r="240">
      <c r="A240" s="264"/>
      <c r="B240" s="264"/>
      <c r="C240" s="264"/>
      <c r="D240" s="264"/>
      <c r="E240" s="264"/>
      <c r="F240" s="264"/>
      <c r="G240" s="264"/>
      <c r="H240" s="264"/>
      <c r="I240" s="264"/>
      <c r="J240" s="264"/>
      <c r="K240" s="264"/>
      <c r="L240" s="264"/>
      <c r="M240" s="264"/>
      <c r="N240" s="264"/>
      <c r="O240" s="264"/>
      <c r="P240" s="264"/>
      <c r="Q240" s="264"/>
      <c r="R240" s="264"/>
      <c r="S240" s="264"/>
      <c r="T240" s="264"/>
      <c r="U240" s="264"/>
    </row>
    <row r="241">
      <c r="A241" s="264"/>
      <c r="B241" s="264"/>
      <c r="C241" s="264"/>
      <c r="D241" s="264"/>
      <c r="E241" s="264"/>
      <c r="F241" s="264"/>
      <c r="G241" s="264"/>
      <c r="H241" s="264"/>
      <c r="I241" s="264"/>
      <c r="J241" s="264"/>
      <c r="K241" s="264"/>
      <c r="L241" s="264"/>
      <c r="M241" s="264"/>
      <c r="N241" s="264"/>
      <c r="O241" s="264"/>
      <c r="P241" s="264"/>
      <c r="Q241" s="264"/>
      <c r="R241" s="264"/>
      <c r="S241" s="264"/>
      <c r="T241" s="264"/>
      <c r="U241" s="264"/>
    </row>
    <row r="242">
      <c r="A242" s="264"/>
      <c r="B242" s="264"/>
      <c r="C242" s="264"/>
      <c r="D242" s="264"/>
      <c r="E242" s="264"/>
      <c r="F242" s="264"/>
      <c r="G242" s="264"/>
      <c r="H242" s="264"/>
      <c r="I242" s="264"/>
      <c r="J242" s="264"/>
      <c r="K242" s="264"/>
      <c r="L242" s="264"/>
      <c r="M242" s="264"/>
      <c r="N242" s="264"/>
      <c r="O242" s="264"/>
      <c r="P242" s="264"/>
      <c r="Q242" s="264"/>
      <c r="R242" s="264"/>
      <c r="S242" s="264"/>
      <c r="T242" s="264"/>
      <c r="U242" s="264"/>
    </row>
    <row r="243">
      <c r="A243" s="264"/>
      <c r="B243" s="264"/>
      <c r="C243" s="264"/>
      <c r="D243" s="264"/>
      <c r="E243" s="264"/>
      <c r="F243" s="264"/>
      <c r="G243" s="264"/>
      <c r="H243" s="264"/>
      <c r="I243" s="264"/>
      <c r="J243" s="264"/>
      <c r="K243" s="264"/>
      <c r="L243" s="264"/>
      <c r="M243" s="264"/>
      <c r="N243" s="264"/>
      <c r="O243" s="264"/>
      <c r="P243" s="264"/>
      <c r="Q243" s="264"/>
      <c r="R243" s="264"/>
      <c r="S243" s="264"/>
      <c r="T243" s="264"/>
      <c r="U243" s="264"/>
    </row>
    <row r="244">
      <c r="A244" s="264"/>
      <c r="B244" s="264"/>
      <c r="C244" s="264"/>
      <c r="D244" s="264"/>
      <c r="E244" s="264"/>
      <c r="F244" s="264"/>
      <c r="G244" s="264"/>
      <c r="H244" s="264"/>
      <c r="I244" s="264"/>
      <c r="J244" s="264"/>
      <c r="K244" s="264"/>
      <c r="L244" s="264"/>
      <c r="M244" s="264"/>
      <c r="N244" s="264"/>
      <c r="O244" s="264"/>
      <c r="P244" s="264"/>
      <c r="Q244" s="264"/>
      <c r="R244" s="264"/>
      <c r="S244" s="264"/>
      <c r="T244" s="264"/>
      <c r="U244" s="264"/>
    </row>
    <row r="245">
      <c r="A245" s="264"/>
      <c r="B245" s="264"/>
      <c r="C245" s="264"/>
      <c r="D245" s="264"/>
      <c r="E245" s="264"/>
      <c r="F245" s="264"/>
      <c r="G245" s="264"/>
      <c r="H245" s="264"/>
      <c r="I245" s="264"/>
      <c r="J245" s="264"/>
      <c r="K245" s="264"/>
      <c r="L245" s="264"/>
      <c r="M245" s="264"/>
      <c r="N245" s="264"/>
      <c r="O245" s="264"/>
      <c r="P245" s="264"/>
      <c r="Q245" s="264"/>
      <c r="R245" s="264"/>
      <c r="S245" s="264"/>
      <c r="T245" s="264"/>
      <c r="U245" s="264"/>
    </row>
    <row r="246">
      <c r="A246" s="264"/>
      <c r="B246" s="264"/>
      <c r="C246" s="264"/>
      <c r="D246" s="264"/>
      <c r="E246" s="264"/>
      <c r="F246" s="264"/>
      <c r="G246" s="264"/>
      <c r="H246" s="264"/>
      <c r="I246" s="264"/>
      <c r="J246" s="264"/>
      <c r="K246" s="264"/>
      <c r="L246" s="264"/>
      <c r="M246" s="264"/>
      <c r="N246" s="264"/>
      <c r="O246" s="264"/>
      <c r="P246" s="264"/>
      <c r="Q246" s="264"/>
      <c r="R246" s="264"/>
      <c r="S246" s="264"/>
      <c r="T246" s="264"/>
      <c r="U246" s="264"/>
    </row>
    <row r="247">
      <c r="A247" s="264"/>
      <c r="B247" s="264"/>
      <c r="C247" s="264"/>
      <c r="D247" s="264"/>
      <c r="E247" s="264"/>
      <c r="F247" s="264"/>
      <c r="G247" s="264"/>
      <c r="H247" s="264"/>
      <c r="I247" s="264"/>
      <c r="J247" s="264"/>
      <c r="K247" s="264"/>
      <c r="L247" s="264"/>
      <c r="M247" s="264"/>
      <c r="N247" s="264"/>
      <c r="O247" s="264"/>
      <c r="P247" s="264"/>
      <c r="Q247" s="264"/>
      <c r="R247" s="264"/>
      <c r="S247" s="264"/>
      <c r="T247" s="264"/>
      <c r="U247" s="264"/>
    </row>
    <row r="248">
      <c r="A248" s="264"/>
      <c r="B248" s="264"/>
      <c r="C248" s="264"/>
      <c r="D248" s="264"/>
      <c r="E248" s="264"/>
      <c r="F248" s="264"/>
      <c r="G248" s="264"/>
      <c r="H248" s="264"/>
      <c r="I248" s="264"/>
      <c r="J248" s="264"/>
      <c r="K248" s="264"/>
      <c r="L248" s="264"/>
      <c r="M248" s="264"/>
      <c r="N248" s="264"/>
      <c r="O248" s="264"/>
      <c r="P248" s="264"/>
      <c r="Q248" s="264"/>
      <c r="R248" s="264"/>
      <c r="S248" s="264"/>
      <c r="T248" s="264"/>
      <c r="U248" s="264"/>
    </row>
    <row r="249">
      <c r="A249" s="264"/>
      <c r="B249" s="264"/>
      <c r="C249" s="264"/>
      <c r="D249" s="264"/>
      <c r="E249" s="264"/>
      <c r="F249" s="264"/>
      <c r="G249" s="264"/>
      <c r="H249" s="264"/>
      <c r="I249" s="264"/>
      <c r="J249" s="264"/>
      <c r="K249" s="264"/>
      <c r="L249" s="264"/>
      <c r="M249" s="264"/>
      <c r="N249" s="264"/>
      <c r="O249" s="264"/>
      <c r="P249" s="264"/>
      <c r="Q249" s="264"/>
      <c r="R249" s="264"/>
      <c r="S249" s="264"/>
      <c r="T249" s="264"/>
      <c r="U249" s="264"/>
    </row>
    <row r="250">
      <c r="A250" s="264"/>
      <c r="B250" s="264"/>
      <c r="C250" s="264"/>
      <c r="D250" s="264"/>
      <c r="E250" s="264"/>
      <c r="F250" s="264"/>
      <c r="G250" s="264"/>
      <c r="H250" s="264"/>
      <c r="I250" s="264"/>
      <c r="J250" s="264"/>
      <c r="K250" s="264"/>
      <c r="L250" s="264"/>
      <c r="M250" s="264"/>
      <c r="N250" s="264"/>
      <c r="O250" s="264"/>
      <c r="P250" s="264"/>
      <c r="Q250" s="264"/>
      <c r="R250" s="264"/>
      <c r="S250" s="264"/>
      <c r="T250" s="264"/>
      <c r="U250" s="264"/>
    </row>
    <row r="251">
      <c r="A251" s="264"/>
      <c r="B251" s="264"/>
      <c r="C251" s="264"/>
      <c r="D251" s="264"/>
      <c r="E251" s="264"/>
      <c r="F251" s="264"/>
      <c r="G251" s="264"/>
      <c r="H251" s="264"/>
      <c r="I251" s="264"/>
      <c r="J251" s="264"/>
      <c r="K251" s="264"/>
      <c r="L251" s="264"/>
      <c r="M251" s="264"/>
      <c r="N251" s="264"/>
      <c r="O251" s="264"/>
      <c r="P251" s="264"/>
      <c r="Q251" s="264"/>
      <c r="R251" s="264"/>
      <c r="S251" s="264"/>
      <c r="T251" s="264"/>
      <c r="U251" s="264"/>
    </row>
    <row r="252">
      <c r="A252" s="264"/>
      <c r="B252" s="264"/>
      <c r="C252" s="264"/>
      <c r="D252" s="264"/>
      <c r="E252" s="264"/>
      <c r="F252" s="264"/>
      <c r="G252" s="264"/>
      <c r="H252" s="264"/>
      <c r="I252" s="264"/>
      <c r="J252" s="264"/>
      <c r="K252" s="264"/>
      <c r="L252" s="264"/>
      <c r="M252" s="264"/>
      <c r="N252" s="264"/>
      <c r="O252" s="264"/>
      <c r="P252" s="264"/>
      <c r="Q252" s="264"/>
      <c r="R252" s="264"/>
      <c r="S252" s="264"/>
      <c r="T252" s="264"/>
      <c r="U252" s="264"/>
    </row>
    <row r="253">
      <c r="A253" s="264"/>
      <c r="B253" s="264"/>
      <c r="C253" s="264"/>
      <c r="D253" s="264"/>
      <c r="E253" s="264"/>
      <c r="F253" s="264"/>
      <c r="G253" s="264"/>
      <c r="H253" s="264"/>
      <c r="I253" s="264"/>
      <c r="J253" s="264"/>
      <c r="K253" s="264"/>
      <c r="L253" s="264"/>
      <c r="M253" s="264"/>
      <c r="N253" s="264"/>
      <c r="O253" s="264"/>
      <c r="P253" s="264"/>
      <c r="Q253" s="264"/>
      <c r="R253" s="264"/>
      <c r="S253" s="264"/>
      <c r="T253" s="264"/>
      <c r="U253" s="264"/>
    </row>
    <row r="254">
      <c r="A254" s="264"/>
      <c r="B254" s="264"/>
      <c r="C254" s="264"/>
      <c r="D254" s="264"/>
      <c r="E254" s="264"/>
      <c r="F254" s="264"/>
      <c r="G254" s="264"/>
      <c r="H254" s="264"/>
      <c r="I254" s="264"/>
      <c r="J254" s="264"/>
      <c r="K254" s="264"/>
      <c r="L254" s="264"/>
      <c r="M254" s="264"/>
      <c r="N254" s="264"/>
      <c r="O254" s="264"/>
      <c r="P254" s="264"/>
      <c r="Q254" s="264"/>
      <c r="R254" s="264"/>
      <c r="S254" s="264"/>
      <c r="T254" s="264"/>
      <c r="U254" s="264"/>
    </row>
    <row r="255">
      <c r="A255" s="264"/>
      <c r="B255" s="264"/>
      <c r="C255" s="264"/>
      <c r="D255" s="264"/>
      <c r="E255" s="264"/>
      <c r="F255" s="264"/>
      <c r="G255" s="264"/>
      <c r="H255" s="264"/>
      <c r="I255" s="264"/>
      <c r="J255" s="264"/>
      <c r="K255" s="264"/>
      <c r="L255" s="264"/>
      <c r="M255" s="264"/>
      <c r="N255" s="264"/>
      <c r="O255" s="264"/>
      <c r="P255" s="264"/>
      <c r="Q255" s="264"/>
      <c r="R255" s="264"/>
      <c r="S255" s="264"/>
      <c r="T255" s="264"/>
      <c r="U255" s="264"/>
    </row>
    <row r="256">
      <c r="A256" s="264"/>
      <c r="B256" s="264"/>
      <c r="C256" s="264"/>
      <c r="D256" s="264"/>
      <c r="E256" s="264"/>
      <c r="F256" s="264"/>
      <c r="G256" s="264"/>
      <c r="H256" s="264"/>
      <c r="I256" s="264"/>
      <c r="J256" s="264"/>
      <c r="K256" s="264"/>
      <c r="L256" s="264"/>
      <c r="M256" s="264"/>
      <c r="N256" s="264"/>
      <c r="O256" s="264"/>
      <c r="P256" s="264"/>
      <c r="Q256" s="264"/>
      <c r="R256" s="264"/>
      <c r="S256" s="264"/>
      <c r="T256" s="264"/>
      <c r="U256" s="264"/>
    </row>
    <row r="257">
      <c r="A257" s="264"/>
      <c r="B257" s="264"/>
      <c r="C257" s="264"/>
      <c r="D257" s="264"/>
      <c r="E257" s="264"/>
      <c r="F257" s="264"/>
      <c r="G257" s="264"/>
      <c r="H257" s="264"/>
      <c r="I257" s="264"/>
      <c r="J257" s="264"/>
      <c r="K257" s="264"/>
      <c r="L257" s="264"/>
      <c r="M257" s="264"/>
      <c r="N257" s="264"/>
      <c r="O257" s="264"/>
      <c r="P257" s="264"/>
      <c r="Q257" s="264"/>
      <c r="R257" s="264"/>
      <c r="S257" s="264"/>
      <c r="T257" s="264"/>
      <c r="U257" s="264"/>
    </row>
    <row r="258">
      <c r="A258" s="264"/>
      <c r="B258" s="264"/>
      <c r="C258" s="264"/>
      <c r="D258" s="264"/>
      <c r="E258" s="264"/>
      <c r="F258" s="264"/>
      <c r="G258" s="264"/>
      <c r="H258" s="264"/>
      <c r="I258" s="264"/>
      <c r="J258" s="264"/>
      <c r="K258" s="264"/>
      <c r="L258" s="264"/>
      <c r="M258" s="264"/>
      <c r="N258" s="264"/>
      <c r="O258" s="264"/>
      <c r="P258" s="264"/>
      <c r="Q258" s="264"/>
      <c r="R258" s="264"/>
      <c r="S258" s="264"/>
      <c r="T258" s="264"/>
      <c r="U258" s="264"/>
    </row>
    <row r="259">
      <c r="A259" s="264"/>
      <c r="B259" s="264"/>
      <c r="C259" s="264"/>
      <c r="D259" s="264"/>
      <c r="E259" s="264"/>
      <c r="F259" s="264"/>
      <c r="G259" s="264"/>
      <c r="H259" s="264"/>
      <c r="I259" s="264"/>
      <c r="J259" s="264"/>
      <c r="K259" s="264"/>
      <c r="L259" s="264"/>
      <c r="M259" s="264"/>
      <c r="N259" s="264"/>
      <c r="O259" s="264"/>
      <c r="P259" s="264"/>
      <c r="Q259" s="264"/>
      <c r="R259" s="264"/>
      <c r="S259" s="264"/>
      <c r="T259" s="264"/>
      <c r="U259" s="264"/>
    </row>
    <row r="260">
      <c r="A260" s="264"/>
      <c r="B260" s="264"/>
      <c r="C260" s="264"/>
      <c r="D260" s="264"/>
      <c r="E260" s="264"/>
      <c r="F260" s="264"/>
      <c r="G260" s="264"/>
      <c r="H260" s="264"/>
      <c r="I260" s="264"/>
      <c r="J260" s="264"/>
      <c r="K260" s="264"/>
      <c r="L260" s="264"/>
      <c r="M260" s="264"/>
      <c r="N260" s="264"/>
      <c r="O260" s="264"/>
      <c r="P260" s="264"/>
      <c r="Q260" s="264"/>
      <c r="R260" s="264"/>
      <c r="S260" s="264"/>
      <c r="T260" s="264"/>
      <c r="U260" s="264"/>
    </row>
    <row r="261">
      <c r="A261" s="264"/>
      <c r="B261" s="264"/>
      <c r="C261" s="264"/>
      <c r="D261" s="264"/>
      <c r="E261" s="264"/>
      <c r="F261" s="264"/>
      <c r="G261" s="264"/>
      <c r="H261" s="264"/>
      <c r="I261" s="264"/>
      <c r="J261" s="264"/>
      <c r="K261" s="264"/>
      <c r="L261" s="264"/>
      <c r="M261" s="264"/>
      <c r="N261" s="264"/>
      <c r="O261" s="264"/>
      <c r="P261" s="264"/>
      <c r="Q261" s="264"/>
      <c r="R261" s="264"/>
      <c r="S261" s="264"/>
      <c r="T261" s="264"/>
      <c r="U261" s="264"/>
    </row>
    <row r="262">
      <c r="A262" s="264"/>
      <c r="B262" s="264"/>
      <c r="C262" s="264"/>
      <c r="D262" s="264"/>
      <c r="E262" s="264"/>
      <c r="F262" s="264"/>
      <c r="G262" s="264"/>
      <c r="H262" s="264"/>
      <c r="I262" s="264"/>
      <c r="J262" s="264"/>
      <c r="K262" s="264"/>
      <c r="L262" s="264"/>
      <c r="M262" s="264"/>
      <c r="N262" s="264"/>
      <c r="O262" s="264"/>
      <c r="P262" s="264"/>
      <c r="Q262" s="264"/>
      <c r="R262" s="264"/>
      <c r="S262" s="264"/>
      <c r="T262" s="264"/>
      <c r="U262" s="264"/>
    </row>
    <row r="263">
      <c r="A263" s="264"/>
      <c r="B263" s="264"/>
      <c r="C263" s="264"/>
      <c r="D263" s="264"/>
      <c r="E263" s="264"/>
      <c r="F263" s="264"/>
      <c r="G263" s="264"/>
      <c r="H263" s="264"/>
      <c r="I263" s="264"/>
      <c r="J263" s="264"/>
      <c r="K263" s="264"/>
      <c r="L263" s="264"/>
      <c r="M263" s="264"/>
      <c r="N263" s="264"/>
      <c r="O263" s="264"/>
      <c r="P263" s="264"/>
      <c r="Q263" s="264"/>
      <c r="R263" s="264"/>
      <c r="S263" s="264"/>
      <c r="T263" s="264"/>
      <c r="U263" s="264"/>
    </row>
    <row r="264">
      <c r="A264" s="264"/>
      <c r="B264" s="264"/>
      <c r="C264" s="264"/>
      <c r="D264" s="264"/>
      <c r="E264" s="264"/>
      <c r="F264" s="264"/>
      <c r="G264" s="264"/>
      <c r="H264" s="264"/>
      <c r="I264" s="264"/>
      <c r="J264" s="264"/>
      <c r="K264" s="264"/>
      <c r="L264" s="264"/>
      <c r="M264" s="264"/>
      <c r="N264" s="264"/>
      <c r="O264" s="264"/>
      <c r="P264" s="264"/>
      <c r="Q264" s="264"/>
      <c r="R264" s="264"/>
      <c r="S264" s="264"/>
      <c r="T264" s="264"/>
      <c r="U264" s="264"/>
    </row>
    <row r="265">
      <c r="A265" s="264"/>
      <c r="B265" s="264"/>
      <c r="C265" s="264"/>
      <c r="D265" s="264"/>
      <c r="E265" s="264"/>
      <c r="F265" s="264"/>
      <c r="G265" s="264"/>
      <c r="H265" s="264"/>
      <c r="I265" s="264"/>
      <c r="J265" s="264"/>
      <c r="K265" s="264"/>
      <c r="L265" s="264"/>
      <c r="M265" s="264"/>
      <c r="N265" s="264"/>
      <c r="O265" s="264"/>
      <c r="P265" s="264"/>
      <c r="Q265" s="264"/>
      <c r="R265" s="264"/>
      <c r="S265" s="264"/>
      <c r="T265" s="264"/>
      <c r="U265" s="264"/>
    </row>
    <row r="266">
      <c r="A266" s="264"/>
      <c r="B266" s="264"/>
      <c r="C266" s="264"/>
      <c r="D266" s="264"/>
      <c r="E266" s="264"/>
      <c r="F266" s="264"/>
      <c r="G266" s="264"/>
      <c r="H266" s="264"/>
      <c r="I266" s="264"/>
      <c r="J266" s="264"/>
      <c r="K266" s="264"/>
      <c r="L266" s="264"/>
      <c r="M266" s="264"/>
      <c r="N266" s="264"/>
      <c r="O266" s="264"/>
      <c r="P266" s="264"/>
      <c r="Q266" s="264"/>
      <c r="R266" s="264"/>
      <c r="S266" s="264"/>
      <c r="T266" s="264"/>
      <c r="U266" s="264"/>
    </row>
    <row r="267">
      <c r="A267" s="264"/>
      <c r="B267" s="264"/>
      <c r="C267" s="264"/>
      <c r="D267" s="264"/>
      <c r="E267" s="264"/>
      <c r="F267" s="264"/>
      <c r="G267" s="264"/>
      <c r="H267" s="264"/>
      <c r="I267" s="264"/>
      <c r="J267" s="264"/>
      <c r="K267" s="264"/>
      <c r="L267" s="264"/>
      <c r="M267" s="264"/>
      <c r="N267" s="264"/>
      <c r="O267" s="264"/>
      <c r="P267" s="264"/>
      <c r="Q267" s="264"/>
      <c r="R267" s="264"/>
      <c r="S267" s="264"/>
      <c r="T267" s="264"/>
      <c r="U267" s="264"/>
    </row>
    <row r="268">
      <c r="A268" s="264"/>
      <c r="B268" s="264"/>
      <c r="C268" s="264"/>
      <c r="D268" s="264"/>
      <c r="E268" s="264"/>
      <c r="F268" s="264"/>
      <c r="G268" s="264"/>
      <c r="H268" s="264"/>
      <c r="I268" s="264"/>
      <c r="J268" s="264"/>
      <c r="K268" s="264"/>
      <c r="L268" s="264"/>
      <c r="M268" s="264"/>
      <c r="N268" s="264"/>
      <c r="O268" s="264"/>
      <c r="P268" s="264"/>
      <c r="Q268" s="264"/>
      <c r="R268" s="264"/>
      <c r="S268" s="264"/>
      <c r="T268" s="264"/>
      <c r="U268" s="264"/>
    </row>
    <row r="269">
      <c r="A269" s="264"/>
      <c r="B269" s="264"/>
      <c r="C269" s="264"/>
      <c r="D269" s="264"/>
      <c r="E269" s="264"/>
      <c r="F269" s="264"/>
      <c r="G269" s="264"/>
      <c r="H269" s="264"/>
      <c r="I269" s="264"/>
      <c r="J269" s="264"/>
      <c r="K269" s="264"/>
      <c r="L269" s="264"/>
      <c r="M269" s="264"/>
      <c r="N269" s="264"/>
      <c r="O269" s="264"/>
      <c r="P269" s="264"/>
      <c r="Q269" s="264"/>
      <c r="R269" s="264"/>
      <c r="S269" s="264"/>
      <c r="T269" s="264"/>
      <c r="U269" s="264"/>
    </row>
    <row r="270">
      <c r="A270" s="264"/>
      <c r="B270" s="264"/>
      <c r="C270" s="264"/>
      <c r="D270" s="264"/>
      <c r="E270" s="264"/>
      <c r="F270" s="264"/>
      <c r="G270" s="264"/>
      <c r="H270" s="264"/>
      <c r="I270" s="264"/>
      <c r="J270" s="264"/>
      <c r="K270" s="264"/>
      <c r="L270" s="264"/>
      <c r="M270" s="264"/>
      <c r="N270" s="264"/>
      <c r="O270" s="264"/>
      <c r="P270" s="264"/>
      <c r="Q270" s="264"/>
      <c r="R270" s="264"/>
      <c r="S270" s="264"/>
      <c r="T270" s="264"/>
      <c r="U270" s="264"/>
    </row>
    <row r="271">
      <c r="A271" s="264"/>
      <c r="B271" s="264"/>
      <c r="C271" s="264"/>
      <c r="D271" s="264"/>
      <c r="E271" s="264"/>
      <c r="F271" s="264"/>
      <c r="G271" s="264"/>
      <c r="H271" s="264"/>
      <c r="I271" s="264"/>
      <c r="J271" s="264"/>
      <c r="K271" s="264"/>
      <c r="L271" s="264"/>
      <c r="M271" s="264"/>
      <c r="N271" s="264"/>
      <c r="O271" s="264"/>
      <c r="P271" s="264"/>
      <c r="Q271" s="264"/>
      <c r="R271" s="264"/>
      <c r="S271" s="264"/>
      <c r="T271" s="264"/>
      <c r="U271" s="264"/>
    </row>
    <row r="272">
      <c r="A272" s="264"/>
      <c r="B272" s="264"/>
      <c r="C272" s="264"/>
      <c r="D272" s="264"/>
      <c r="E272" s="264"/>
      <c r="F272" s="264"/>
      <c r="G272" s="264"/>
      <c r="H272" s="264"/>
      <c r="I272" s="264"/>
      <c r="J272" s="264"/>
      <c r="K272" s="264"/>
      <c r="L272" s="264"/>
      <c r="M272" s="264"/>
      <c r="N272" s="264"/>
      <c r="O272" s="264"/>
      <c r="P272" s="264"/>
      <c r="Q272" s="264"/>
      <c r="R272" s="264"/>
      <c r="S272" s="264"/>
      <c r="T272" s="264"/>
      <c r="U272" s="264"/>
    </row>
    <row r="273">
      <c r="A273" s="264"/>
      <c r="B273" s="264"/>
      <c r="C273" s="264"/>
      <c r="D273" s="264"/>
      <c r="E273" s="264"/>
      <c r="F273" s="264"/>
      <c r="G273" s="264"/>
      <c r="H273" s="264"/>
      <c r="I273" s="264"/>
      <c r="J273" s="264"/>
      <c r="K273" s="264"/>
      <c r="L273" s="264"/>
      <c r="M273" s="264"/>
      <c r="N273" s="264"/>
      <c r="O273" s="264"/>
      <c r="P273" s="264"/>
      <c r="Q273" s="264"/>
      <c r="R273" s="264"/>
      <c r="S273" s="264"/>
      <c r="T273" s="264"/>
      <c r="U273" s="264"/>
    </row>
    <row r="274">
      <c r="A274" s="264"/>
      <c r="B274" s="264"/>
      <c r="C274" s="264"/>
      <c r="D274" s="264"/>
      <c r="E274" s="264"/>
      <c r="F274" s="264"/>
      <c r="G274" s="264"/>
      <c r="H274" s="264"/>
      <c r="I274" s="264"/>
      <c r="J274" s="264"/>
      <c r="K274" s="264"/>
      <c r="L274" s="264"/>
      <c r="M274" s="264"/>
      <c r="N274" s="264"/>
      <c r="O274" s="264"/>
      <c r="P274" s="264"/>
      <c r="Q274" s="264"/>
      <c r="R274" s="264"/>
      <c r="S274" s="264"/>
      <c r="T274" s="264"/>
      <c r="U274" s="264"/>
    </row>
    <row r="275">
      <c r="A275" s="264"/>
      <c r="B275" s="264"/>
      <c r="C275" s="264"/>
      <c r="D275" s="264"/>
      <c r="E275" s="264"/>
      <c r="F275" s="264"/>
      <c r="G275" s="264"/>
      <c r="H275" s="264"/>
      <c r="I275" s="264"/>
      <c r="J275" s="264"/>
      <c r="K275" s="264"/>
      <c r="L275" s="264"/>
      <c r="M275" s="264"/>
      <c r="N275" s="264"/>
      <c r="O275" s="264"/>
      <c r="P275" s="264"/>
      <c r="Q275" s="264"/>
      <c r="R275" s="264"/>
      <c r="S275" s="264"/>
      <c r="T275" s="264"/>
      <c r="U275" s="264"/>
    </row>
    <row r="276">
      <c r="A276" s="264"/>
      <c r="B276" s="264"/>
      <c r="C276" s="264"/>
      <c r="D276" s="264"/>
      <c r="E276" s="264"/>
      <c r="F276" s="264"/>
      <c r="G276" s="264"/>
      <c r="H276" s="264"/>
      <c r="I276" s="264"/>
      <c r="J276" s="264"/>
      <c r="K276" s="264"/>
      <c r="L276" s="264"/>
      <c r="M276" s="264"/>
      <c r="N276" s="264"/>
      <c r="O276" s="264"/>
      <c r="P276" s="264"/>
      <c r="Q276" s="264"/>
      <c r="R276" s="264"/>
      <c r="S276" s="264"/>
      <c r="T276" s="264"/>
      <c r="U276" s="264"/>
    </row>
    <row r="277">
      <c r="A277" s="264"/>
      <c r="B277" s="264"/>
      <c r="C277" s="264"/>
      <c r="D277" s="264"/>
      <c r="E277" s="264"/>
      <c r="F277" s="264"/>
      <c r="G277" s="264"/>
      <c r="H277" s="264"/>
      <c r="I277" s="264"/>
      <c r="J277" s="264"/>
      <c r="K277" s="264"/>
      <c r="L277" s="264"/>
      <c r="M277" s="264"/>
      <c r="N277" s="264"/>
      <c r="O277" s="264"/>
      <c r="P277" s="264"/>
      <c r="Q277" s="264"/>
      <c r="R277" s="264"/>
      <c r="S277" s="264"/>
      <c r="T277" s="264"/>
      <c r="U277" s="264"/>
    </row>
    <row r="278">
      <c r="A278" s="264"/>
      <c r="B278" s="264"/>
      <c r="C278" s="264"/>
      <c r="D278" s="264"/>
      <c r="E278" s="264"/>
      <c r="F278" s="264"/>
      <c r="G278" s="264"/>
      <c r="H278" s="264"/>
      <c r="I278" s="264"/>
      <c r="J278" s="264"/>
      <c r="K278" s="264"/>
      <c r="L278" s="264"/>
      <c r="M278" s="264"/>
      <c r="N278" s="264"/>
      <c r="O278" s="264"/>
      <c r="P278" s="264"/>
      <c r="Q278" s="264"/>
      <c r="R278" s="264"/>
      <c r="S278" s="264"/>
      <c r="T278" s="264"/>
      <c r="U278" s="264"/>
    </row>
    <row r="279">
      <c r="A279" s="264"/>
      <c r="B279" s="264"/>
      <c r="C279" s="264"/>
      <c r="D279" s="264"/>
      <c r="E279" s="264"/>
      <c r="F279" s="264"/>
      <c r="G279" s="264"/>
      <c r="H279" s="264"/>
      <c r="I279" s="264"/>
      <c r="J279" s="264"/>
      <c r="K279" s="264"/>
      <c r="L279" s="264"/>
      <c r="M279" s="264"/>
      <c r="N279" s="264"/>
      <c r="O279" s="264"/>
      <c r="P279" s="264"/>
      <c r="Q279" s="264"/>
      <c r="R279" s="264"/>
      <c r="S279" s="264"/>
      <c r="T279" s="264"/>
      <c r="U279" s="264"/>
    </row>
    <row r="280">
      <c r="A280" s="264"/>
      <c r="B280" s="264"/>
      <c r="C280" s="264"/>
      <c r="D280" s="264"/>
      <c r="E280" s="264"/>
      <c r="F280" s="264"/>
      <c r="G280" s="264"/>
      <c r="H280" s="264"/>
      <c r="I280" s="264"/>
      <c r="J280" s="264"/>
      <c r="K280" s="264"/>
      <c r="L280" s="264"/>
      <c r="M280" s="264"/>
      <c r="N280" s="264"/>
      <c r="O280" s="264"/>
      <c r="P280" s="264"/>
      <c r="Q280" s="264"/>
      <c r="R280" s="264"/>
      <c r="S280" s="264"/>
      <c r="T280" s="264"/>
      <c r="U280" s="264"/>
    </row>
    <row r="281">
      <c r="A281" s="264"/>
      <c r="B281" s="264"/>
      <c r="C281" s="264"/>
      <c r="D281" s="264"/>
      <c r="E281" s="264"/>
      <c r="F281" s="264"/>
      <c r="G281" s="264"/>
      <c r="H281" s="264"/>
      <c r="I281" s="264"/>
      <c r="J281" s="264"/>
      <c r="K281" s="264"/>
      <c r="L281" s="264"/>
      <c r="M281" s="264"/>
      <c r="N281" s="264"/>
      <c r="O281" s="264"/>
      <c r="P281" s="264"/>
      <c r="Q281" s="264"/>
      <c r="R281" s="264"/>
      <c r="S281" s="264"/>
      <c r="T281" s="264"/>
      <c r="U281" s="264"/>
    </row>
    <row r="282">
      <c r="A282" s="264"/>
      <c r="B282" s="264"/>
      <c r="C282" s="264"/>
      <c r="D282" s="264"/>
      <c r="E282" s="264"/>
      <c r="F282" s="264"/>
      <c r="G282" s="264"/>
      <c r="H282" s="264"/>
      <c r="I282" s="264"/>
      <c r="J282" s="264"/>
      <c r="K282" s="264"/>
      <c r="L282" s="264"/>
      <c r="M282" s="264"/>
      <c r="N282" s="264"/>
      <c r="O282" s="264"/>
      <c r="P282" s="264"/>
      <c r="Q282" s="264"/>
      <c r="R282" s="264"/>
      <c r="S282" s="264"/>
      <c r="T282" s="264"/>
      <c r="U282" s="264"/>
    </row>
    <row r="283">
      <c r="A283" s="264"/>
      <c r="B283" s="264"/>
      <c r="C283" s="264"/>
      <c r="D283" s="264"/>
      <c r="E283" s="264"/>
      <c r="F283" s="264"/>
      <c r="G283" s="264"/>
      <c r="H283" s="264"/>
      <c r="I283" s="264"/>
      <c r="J283" s="264"/>
      <c r="K283" s="264"/>
      <c r="L283" s="264"/>
      <c r="M283" s="264"/>
      <c r="N283" s="264"/>
      <c r="O283" s="264"/>
      <c r="P283" s="264"/>
      <c r="Q283" s="264"/>
      <c r="R283" s="264"/>
      <c r="S283" s="264"/>
      <c r="T283" s="264"/>
      <c r="U283" s="264"/>
    </row>
    <row r="284">
      <c r="A284" s="264"/>
      <c r="B284" s="264"/>
      <c r="C284" s="264"/>
      <c r="D284" s="264"/>
      <c r="E284" s="264"/>
      <c r="F284" s="264"/>
      <c r="G284" s="264"/>
      <c r="H284" s="264"/>
      <c r="I284" s="264"/>
      <c r="J284" s="264"/>
      <c r="K284" s="264"/>
      <c r="L284" s="264"/>
      <c r="M284" s="264"/>
      <c r="N284" s="264"/>
      <c r="O284" s="264"/>
      <c r="P284" s="264"/>
      <c r="Q284" s="264"/>
      <c r="R284" s="264"/>
      <c r="S284" s="264"/>
      <c r="T284" s="264"/>
      <c r="U284" s="264"/>
    </row>
    <row r="285">
      <c r="A285" s="264"/>
      <c r="B285" s="264"/>
      <c r="C285" s="264"/>
      <c r="D285" s="264"/>
      <c r="E285" s="264"/>
      <c r="F285" s="264"/>
      <c r="G285" s="264"/>
      <c r="H285" s="264"/>
      <c r="I285" s="264"/>
      <c r="J285" s="264"/>
      <c r="K285" s="264"/>
      <c r="L285" s="264"/>
      <c r="M285" s="264"/>
      <c r="N285" s="264"/>
      <c r="O285" s="264"/>
      <c r="P285" s="264"/>
      <c r="Q285" s="264"/>
      <c r="R285" s="264"/>
      <c r="S285" s="264"/>
      <c r="T285" s="264"/>
      <c r="U285" s="264"/>
    </row>
    <row r="286">
      <c r="A286" s="264"/>
      <c r="B286" s="264"/>
      <c r="C286" s="264"/>
      <c r="D286" s="264"/>
      <c r="E286" s="264"/>
      <c r="F286" s="264"/>
      <c r="G286" s="264"/>
      <c r="H286" s="264"/>
      <c r="I286" s="264"/>
      <c r="J286" s="264"/>
      <c r="K286" s="264"/>
      <c r="L286" s="264"/>
      <c r="M286" s="264"/>
      <c r="N286" s="264"/>
      <c r="O286" s="264"/>
      <c r="P286" s="264"/>
      <c r="Q286" s="264"/>
      <c r="R286" s="264"/>
      <c r="S286" s="264"/>
      <c r="T286" s="264"/>
      <c r="U286" s="264"/>
    </row>
    <row r="287">
      <c r="A287" s="264"/>
      <c r="B287" s="264"/>
      <c r="C287" s="264"/>
      <c r="D287" s="264"/>
      <c r="E287" s="264"/>
      <c r="F287" s="264"/>
      <c r="G287" s="264"/>
      <c r="H287" s="264"/>
      <c r="I287" s="264"/>
      <c r="J287" s="264"/>
      <c r="K287" s="264"/>
      <c r="L287" s="264"/>
      <c r="M287" s="264"/>
      <c r="N287" s="264"/>
      <c r="O287" s="264"/>
      <c r="P287" s="264"/>
      <c r="Q287" s="264"/>
      <c r="R287" s="264"/>
      <c r="S287" s="264"/>
      <c r="T287" s="264"/>
      <c r="U287" s="264"/>
    </row>
    <row r="288">
      <c r="A288" s="264"/>
      <c r="B288" s="264"/>
      <c r="C288" s="264"/>
      <c r="D288" s="264"/>
      <c r="E288" s="264"/>
      <c r="F288" s="264"/>
      <c r="G288" s="264"/>
      <c r="H288" s="264"/>
      <c r="I288" s="264"/>
      <c r="J288" s="264"/>
      <c r="K288" s="264"/>
      <c r="L288" s="264"/>
      <c r="M288" s="264"/>
      <c r="N288" s="264"/>
      <c r="O288" s="264"/>
      <c r="P288" s="264"/>
      <c r="Q288" s="264"/>
      <c r="R288" s="264"/>
      <c r="S288" s="264"/>
      <c r="T288" s="264"/>
      <c r="U288" s="264"/>
    </row>
    <row r="289">
      <c r="A289" s="264"/>
      <c r="B289" s="264"/>
      <c r="C289" s="264"/>
      <c r="D289" s="264"/>
      <c r="E289" s="264"/>
      <c r="F289" s="264"/>
      <c r="G289" s="264"/>
      <c r="H289" s="264"/>
      <c r="I289" s="264"/>
      <c r="J289" s="264"/>
      <c r="K289" s="264"/>
      <c r="L289" s="264"/>
      <c r="M289" s="264"/>
      <c r="N289" s="264"/>
      <c r="O289" s="264"/>
      <c r="P289" s="264"/>
      <c r="Q289" s="264"/>
      <c r="R289" s="264"/>
      <c r="S289" s="264"/>
      <c r="T289" s="264"/>
      <c r="U289" s="264"/>
    </row>
    <row r="290">
      <c r="A290" s="264"/>
      <c r="B290" s="264"/>
      <c r="C290" s="264"/>
      <c r="D290" s="264"/>
      <c r="E290" s="264"/>
      <c r="F290" s="264"/>
      <c r="G290" s="264"/>
      <c r="H290" s="264"/>
      <c r="I290" s="264"/>
      <c r="J290" s="264"/>
      <c r="K290" s="264"/>
      <c r="L290" s="264"/>
      <c r="M290" s="264"/>
      <c r="N290" s="264"/>
      <c r="O290" s="264"/>
      <c r="P290" s="264"/>
      <c r="Q290" s="264"/>
      <c r="R290" s="264"/>
      <c r="S290" s="264"/>
      <c r="T290" s="264"/>
      <c r="U290" s="264"/>
    </row>
    <row r="291">
      <c r="A291" s="264"/>
      <c r="B291" s="264"/>
      <c r="C291" s="264"/>
      <c r="D291" s="264"/>
      <c r="E291" s="264"/>
      <c r="F291" s="264"/>
      <c r="G291" s="264"/>
      <c r="H291" s="264"/>
      <c r="I291" s="264"/>
      <c r="J291" s="264"/>
      <c r="K291" s="264"/>
      <c r="L291" s="264"/>
      <c r="M291" s="264"/>
      <c r="N291" s="264"/>
      <c r="O291" s="264"/>
      <c r="P291" s="264"/>
      <c r="Q291" s="264"/>
      <c r="R291" s="264"/>
      <c r="S291" s="264"/>
      <c r="T291" s="264"/>
      <c r="U291" s="264"/>
    </row>
    <row r="292">
      <c r="A292" s="264"/>
      <c r="B292" s="264"/>
      <c r="C292" s="264"/>
      <c r="D292" s="264"/>
      <c r="E292" s="264"/>
      <c r="F292" s="264"/>
      <c r="G292" s="264"/>
      <c r="H292" s="264"/>
      <c r="I292" s="264"/>
      <c r="J292" s="264"/>
      <c r="K292" s="264"/>
      <c r="L292" s="264"/>
      <c r="M292" s="264"/>
      <c r="N292" s="264"/>
      <c r="O292" s="264"/>
      <c r="P292" s="264"/>
      <c r="Q292" s="264"/>
      <c r="R292" s="264"/>
      <c r="S292" s="264"/>
      <c r="T292" s="264"/>
      <c r="U292" s="264"/>
    </row>
    <row r="293">
      <c r="A293" s="264"/>
      <c r="B293" s="264"/>
      <c r="C293" s="264"/>
      <c r="D293" s="264"/>
      <c r="E293" s="264"/>
      <c r="F293" s="264"/>
      <c r="G293" s="264"/>
      <c r="H293" s="264"/>
      <c r="I293" s="264"/>
      <c r="J293" s="264"/>
      <c r="K293" s="264"/>
      <c r="L293" s="264"/>
      <c r="M293" s="264"/>
      <c r="N293" s="264"/>
      <c r="O293" s="264"/>
      <c r="P293" s="264"/>
      <c r="Q293" s="264"/>
      <c r="R293" s="264"/>
      <c r="S293" s="264"/>
      <c r="T293" s="264"/>
      <c r="U293" s="264"/>
    </row>
    <row r="294">
      <c r="A294" s="264"/>
      <c r="B294" s="264"/>
      <c r="C294" s="264"/>
      <c r="D294" s="264"/>
      <c r="E294" s="264"/>
      <c r="F294" s="264"/>
      <c r="G294" s="264"/>
      <c r="H294" s="264"/>
      <c r="I294" s="264"/>
      <c r="J294" s="264"/>
      <c r="K294" s="264"/>
      <c r="L294" s="264"/>
      <c r="M294" s="264"/>
      <c r="N294" s="264"/>
      <c r="O294" s="264"/>
      <c r="P294" s="264"/>
      <c r="Q294" s="264"/>
      <c r="R294" s="264"/>
      <c r="S294" s="264"/>
      <c r="T294" s="264"/>
      <c r="U294" s="264"/>
    </row>
    <row r="295">
      <c r="A295" s="264"/>
      <c r="B295" s="264"/>
      <c r="C295" s="264"/>
      <c r="D295" s="264"/>
      <c r="E295" s="264"/>
      <c r="F295" s="264"/>
      <c r="G295" s="264"/>
      <c r="H295" s="264"/>
      <c r="I295" s="264"/>
      <c r="J295" s="264"/>
      <c r="K295" s="264"/>
      <c r="L295" s="264"/>
      <c r="M295" s="264"/>
      <c r="N295" s="264"/>
      <c r="O295" s="264"/>
      <c r="P295" s="264"/>
      <c r="Q295" s="264"/>
      <c r="R295" s="264"/>
      <c r="S295" s="264"/>
      <c r="T295" s="264"/>
      <c r="U295" s="264"/>
    </row>
    <row r="296">
      <c r="A296" s="264"/>
      <c r="B296" s="264"/>
      <c r="C296" s="264"/>
      <c r="D296" s="264"/>
      <c r="E296" s="264"/>
      <c r="F296" s="264"/>
      <c r="G296" s="264"/>
      <c r="H296" s="264"/>
      <c r="I296" s="264"/>
      <c r="J296" s="264"/>
      <c r="K296" s="264"/>
      <c r="L296" s="264"/>
      <c r="M296" s="264"/>
      <c r="N296" s="264"/>
      <c r="O296" s="264"/>
      <c r="P296" s="264"/>
      <c r="Q296" s="264"/>
      <c r="R296" s="264"/>
      <c r="S296" s="264"/>
      <c r="T296" s="264"/>
      <c r="U296" s="264"/>
    </row>
    <row r="297">
      <c r="A297" s="264"/>
      <c r="B297" s="264"/>
      <c r="C297" s="264"/>
      <c r="D297" s="264"/>
      <c r="E297" s="264"/>
      <c r="F297" s="264"/>
      <c r="G297" s="264"/>
      <c r="H297" s="264"/>
      <c r="I297" s="264"/>
      <c r="J297" s="264"/>
      <c r="K297" s="264"/>
      <c r="L297" s="264"/>
      <c r="M297" s="264"/>
      <c r="N297" s="264"/>
      <c r="O297" s="264"/>
      <c r="P297" s="264"/>
      <c r="Q297" s="264"/>
      <c r="R297" s="264"/>
      <c r="S297" s="264"/>
      <c r="T297" s="264"/>
      <c r="U297" s="264"/>
    </row>
    <row r="298">
      <c r="A298" s="264"/>
      <c r="B298" s="264"/>
      <c r="C298" s="264"/>
      <c r="D298" s="264"/>
      <c r="E298" s="264"/>
      <c r="F298" s="264"/>
      <c r="G298" s="264"/>
      <c r="H298" s="264"/>
      <c r="I298" s="264"/>
      <c r="J298" s="264"/>
      <c r="K298" s="264"/>
      <c r="L298" s="264"/>
      <c r="M298" s="264"/>
      <c r="N298" s="264"/>
      <c r="O298" s="264"/>
      <c r="P298" s="264"/>
      <c r="Q298" s="264"/>
      <c r="R298" s="264"/>
      <c r="S298" s="264"/>
      <c r="T298" s="264"/>
      <c r="U298" s="264"/>
    </row>
    <row r="299">
      <c r="A299" s="264"/>
      <c r="B299" s="264"/>
      <c r="C299" s="264"/>
      <c r="D299" s="264"/>
      <c r="E299" s="264"/>
      <c r="F299" s="264"/>
      <c r="G299" s="264"/>
      <c r="H299" s="264"/>
      <c r="I299" s="264"/>
      <c r="J299" s="264"/>
      <c r="K299" s="264"/>
      <c r="L299" s="264"/>
      <c r="M299" s="264"/>
      <c r="N299" s="264"/>
      <c r="O299" s="264"/>
      <c r="P299" s="264"/>
      <c r="Q299" s="264"/>
      <c r="R299" s="264"/>
      <c r="S299" s="264"/>
      <c r="T299" s="264"/>
      <c r="U299" s="264"/>
    </row>
    <row r="300">
      <c r="A300" s="264"/>
      <c r="B300" s="264"/>
      <c r="C300" s="264"/>
      <c r="D300" s="264"/>
      <c r="E300" s="264"/>
      <c r="F300" s="264"/>
      <c r="G300" s="264"/>
      <c r="H300" s="264"/>
      <c r="I300" s="264"/>
      <c r="J300" s="264"/>
      <c r="K300" s="264"/>
      <c r="L300" s="264"/>
      <c r="M300" s="264"/>
      <c r="N300" s="264"/>
      <c r="O300" s="264"/>
      <c r="P300" s="264"/>
      <c r="Q300" s="264"/>
      <c r="R300" s="264"/>
      <c r="S300" s="264"/>
      <c r="T300" s="264"/>
      <c r="U300" s="264"/>
    </row>
    <row r="301">
      <c r="A301" s="264"/>
      <c r="B301" s="264"/>
      <c r="C301" s="264"/>
      <c r="D301" s="264"/>
      <c r="E301" s="264"/>
      <c r="F301" s="264"/>
      <c r="G301" s="264"/>
      <c r="H301" s="264"/>
      <c r="I301" s="264"/>
      <c r="J301" s="264"/>
      <c r="K301" s="264"/>
      <c r="L301" s="264"/>
      <c r="M301" s="264"/>
      <c r="N301" s="264"/>
      <c r="O301" s="264"/>
      <c r="P301" s="264"/>
      <c r="Q301" s="264"/>
      <c r="R301" s="264"/>
      <c r="S301" s="264"/>
      <c r="T301" s="264"/>
      <c r="U301" s="264"/>
    </row>
    <row r="302">
      <c r="A302" s="264"/>
      <c r="B302" s="264"/>
      <c r="C302" s="264"/>
      <c r="D302" s="264"/>
      <c r="E302" s="264"/>
      <c r="F302" s="264"/>
      <c r="G302" s="264"/>
      <c r="H302" s="264"/>
      <c r="I302" s="264"/>
      <c r="J302" s="264"/>
      <c r="K302" s="264"/>
      <c r="L302" s="264"/>
      <c r="M302" s="264"/>
      <c r="N302" s="264"/>
      <c r="O302" s="264"/>
      <c r="P302" s="264"/>
      <c r="Q302" s="264"/>
      <c r="R302" s="264"/>
      <c r="S302" s="264"/>
      <c r="T302" s="264"/>
      <c r="U302" s="264"/>
    </row>
    <row r="303">
      <c r="A303" s="264"/>
      <c r="B303" s="264"/>
      <c r="C303" s="264"/>
      <c r="D303" s="264"/>
      <c r="E303" s="264"/>
      <c r="F303" s="264"/>
      <c r="G303" s="264"/>
      <c r="H303" s="264"/>
      <c r="I303" s="264"/>
      <c r="J303" s="264"/>
      <c r="K303" s="264"/>
      <c r="L303" s="264"/>
      <c r="M303" s="264"/>
      <c r="N303" s="264"/>
      <c r="O303" s="264"/>
      <c r="P303" s="264"/>
      <c r="Q303" s="264"/>
      <c r="R303" s="264"/>
      <c r="S303" s="264"/>
      <c r="T303" s="264"/>
      <c r="U303" s="264"/>
    </row>
    <row r="304">
      <c r="A304" s="264"/>
      <c r="B304" s="264"/>
      <c r="C304" s="264"/>
      <c r="D304" s="264"/>
      <c r="E304" s="264"/>
      <c r="F304" s="264"/>
      <c r="G304" s="264"/>
      <c r="H304" s="264"/>
      <c r="I304" s="264"/>
      <c r="J304" s="264"/>
      <c r="K304" s="264"/>
      <c r="L304" s="264"/>
      <c r="M304" s="264"/>
      <c r="N304" s="264"/>
      <c r="O304" s="264"/>
      <c r="P304" s="264"/>
      <c r="Q304" s="264"/>
      <c r="R304" s="264"/>
      <c r="S304" s="264"/>
      <c r="T304" s="264"/>
      <c r="U304" s="264"/>
    </row>
    <row r="305">
      <c r="A305" s="264"/>
      <c r="B305" s="264"/>
      <c r="C305" s="264"/>
      <c r="D305" s="264"/>
      <c r="E305" s="264"/>
      <c r="F305" s="264"/>
      <c r="G305" s="264"/>
      <c r="H305" s="264"/>
      <c r="I305" s="264"/>
      <c r="J305" s="264"/>
      <c r="K305" s="264"/>
      <c r="L305" s="264"/>
      <c r="M305" s="264"/>
      <c r="N305" s="264"/>
      <c r="O305" s="264"/>
      <c r="P305" s="264"/>
      <c r="Q305" s="264"/>
      <c r="R305" s="264"/>
      <c r="S305" s="264"/>
      <c r="T305" s="264"/>
      <c r="U305" s="264"/>
    </row>
    <row r="306">
      <c r="A306" s="264"/>
      <c r="B306" s="264"/>
      <c r="C306" s="264"/>
      <c r="D306" s="264"/>
      <c r="E306" s="264"/>
      <c r="F306" s="264"/>
      <c r="G306" s="264"/>
      <c r="H306" s="264"/>
      <c r="I306" s="264"/>
      <c r="J306" s="264"/>
      <c r="K306" s="264"/>
      <c r="L306" s="264"/>
      <c r="M306" s="264"/>
      <c r="N306" s="264"/>
      <c r="O306" s="264"/>
      <c r="P306" s="264"/>
      <c r="Q306" s="264"/>
      <c r="R306" s="264"/>
      <c r="S306" s="264"/>
      <c r="T306" s="264"/>
      <c r="U306" s="264"/>
    </row>
    <row r="307">
      <c r="A307" s="264"/>
      <c r="B307" s="264"/>
      <c r="C307" s="264"/>
      <c r="D307" s="264"/>
      <c r="E307" s="264"/>
      <c r="F307" s="264"/>
      <c r="G307" s="264"/>
      <c r="H307" s="264"/>
      <c r="I307" s="264"/>
      <c r="J307" s="264"/>
      <c r="K307" s="264"/>
      <c r="L307" s="264"/>
      <c r="M307" s="264"/>
      <c r="N307" s="264"/>
      <c r="O307" s="264"/>
      <c r="P307" s="264"/>
      <c r="Q307" s="264"/>
      <c r="R307" s="264"/>
      <c r="S307" s="264"/>
      <c r="T307" s="264"/>
      <c r="U307" s="264"/>
    </row>
    <row r="308">
      <c r="A308" s="264"/>
      <c r="B308" s="264"/>
      <c r="C308" s="264"/>
      <c r="D308" s="264"/>
      <c r="E308" s="264"/>
      <c r="F308" s="264"/>
      <c r="G308" s="264"/>
      <c r="H308" s="264"/>
      <c r="I308" s="264"/>
      <c r="J308" s="264"/>
      <c r="K308" s="264"/>
      <c r="L308" s="264"/>
      <c r="M308" s="264"/>
      <c r="N308" s="264"/>
      <c r="O308" s="264"/>
      <c r="P308" s="264"/>
      <c r="Q308" s="264"/>
      <c r="R308" s="264"/>
      <c r="S308" s="264"/>
      <c r="T308" s="264"/>
      <c r="U308" s="264"/>
    </row>
    <row r="309">
      <c r="A309" s="264"/>
      <c r="B309" s="264"/>
      <c r="C309" s="264"/>
      <c r="D309" s="264"/>
      <c r="E309" s="264"/>
      <c r="F309" s="264"/>
      <c r="G309" s="264"/>
      <c r="H309" s="264"/>
      <c r="I309" s="264"/>
      <c r="J309" s="264"/>
      <c r="K309" s="264"/>
      <c r="L309" s="264"/>
      <c r="M309" s="264"/>
      <c r="N309" s="264"/>
      <c r="O309" s="264"/>
      <c r="P309" s="264"/>
      <c r="Q309" s="264"/>
      <c r="R309" s="264"/>
      <c r="S309" s="264"/>
      <c r="T309" s="264"/>
      <c r="U309" s="264"/>
    </row>
    <row r="310">
      <c r="A310" s="264"/>
      <c r="B310" s="264"/>
      <c r="C310" s="264"/>
      <c r="D310" s="264"/>
      <c r="E310" s="264"/>
      <c r="F310" s="264"/>
      <c r="G310" s="264"/>
      <c r="H310" s="264"/>
      <c r="I310" s="264"/>
      <c r="J310" s="264"/>
      <c r="K310" s="264"/>
      <c r="L310" s="264"/>
      <c r="M310" s="264"/>
      <c r="N310" s="264"/>
      <c r="O310" s="264"/>
      <c r="P310" s="264"/>
      <c r="Q310" s="264"/>
      <c r="R310" s="264"/>
      <c r="S310" s="264"/>
      <c r="T310" s="264"/>
      <c r="U310" s="264"/>
    </row>
    <row r="311">
      <c r="A311" s="264"/>
      <c r="B311" s="264"/>
      <c r="C311" s="264"/>
      <c r="D311" s="264"/>
      <c r="E311" s="264"/>
      <c r="F311" s="264"/>
      <c r="G311" s="264"/>
      <c r="H311" s="264"/>
      <c r="I311" s="264"/>
      <c r="J311" s="264"/>
      <c r="K311" s="264"/>
      <c r="L311" s="264"/>
      <c r="M311" s="264"/>
      <c r="N311" s="264"/>
      <c r="O311" s="264"/>
      <c r="P311" s="264"/>
      <c r="Q311" s="264"/>
      <c r="R311" s="264"/>
      <c r="S311" s="264"/>
      <c r="T311" s="264"/>
      <c r="U311" s="264"/>
    </row>
    <row r="312">
      <c r="A312" s="264"/>
      <c r="B312" s="264"/>
      <c r="C312" s="264"/>
      <c r="D312" s="264"/>
      <c r="E312" s="264"/>
      <c r="F312" s="264"/>
      <c r="G312" s="264"/>
      <c r="H312" s="264"/>
      <c r="I312" s="264"/>
      <c r="J312" s="264"/>
      <c r="K312" s="264"/>
      <c r="L312" s="264"/>
      <c r="M312" s="264"/>
      <c r="N312" s="264"/>
      <c r="O312" s="264"/>
      <c r="P312" s="264"/>
      <c r="Q312" s="264"/>
      <c r="R312" s="264"/>
      <c r="S312" s="264"/>
      <c r="T312" s="264"/>
      <c r="U312" s="264"/>
    </row>
    <row r="313">
      <c r="A313" s="264"/>
      <c r="B313" s="264"/>
      <c r="C313" s="264"/>
      <c r="D313" s="264"/>
      <c r="E313" s="264"/>
      <c r="F313" s="264"/>
      <c r="G313" s="264"/>
      <c r="H313" s="264"/>
      <c r="I313" s="264"/>
      <c r="J313" s="264"/>
      <c r="K313" s="264"/>
      <c r="L313" s="264"/>
      <c r="M313" s="264"/>
      <c r="N313" s="264"/>
      <c r="O313" s="264"/>
      <c r="P313" s="264"/>
      <c r="Q313" s="264"/>
      <c r="R313" s="264"/>
      <c r="S313" s="264"/>
      <c r="T313" s="264"/>
      <c r="U313" s="264"/>
    </row>
    <row r="314">
      <c r="A314" s="264"/>
      <c r="B314" s="264"/>
      <c r="C314" s="264"/>
      <c r="D314" s="264"/>
      <c r="E314" s="264"/>
      <c r="F314" s="264"/>
      <c r="G314" s="264"/>
      <c r="H314" s="264"/>
      <c r="I314" s="264"/>
      <c r="J314" s="264"/>
      <c r="K314" s="264"/>
      <c r="L314" s="264"/>
      <c r="M314" s="264"/>
      <c r="N314" s="264"/>
      <c r="O314" s="264"/>
      <c r="P314" s="264"/>
      <c r="Q314" s="264"/>
      <c r="R314" s="264"/>
      <c r="S314" s="264"/>
      <c r="T314" s="264"/>
      <c r="U314" s="264"/>
    </row>
    <row r="315">
      <c r="A315" s="264"/>
      <c r="B315" s="264"/>
      <c r="C315" s="264"/>
      <c r="D315" s="264"/>
      <c r="E315" s="264"/>
      <c r="F315" s="264"/>
      <c r="G315" s="264"/>
      <c r="H315" s="264"/>
      <c r="I315" s="264"/>
      <c r="J315" s="264"/>
      <c r="K315" s="264"/>
      <c r="L315" s="264"/>
      <c r="M315" s="264"/>
      <c r="N315" s="264"/>
      <c r="O315" s="264"/>
      <c r="P315" s="264"/>
      <c r="Q315" s="264"/>
      <c r="R315" s="264"/>
      <c r="S315" s="264"/>
      <c r="T315" s="264"/>
      <c r="U315" s="264"/>
    </row>
    <row r="316">
      <c r="A316" s="264"/>
      <c r="B316" s="264"/>
      <c r="C316" s="264"/>
      <c r="D316" s="264"/>
      <c r="E316" s="264"/>
      <c r="F316" s="264"/>
      <c r="G316" s="264"/>
      <c r="H316" s="264"/>
      <c r="I316" s="264"/>
      <c r="J316" s="264"/>
      <c r="K316" s="264"/>
      <c r="L316" s="264"/>
      <c r="M316" s="264"/>
      <c r="N316" s="264"/>
      <c r="O316" s="264"/>
      <c r="P316" s="264"/>
      <c r="Q316" s="264"/>
      <c r="R316" s="264"/>
      <c r="S316" s="264"/>
      <c r="T316" s="264"/>
      <c r="U316" s="264"/>
    </row>
    <row r="317">
      <c r="A317" s="264"/>
      <c r="B317" s="264"/>
      <c r="C317" s="264"/>
      <c r="D317" s="264"/>
      <c r="E317" s="264"/>
      <c r="F317" s="264"/>
      <c r="G317" s="264"/>
      <c r="H317" s="264"/>
      <c r="I317" s="264"/>
      <c r="J317" s="264"/>
      <c r="K317" s="264"/>
      <c r="L317" s="264"/>
      <c r="M317" s="264"/>
      <c r="N317" s="264"/>
      <c r="O317" s="264"/>
      <c r="P317" s="264"/>
      <c r="Q317" s="264"/>
      <c r="R317" s="264"/>
      <c r="S317" s="264"/>
      <c r="T317" s="264"/>
      <c r="U317" s="264"/>
    </row>
    <row r="318">
      <c r="A318" s="264"/>
      <c r="B318" s="264"/>
      <c r="C318" s="264"/>
      <c r="D318" s="264"/>
      <c r="E318" s="264"/>
      <c r="F318" s="264"/>
      <c r="G318" s="264"/>
      <c r="H318" s="264"/>
      <c r="I318" s="264"/>
      <c r="J318" s="264"/>
      <c r="K318" s="264"/>
      <c r="L318" s="264"/>
      <c r="M318" s="264"/>
      <c r="N318" s="264"/>
      <c r="O318" s="264"/>
      <c r="P318" s="264"/>
      <c r="Q318" s="264"/>
      <c r="R318" s="264"/>
      <c r="S318" s="264"/>
      <c r="T318" s="264"/>
      <c r="U318" s="264"/>
    </row>
    <row r="319">
      <c r="A319" s="264"/>
      <c r="B319" s="264"/>
      <c r="C319" s="264"/>
      <c r="D319" s="264"/>
      <c r="E319" s="264"/>
      <c r="F319" s="264"/>
      <c r="G319" s="264"/>
      <c r="H319" s="264"/>
      <c r="I319" s="264"/>
      <c r="J319" s="264"/>
      <c r="K319" s="264"/>
      <c r="L319" s="264"/>
      <c r="M319" s="264"/>
      <c r="N319" s="264"/>
      <c r="O319" s="264"/>
      <c r="P319" s="264"/>
      <c r="Q319" s="264"/>
      <c r="R319" s="264"/>
      <c r="S319" s="264"/>
      <c r="T319" s="264"/>
      <c r="U319" s="264"/>
    </row>
    <row r="320">
      <c r="A320" s="264"/>
      <c r="B320" s="264"/>
      <c r="C320" s="264"/>
      <c r="D320" s="264"/>
      <c r="E320" s="264"/>
      <c r="F320" s="264"/>
      <c r="G320" s="264"/>
      <c r="H320" s="264"/>
      <c r="I320" s="264"/>
      <c r="J320" s="264"/>
      <c r="K320" s="264"/>
      <c r="L320" s="264"/>
      <c r="M320" s="264"/>
      <c r="N320" s="264"/>
      <c r="O320" s="264"/>
      <c r="P320" s="264"/>
      <c r="Q320" s="264"/>
      <c r="R320" s="264"/>
      <c r="S320" s="264"/>
      <c r="T320" s="264"/>
      <c r="U320" s="264"/>
    </row>
    <row r="321">
      <c r="A321" s="264"/>
      <c r="B321" s="264"/>
      <c r="C321" s="264"/>
      <c r="D321" s="264"/>
      <c r="E321" s="264"/>
      <c r="F321" s="264"/>
      <c r="G321" s="264"/>
      <c r="H321" s="264"/>
      <c r="I321" s="264"/>
      <c r="J321" s="264"/>
      <c r="K321" s="264"/>
      <c r="L321" s="264"/>
      <c r="M321" s="264"/>
      <c r="N321" s="264"/>
      <c r="O321" s="264"/>
      <c r="P321" s="264"/>
      <c r="Q321" s="264"/>
      <c r="R321" s="264"/>
      <c r="S321" s="264"/>
      <c r="T321" s="264"/>
      <c r="U321" s="264"/>
    </row>
    <row r="322">
      <c r="A322" s="264"/>
      <c r="B322" s="264"/>
      <c r="C322" s="264"/>
      <c r="D322" s="264"/>
      <c r="E322" s="264"/>
      <c r="F322" s="264"/>
      <c r="G322" s="264"/>
      <c r="H322" s="264"/>
      <c r="I322" s="264"/>
      <c r="J322" s="264"/>
      <c r="K322" s="264"/>
      <c r="L322" s="264"/>
      <c r="M322" s="264"/>
      <c r="N322" s="264"/>
      <c r="O322" s="264"/>
      <c r="P322" s="264"/>
      <c r="Q322" s="264"/>
      <c r="R322" s="264"/>
      <c r="S322" s="264"/>
      <c r="T322" s="264"/>
      <c r="U322" s="264"/>
    </row>
    <row r="323">
      <c r="A323" s="264"/>
      <c r="B323" s="264"/>
      <c r="C323" s="264"/>
      <c r="D323" s="264"/>
      <c r="E323" s="264"/>
      <c r="F323" s="264"/>
      <c r="G323" s="264"/>
      <c r="H323" s="264"/>
      <c r="I323" s="264"/>
      <c r="J323" s="264"/>
      <c r="K323" s="264"/>
      <c r="L323" s="264"/>
      <c r="M323" s="264"/>
      <c r="N323" s="264"/>
      <c r="O323" s="264"/>
      <c r="P323" s="264"/>
      <c r="Q323" s="264"/>
      <c r="R323" s="264"/>
      <c r="S323" s="264"/>
      <c r="T323" s="264"/>
      <c r="U323" s="264"/>
    </row>
    <row r="324">
      <c r="A324" s="264"/>
      <c r="B324" s="264"/>
      <c r="C324" s="264"/>
      <c r="D324" s="264"/>
      <c r="E324" s="264"/>
      <c r="F324" s="264"/>
      <c r="G324" s="264"/>
      <c r="H324" s="264"/>
      <c r="I324" s="264"/>
      <c r="J324" s="264"/>
      <c r="K324" s="264"/>
      <c r="L324" s="264"/>
      <c r="M324" s="264"/>
      <c r="N324" s="264"/>
      <c r="O324" s="264"/>
      <c r="P324" s="264"/>
      <c r="Q324" s="264"/>
      <c r="R324" s="264"/>
      <c r="S324" s="264"/>
      <c r="T324" s="264"/>
      <c r="U324" s="264"/>
    </row>
    <row r="325">
      <c r="A325" s="264"/>
      <c r="B325" s="264"/>
      <c r="C325" s="264"/>
      <c r="D325" s="264"/>
      <c r="E325" s="264"/>
      <c r="F325" s="264"/>
      <c r="G325" s="264"/>
      <c r="H325" s="264"/>
      <c r="I325" s="264"/>
      <c r="J325" s="264"/>
      <c r="K325" s="264"/>
      <c r="L325" s="264"/>
      <c r="M325" s="264"/>
      <c r="N325" s="264"/>
      <c r="O325" s="264"/>
      <c r="P325" s="264"/>
      <c r="Q325" s="264"/>
      <c r="R325" s="264"/>
      <c r="S325" s="264"/>
      <c r="T325" s="264"/>
      <c r="U325" s="264"/>
    </row>
    <row r="326">
      <c r="A326" s="264"/>
      <c r="B326" s="264"/>
      <c r="C326" s="264"/>
      <c r="D326" s="264"/>
      <c r="E326" s="264"/>
      <c r="F326" s="264"/>
      <c r="G326" s="264"/>
      <c r="H326" s="264"/>
      <c r="I326" s="264"/>
      <c r="J326" s="264"/>
      <c r="K326" s="264"/>
      <c r="L326" s="264"/>
      <c r="M326" s="264"/>
      <c r="N326" s="264"/>
      <c r="O326" s="264"/>
      <c r="P326" s="264"/>
      <c r="Q326" s="264"/>
      <c r="R326" s="264"/>
      <c r="S326" s="264"/>
      <c r="T326" s="264"/>
      <c r="U326" s="264"/>
    </row>
    <row r="327">
      <c r="A327" s="264"/>
      <c r="B327" s="264"/>
      <c r="C327" s="264"/>
      <c r="D327" s="264"/>
      <c r="E327" s="264"/>
      <c r="F327" s="264"/>
      <c r="G327" s="264"/>
      <c r="H327" s="264"/>
      <c r="I327" s="264"/>
      <c r="J327" s="264"/>
      <c r="K327" s="264"/>
      <c r="L327" s="264"/>
      <c r="M327" s="264"/>
      <c r="N327" s="264"/>
      <c r="O327" s="264"/>
      <c r="P327" s="264"/>
      <c r="Q327" s="264"/>
      <c r="R327" s="264"/>
      <c r="S327" s="264"/>
      <c r="T327" s="264"/>
      <c r="U327" s="264"/>
    </row>
    <row r="328">
      <c r="A328" s="264"/>
      <c r="B328" s="264"/>
      <c r="C328" s="264"/>
      <c r="D328" s="264"/>
      <c r="E328" s="264"/>
      <c r="F328" s="264"/>
      <c r="G328" s="264"/>
      <c r="H328" s="264"/>
      <c r="I328" s="264"/>
      <c r="J328" s="264"/>
      <c r="K328" s="264"/>
      <c r="L328" s="264"/>
      <c r="M328" s="264"/>
      <c r="N328" s="264"/>
      <c r="O328" s="264"/>
      <c r="P328" s="264"/>
      <c r="Q328" s="264"/>
      <c r="R328" s="264"/>
      <c r="S328" s="264"/>
      <c r="T328" s="264"/>
      <c r="U328" s="264"/>
    </row>
    <row r="329">
      <c r="A329" s="264"/>
      <c r="B329" s="264"/>
      <c r="C329" s="264"/>
      <c r="D329" s="264"/>
      <c r="E329" s="264"/>
      <c r="F329" s="264"/>
      <c r="G329" s="264"/>
      <c r="H329" s="264"/>
      <c r="I329" s="264"/>
      <c r="J329" s="264"/>
      <c r="K329" s="264"/>
      <c r="L329" s="264"/>
      <c r="M329" s="264"/>
      <c r="N329" s="264"/>
      <c r="O329" s="264"/>
      <c r="P329" s="264"/>
      <c r="Q329" s="264"/>
      <c r="R329" s="264"/>
      <c r="S329" s="264"/>
      <c r="T329" s="264"/>
      <c r="U329" s="264"/>
    </row>
    <row r="330">
      <c r="A330" s="264"/>
      <c r="B330" s="264"/>
      <c r="C330" s="264"/>
      <c r="D330" s="264"/>
      <c r="E330" s="264"/>
      <c r="F330" s="264"/>
      <c r="G330" s="264"/>
      <c r="H330" s="264"/>
      <c r="I330" s="264"/>
      <c r="J330" s="264"/>
      <c r="K330" s="264"/>
      <c r="L330" s="264"/>
      <c r="M330" s="264"/>
      <c r="N330" s="264"/>
      <c r="O330" s="264"/>
      <c r="P330" s="264"/>
      <c r="Q330" s="264"/>
      <c r="R330" s="264"/>
      <c r="S330" s="264"/>
      <c r="T330" s="264"/>
      <c r="U330" s="264"/>
    </row>
    <row r="331">
      <c r="A331" s="264"/>
      <c r="B331" s="264"/>
      <c r="C331" s="264"/>
      <c r="D331" s="264"/>
      <c r="E331" s="264"/>
      <c r="F331" s="264"/>
      <c r="G331" s="264"/>
      <c r="H331" s="264"/>
      <c r="I331" s="264"/>
      <c r="J331" s="264"/>
      <c r="K331" s="264"/>
      <c r="L331" s="264"/>
      <c r="M331" s="264"/>
      <c r="N331" s="264"/>
      <c r="O331" s="264"/>
      <c r="P331" s="264"/>
      <c r="Q331" s="264"/>
      <c r="R331" s="264"/>
      <c r="S331" s="264"/>
      <c r="T331" s="264"/>
      <c r="U331" s="264"/>
    </row>
    <row r="332">
      <c r="A332" s="264"/>
      <c r="B332" s="264"/>
      <c r="C332" s="264"/>
      <c r="D332" s="264"/>
      <c r="E332" s="264"/>
      <c r="F332" s="264"/>
      <c r="G332" s="264"/>
      <c r="H332" s="264"/>
      <c r="I332" s="264"/>
      <c r="J332" s="264"/>
      <c r="K332" s="264"/>
      <c r="L332" s="264"/>
      <c r="M332" s="264"/>
      <c r="N332" s="264"/>
      <c r="O332" s="264"/>
      <c r="P332" s="264"/>
      <c r="Q332" s="264"/>
      <c r="R332" s="264"/>
      <c r="S332" s="264"/>
      <c r="T332" s="264"/>
      <c r="U332" s="264"/>
    </row>
    <row r="333">
      <c r="A333" s="264"/>
      <c r="B333" s="264"/>
      <c r="C333" s="264"/>
      <c r="D333" s="264"/>
      <c r="E333" s="264"/>
      <c r="F333" s="264"/>
      <c r="G333" s="264"/>
      <c r="H333" s="264"/>
      <c r="I333" s="264"/>
      <c r="J333" s="264"/>
      <c r="K333" s="264"/>
      <c r="L333" s="264"/>
      <c r="M333" s="264"/>
      <c r="N333" s="264"/>
      <c r="O333" s="264"/>
      <c r="P333" s="264"/>
      <c r="Q333" s="264"/>
      <c r="R333" s="264"/>
      <c r="S333" s="264"/>
      <c r="T333" s="264"/>
      <c r="U333" s="264"/>
    </row>
    <row r="334">
      <c r="A334" s="264"/>
      <c r="B334" s="264"/>
      <c r="C334" s="264"/>
      <c r="D334" s="264"/>
      <c r="E334" s="264"/>
      <c r="F334" s="264"/>
      <c r="G334" s="264"/>
      <c r="H334" s="264"/>
      <c r="I334" s="264"/>
      <c r="J334" s="264"/>
      <c r="K334" s="264"/>
      <c r="L334" s="264"/>
      <c r="M334" s="264"/>
      <c r="N334" s="264"/>
      <c r="O334" s="264"/>
      <c r="P334" s="264"/>
      <c r="Q334" s="264"/>
      <c r="R334" s="264"/>
      <c r="S334" s="264"/>
      <c r="T334" s="264"/>
      <c r="U334" s="264"/>
    </row>
    <row r="335">
      <c r="A335" s="264"/>
      <c r="B335" s="264"/>
      <c r="C335" s="264"/>
      <c r="D335" s="264"/>
      <c r="E335" s="264"/>
      <c r="F335" s="264"/>
      <c r="G335" s="264"/>
      <c r="H335" s="264"/>
      <c r="I335" s="264"/>
      <c r="J335" s="264"/>
      <c r="K335" s="264"/>
      <c r="L335" s="264"/>
      <c r="M335" s="264"/>
      <c r="N335" s="264"/>
      <c r="O335" s="264"/>
      <c r="P335" s="264"/>
      <c r="Q335" s="264"/>
      <c r="R335" s="264"/>
      <c r="S335" s="264"/>
      <c r="T335" s="264"/>
      <c r="U335" s="264"/>
    </row>
    <row r="336">
      <c r="A336" s="264"/>
      <c r="B336" s="264"/>
      <c r="C336" s="264"/>
      <c r="D336" s="264"/>
      <c r="E336" s="264"/>
      <c r="F336" s="264"/>
      <c r="G336" s="264"/>
      <c r="H336" s="264"/>
      <c r="I336" s="264"/>
      <c r="J336" s="264"/>
      <c r="K336" s="264"/>
      <c r="L336" s="264"/>
      <c r="M336" s="264"/>
      <c r="N336" s="264"/>
      <c r="O336" s="264"/>
      <c r="P336" s="264"/>
      <c r="Q336" s="264"/>
      <c r="R336" s="264"/>
      <c r="S336" s="264"/>
      <c r="T336" s="264"/>
      <c r="U336" s="264"/>
    </row>
    <row r="337">
      <c r="A337" s="264"/>
      <c r="B337" s="264"/>
      <c r="C337" s="264"/>
      <c r="D337" s="264"/>
      <c r="E337" s="264"/>
      <c r="F337" s="264"/>
      <c r="G337" s="264"/>
      <c r="H337" s="264"/>
      <c r="I337" s="264"/>
      <c r="J337" s="264"/>
      <c r="K337" s="264"/>
      <c r="L337" s="264"/>
      <c r="M337" s="264"/>
      <c r="N337" s="264"/>
      <c r="O337" s="264"/>
      <c r="P337" s="264"/>
      <c r="Q337" s="264"/>
      <c r="R337" s="264"/>
      <c r="S337" s="264"/>
      <c r="T337" s="264"/>
      <c r="U337" s="264"/>
    </row>
    <row r="338">
      <c r="A338" s="264"/>
      <c r="B338" s="264"/>
      <c r="C338" s="264"/>
      <c r="D338" s="264"/>
      <c r="E338" s="264"/>
      <c r="F338" s="264"/>
      <c r="G338" s="264"/>
      <c r="H338" s="264"/>
      <c r="I338" s="264"/>
      <c r="J338" s="264"/>
      <c r="K338" s="264"/>
      <c r="L338" s="264"/>
      <c r="M338" s="264"/>
      <c r="N338" s="264"/>
      <c r="O338" s="264"/>
      <c r="P338" s="264"/>
      <c r="Q338" s="264"/>
      <c r="R338" s="264"/>
      <c r="S338" s="264"/>
      <c r="T338" s="264"/>
      <c r="U338" s="264"/>
    </row>
    <row r="339">
      <c r="A339" s="264"/>
      <c r="B339" s="264"/>
      <c r="C339" s="264"/>
      <c r="D339" s="264"/>
      <c r="E339" s="264"/>
      <c r="F339" s="264"/>
      <c r="G339" s="264"/>
      <c r="H339" s="264"/>
      <c r="I339" s="264"/>
      <c r="J339" s="264"/>
      <c r="K339" s="264"/>
      <c r="L339" s="264"/>
      <c r="M339" s="264"/>
      <c r="N339" s="264"/>
      <c r="O339" s="264"/>
      <c r="P339" s="264"/>
      <c r="Q339" s="264"/>
      <c r="R339" s="264"/>
      <c r="S339" s="264"/>
      <c r="T339" s="264"/>
      <c r="U339" s="264"/>
    </row>
    <row r="340">
      <c r="A340" s="264"/>
      <c r="B340" s="264"/>
      <c r="C340" s="264"/>
      <c r="D340" s="264"/>
      <c r="E340" s="264"/>
      <c r="F340" s="264"/>
      <c r="G340" s="264"/>
      <c r="H340" s="264"/>
      <c r="I340" s="264"/>
      <c r="J340" s="264"/>
      <c r="K340" s="264"/>
      <c r="L340" s="264"/>
      <c r="M340" s="264"/>
      <c r="N340" s="264"/>
      <c r="O340" s="264"/>
      <c r="P340" s="264"/>
      <c r="Q340" s="264"/>
      <c r="R340" s="264"/>
      <c r="S340" s="264"/>
      <c r="T340" s="264"/>
      <c r="U340" s="264"/>
    </row>
    <row r="341">
      <c r="A341" s="264"/>
      <c r="B341" s="264"/>
      <c r="C341" s="264"/>
      <c r="D341" s="264"/>
      <c r="E341" s="264"/>
      <c r="F341" s="264"/>
      <c r="G341" s="264"/>
      <c r="H341" s="264"/>
      <c r="I341" s="264"/>
      <c r="J341" s="264"/>
      <c r="K341" s="264"/>
      <c r="L341" s="264"/>
      <c r="M341" s="264"/>
      <c r="N341" s="264"/>
      <c r="O341" s="264"/>
      <c r="P341" s="264"/>
      <c r="Q341" s="264"/>
      <c r="R341" s="264"/>
      <c r="S341" s="264"/>
      <c r="T341" s="264"/>
      <c r="U341" s="264"/>
    </row>
    <row r="342">
      <c r="A342" s="264"/>
      <c r="B342" s="264"/>
      <c r="C342" s="264"/>
      <c r="D342" s="264"/>
      <c r="E342" s="264"/>
      <c r="F342" s="264"/>
      <c r="G342" s="264"/>
      <c r="H342" s="264"/>
      <c r="I342" s="264"/>
      <c r="J342" s="264"/>
      <c r="K342" s="264"/>
      <c r="L342" s="264"/>
      <c r="M342" s="264"/>
      <c r="N342" s="264"/>
      <c r="O342" s="264"/>
      <c r="P342" s="264"/>
      <c r="Q342" s="264"/>
      <c r="R342" s="264"/>
      <c r="S342" s="264"/>
      <c r="T342" s="264"/>
      <c r="U342" s="264"/>
    </row>
    <row r="343">
      <c r="A343" s="264"/>
      <c r="B343" s="264"/>
      <c r="C343" s="264"/>
      <c r="D343" s="264"/>
      <c r="E343" s="264"/>
      <c r="F343" s="264"/>
      <c r="G343" s="264"/>
      <c r="H343" s="264"/>
      <c r="I343" s="264"/>
      <c r="J343" s="264"/>
      <c r="K343" s="264"/>
      <c r="L343" s="264"/>
      <c r="M343" s="264"/>
      <c r="N343" s="264"/>
      <c r="O343" s="264"/>
      <c r="P343" s="264"/>
      <c r="Q343" s="264"/>
      <c r="R343" s="264"/>
      <c r="S343" s="264"/>
      <c r="T343" s="264"/>
      <c r="U343" s="264"/>
    </row>
    <row r="344">
      <c r="A344" s="264"/>
      <c r="B344" s="264"/>
      <c r="C344" s="264"/>
      <c r="D344" s="264"/>
      <c r="E344" s="264"/>
      <c r="F344" s="264"/>
      <c r="G344" s="264"/>
      <c r="H344" s="264"/>
      <c r="I344" s="264"/>
      <c r="J344" s="264"/>
      <c r="K344" s="264"/>
      <c r="L344" s="264"/>
      <c r="M344" s="264"/>
      <c r="N344" s="264"/>
      <c r="O344" s="264"/>
      <c r="P344" s="264"/>
      <c r="Q344" s="264"/>
      <c r="R344" s="264"/>
      <c r="S344" s="264"/>
      <c r="T344" s="264"/>
      <c r="U344" s="264"/>
    </row>
    <row r="345">
      <c r="A345" s="264"/>
      <c r="B345" s="264"/>
      <c r="C345" s="264"/>
      <c r="D345" s="264"/>
      <c r="E345" s="264"/>
      <c r="F345" s="264"/>
      <c r="G345" s="264"/>
      <c r="H345" s="264"/>
      <c r="I345" s="264"/>
      <c r="J345" s="264"/>
      <c r="K345" s="264"/>
      <c r="L345" s="264"/>
      <c r="M345" s="264"/>
      <c r="N345" s="264"/>
      <c r="O345" s="264"/>
      <c r="P345" s="264"/>
      <c r="Q345" s="264"/>
      <c r="R345" s="264"/>
      <c r="S345" s="264"/>
      <c r="T345" s="264"/>
      <c r="U345" s="264"/>
    </row>
    <row r="346">
      <c r="A346" s="264"/>
      <c r="B346" s="264"/>
      <c r="C346" s="264"/>
      <c r="D346" s="264"/>
      <c r="E346" s="264"/>
      <c r="F346" s="264"/>
      <c r="G346" s="264"/>
      <c r="H346" s="264"/>
      <c r="I346" s="264"/>
      <c r="J346" s="264"/>
      <c r="K346" s="264"/>
      <c r="L346" s="264"/>
      <c r="M346" s="264"/>
      <c r="N346" s="264"/>
      <c r="O346" s="264"/>
      <c r="P346" s="264"/>
      <c r="Q346" s="264"/>
      <c r="R346" s="264"/>
      <c r="S346" s="264"/>
      <c r="T346" s="264"/>
      <c r="U346" s="264"/>
    </row>
    <row r="347">
      <c r="A347" s="264"/>
      <c r="B347" s="264"/>
      <c r="C347" s="264"/>
      <c r="D347" s="264"/>
      <c r="E347" s="264"/>
      <c r="F347" s="264"/>
      <c r="G347" s="264"/>
      <c r="H347" s="264"/>
      <c r="I347" s="264"/>
      <c r="J347" s="264"/>
      <c r="K347" s="264"/>
      <c r="L347" s="264"/>
      <c r="M347" s="264"/>
      <c r="N347" s="264"/>
      <c r="O347" s="264"/>
      <c r="P347" s="264"/>
      <c r="Q347" s="264"/>
      <c r="R347" s="264"/>
      <c r="S347" s="264"/>
      <c r="T347" s="264"/>
      <c r="U347" s="264"/>
    </row>
    <row r="348">
      <c r="A348" s="264"/>
      <c r="B348" s="264"/>
      <c r="C348" s="264"/>
      <c r="D348" s="264"/>
      <c r="E348" s="264"/>
      <c r="F348" s="264"/>
      <c r="G348" s="264"/>
      <c r="H348" s="264"/>
      <c r="I348" s="264"/>
      <c r="J348" s="264"/>
      <c r="K348" s="264"/>
      <c r="L348" s="264"/>
      <c r="M348" s="264"/>
      <c r="N348" s="264"/>
      <c r="O348" s="264"/>
      <c r="P348" s="264"/>
      <c r="Q348" s="264"/>
      <c r="R348" s="264"/>
      <c r="S348" s="264"/>
      <c r="T348" s="264"/>
      <c r="U348" s="264"/>
    </row>
    <row r="349">
      <c r="A349" s="264"/>
      <c r="B349" s="264"/>
      <c r="C349" s="264"/>
      <c r="D349" s="264"/>
      <c r="E349" s="264"/>
      <c r="F349" s="264"/>
      <c r="G349" s="264"/>
      <c r="H349" s="264"/>
      <c r="I349" s="264"/>
      <c r="J349" s="264"/>
      <c r="K349" s="264"/>
      <c r="L349" s="264"/>
      <c r="M349" s="264"/>
      <c r="N349" s="264"/>
      <c r="O349" s="264"/>
      <c r="P349" s="264"/>
      <c r="Q349" s="264"/>
      <c r="R349" s="264"/>
      <c r="S349" s="264"/>
      <c r="T349" s="264"/>
      <c r="U349" s="264"/>
    </row>
    <row r="350">
      <c r="A350" s="264"/>
      <c r="B350" s="264"/>
      <c r="C350" s="264"/>
      <c r="D350" s="264"/>
      <c r="E350" s="264"/>
      <c r="F350" s="264"/>
      <c r="G350" s="264"/>
      <c r="H350" s="264"/>
      <c r="I350" s="264"/>
      <c r="J350" s="264"/>
      <c r="K350" s="264"/>
      <c r="L350" s="264"/>
      <c r="M350" s="264"/>
      <c r="N350" s="264"/>
      <c r="O350" s="264"/>
      <c r="P350" s="264"/>
      <c r="Q350" s="264"/>
      <c r="R350" s="264"/>
      <c r="S350" s="264"/>
      <c r="T350" s="264"/>
      <c r="U350" s="264"/>
    </row>
    <row r="351">
      <c r="A351" s="264"/>
      <c r="B351" s="264"/>
      <c r="C351" s="264"/>
      <c r="D351" s="264"/>
      <c r="E351" s="264"/>
      <c r="F351" s="264"/>
      <c r="G351" s="264"/>
      <c r="H351" s="264"/>
      <c r="I351" s="264"/>
      <c r="J351" s="264"/>
      <c r="K351" s="264"/>
      <c r="L351" s="264"/>
      <c r="M351" s="264"/>
      <c r="N351" s="264"/>
      <c r="O351" s="264"/>
      <c r="P351" s="264"/>
      <c r="Q351" s="264"/>
      <c r="R351" s="264"/>
      <c r="S351" s="264"/>
      <c r="T351" s="264"/>
      <c r="U351" s="264"/>
    </row>
    <row r="352">
      <c r="A352" s="264"/>
      <c r="B352" s="264"/>
      <c r="C352" s="264"/>
      <c r="D352" s="264"/>
      <c r="E352" s="264"/>
      <c r="F352" s="264"/>
      <c r="G352" s="264"/>
      <c r="H352" s="264"/>
      <c r="I352" s="264"/>
      <c r="J352" s="264"/>
      <c r="K352" s="264"/>
      <c r="L352" s="264"/>
      <c r="M352" s="264"/>
      <c r="N352" s="264"/>
      <c r="O352" s="264"/>
      <c r="P352" s="264"/>
      <c r="Q352" s="264"/>
      <c r="R352" s="264"/>
      <c r="S352" s="264"/>
      <c r="T352" s="264"/>
      <c r="U352" s="264"/>
    </row>
    <row r="353">
      <c r="A353" s="264"/>
      <c r="B353" s="264"/>
      <c r="C353" s="264"/>
      <c r="D353" s="264"/>
      <c r="E353" s="264"/>
      <c r="F353" s="264"/>
      <c r="G353" s="264"/>
      <c r="H353" s="264"/>
      <c r="I353" s="264"/>
      <c r="J353" s="264"/>
      <c r="K353" s="264"/>
      <c r="L353" s="264"/>
      <c r="M353" s="264"/>
      <c r="N353" s="264"/>
      <c r="O353" s="264"/>
      <c r="P353" s="264"/>
      <c r="Q353" s="264"/>
      <c r="R353" s="264"/>
      <c r="S353" s="264"/>
      <c r="T353" s="264"/>
      <c r="U353" s="264"/>
    </row>
    <row r="354">
      <c r="A354" s="264"/>
      <c r="B354" s="264"/>
      <c r="C354" s="264"/>
      <c r="D354" s="264"/>
      <c r="E354" s="264"/>
      <c r="F354" s="264"/>
      <c r="G354" s="264"/>
      <c r="H354" s="264"/>
      <c r="I354" s="264"/>
      <c r="J354" s="264"/>
      <c r="K354" s="264"/>
      <c r="L354" s="264"/>
      <c r="M354" s="264"/>
      <c r="N354" s="264"/>
      <c r="O354" s="264"/>
      <c r="P354" s="264"/>
      <c r="Q354" s="264"/>
      <c r="R354" s="264"/>
      <c r="S354" s="264"/>
      <c r="T354" s="264"/>
      <c r="U354" s="264"/>
    </row>
    <row r="355">
      <c r="A355" s="264"/>
      <c r="B355" s="264"/>
      <c r="C355" s="264"/>
      <c r="D355" s="264"/>
      <c r="E355" s="264"/>
      <c r="F355" s="264"/>
      <c r="G355" s="264"/>
      <c r="H355" s="264"/>
      <c r="I355" s="264"/>
      <c r="J355" s="264"/>
      <c r="K355" s="264"/>
      <c r="L355" s="264"/>
      <c r="M355" s="264"/>
      <c r="N355" s="264"/>
      <c r="O355" s="264"/>
      <c r="P355" s="264"/>
      <c r="Q355" s="264"/>
      <c r="R355" s="264"/>
      <c r="S355" s="264"/>
      <c r="T355" s="264"/>
      <c r="U355" s="264"/>
    </row>
    <row r="356">
      <c r="A356" s="264"/>
      <c r="B356" s="264"/>
      <c r="C356" s="264"/>
      <c r="D356" s="264"/>
      <c r="E356" s="264"/>
      <c r="F356" s="264"/>
      <c r="G356" s="264"/>
      <c r="H356" s="264"/>
      <c r="I356" s="264"/>
      <c r="J356" s="264"/>
      <c r="K356" s="264"/>
      <c r="L356" s="264"/>
      <c r="M356" s="264"/>
      <c r="N356" s="264"/>
      <c r="O356" s="264"/>
      <c r="P356" s="264"/>
      <c r="Q356" s="264"/>
      <c r="R356" s="264"/>
      <c r="S356" s="264"/>
      <c r="T356" s="264"/>
      <c r="U356" s="264"/>
    </row>
    <row r="357">
      <c r="A357" s="264"/>
      <c r="B357" s="264"/>
      <c r="C357" s="264"/>
      <c r="D357" s="264"/>
      <c r="E357" s="264"/>
      <c r="F357" s="264"/>
      <c r="G357" s="264"/>
      <c r="H357" s="264"/>
      <c r="I357" s="264"/>
      <c r="J357" s="264"/>
      <c r="K357" s="264"/>
      <c r="L357" s="264"/>
      <c r="M357" s="264"/>
      <c r="N357" s="264"/>
      <c r="O357" s="264"/>
      <c r="P357" s="264"/>
      <c r="Q357" s="264"/>
      <c r="R357" s="264"/>
      <c r="S357" s="264"/>
      <c r="T357" s="264"/>
      <c r="U357" s="264"/>
    </row>
    <row r="358">
      <c r="A358" s="264"/>
      <c r="B358" s="264"/>
      <c r="C358" s="264"/>
      <c r="D358" s="264"/>
      <c r="E358" s="264"/>
      <c r="F358" s="264"/>
      <c r="G358" s="264"/>
      <c r="H358" s="264"/>
      <c r="I358" s="264"/>
      <c r="J358" s="264"/>
      <c r="K358" s="264"/>
      <c r="L358" s="264"/>
      <c r="M358" s="264"/>
      <c r="N358" s="264"/>
      <c r="O358" s="264"/>
      <c r="P358" s="264"/>
      <c r="Q358" s="264"/>
      <c r="R358" s="264"/>
      <c r="S358" s="264"/>
      <c r="T358" s="264"/>
      <c r="U358" s="264"/>
    </row>
    <row r="359">
      <c r="A359" s="264"/>
      <c r="B359" s="264"/>
      <c r="C359" s="264"/>
      <c r="D359" s="264"/>
      <c r="E359" s="264"/>
      <c r="F359" s="264"/>
      <c r="G359" s="264"/>
      <c r="H359" s="264"/>
      <c r="I359" s="264"/>
      <c r="J359" s="264"/>
      <c r="K359" s="264"/>
      <c r="L359" s="264"/>
      <c r="M359" s="264"/>
      <c r="N359" s="264"/>
      <c r="O359" s="264"/>
      <c r="P359" s="264"/>
      <c r="Q359" s="264"/>
      <c r="R359" s="264"/>
      <c r="S359" s="264"/>
      <c r="T359" s="264"/>
      <c r="U359" s="264"/>
    </row>
    <row r="360">
      <c r="A360" s="264"/>
      <c r="B360" s="264"/>
      <c r="C360" s="264"/>
      <c r="D360" s="264"/>
      <c r="E360" s="264"/>
      <c r="F360" s="264"/>
      <c r="G360" s="264"/>
      <c r="H360" s="264"/>
      <c r="I360" s="264"/>
      <c r="J360" s="264"/>
      <c r="K360" s="264"/>
      <c r="L360" s="264"/>
      <c r="M360" s="264"/>
      <c r="N360" s="264"/>
      <c r="O360" s="264"/>
      <c r="P360" s="264"/>
      <c r="Q360" s="264"/>
      <c r="R360" s="264"/>
      <c r="S360" s="264"/>
      <c r="T360" s="264"/>
      <c r="U360" s="264"/>
    </row>
    <row r="361">
      <c r="A361" s="264"/>
      <c r="B361" s="264"/>
      <c r="C361" s="264"/>
      <c r="D361" s="264"/>
      <c r="E361" s="264"/>
      <c r="F361" s="264"/>
      <c r="G361" s="264"/>
      <c r="H361" s="264"/>
      <c r="I361" s="264"/>
      <c r="J361" s="264"/>
      <c r="K361" s="264"/>
      <c r="L361" s="264"/>
      <c r="M361" s="264"/>
      <c r="N361" s="264"/>
      <c r="O361" s="264"/>
      <c r="P361" s="264"/>
      <c r="Q361" s="264"/>
      <c r="R361" s="264"/>
      <c r="S361" s="264"/>
      <c r="T361" s="264"/>
      <c r="U361" s="264"/>
    </row>
    <row r="362">
      <c r="A362" s="264"/>
      <c r="B362" s="264"/>
      <c r="C362" s="264"/>
      <c r="D362" s="264"/>
      <c r="E362" s="264"/>
      <c r="F362" s="264"/>
      <c r="G362" s="264"/>
      <c r="H362" s="264"/>
      <c r="I362" s="264"/>
      <c r="J362" s="264"/>
      <c r="K362" s="264"/>
      <c r="L362" s="264"/>
      <c r="M362" s="264"/>
      <c r="N362" s="264"/>
      <c r="O362" s="264"/>
      <c r="P362" s="264"/>
      <c r="Q362" s="264"/>
      <c r="R362" s="264"/>
      <c r="S362" s="264"/>
      <c r="T362" s="264"/>
      <c r="U362" s="264"/>
    </row>
    <row r="363">
      <c r="A363" s="264"/>
      <c r="B363" s="264"/>
      <c r="C363" s="264"/>
      <c r="D363" s="264"/>
      <c r="E363" s="264"/>
      <c r="F363" s="264"/>
      <c r="G363" s="264"/>
      <c r="H363" s="264"/>
      <c r="I363" s="264"/>
      <c r="J363" s="264"/>
      <c r="K363" s="264"/>
      <c r="L363" s="264"/>
      <c r="M363" s="264"/>
      <c r="N363" s="264"/>
      <c r="O363" s="264"/>
      <c r="P363" s="264"/>
      <c r="Q363" s="264"/>
      <c r="R363" s="264"/>
      <c r="S363" s="264"/>
      <c r="T363" s="264"/>
      <c r="U363" s="264"/>
    </row>
    <row r="364">
      <c r="A364" s="264"/>
      <c r="B364" s="264"/>
      <c r="C364" s="264"/>
      <c r="D364" s="264"/>
      <c r="E364" s="264"/>
      <c r="F364" s="264"/>
      <c r="G364" s="264"/>
      <c r="H364" s="264"/>
      <c r="I364" s="264"/>
      <c r="J364" s="264"/>
      <c r="K364" s="264"/>
      <c r="L364" s="264"/>
      <c r="M364" s="264"/>
      <c r="N364" s="264"/>
      <c r="O364" s="264"/>
      <c r="P364" s="264"/>
      <c r="Q364" s="264"/>
      <c r="R364" s="264"/>
      <c r="S364" s="264"/>
      <c r="T364" s="264"/>
      <c r="U364" s="264"/>
    </row>
    <row r="365">
      <c r="A365" s="264"/>
      <c r="B365" s="264"/>
      <c r="C365" s="264"/>
      <c r="D365" s="264"/>
      <c r="E365" s="264"/>
      <c r="F365" s="264"/>
      <c r="G365" s="264"/>
      <c r="H365" s="264"/>
      <c r="I365" s="264"/>
      <c r="J365" s="264"/>
      <c r="K365" s="264"/>
      <c r="L365" s="264"/>
      <c r="M365" s="264"/>
      <c r="N365" s="264"/>
      <c r="O365" s="264"/>
      <c r="P365" s="264"/>
      <c r="Q365" s="264"/>
      <c r="R365" s="264"/>
      <c r="S365" s="264"/>
      <c r="T365" s="264"/>
      <c r="U365" s="264"/>
    </row>
    <row r="366">
      <c r="A366" s="264"/>
      <c r="B366" s="264"/>
      <c r="C366" s="264"/>
      <c r="D366" s="264"/>
      <c r="E366" s="264"/>
      <c r="F366" s="264"/>
      <c r="G366" s="264"/>
      <c r="H366" s="264"/>
      <c r="I366" s="264"/>
      <c r="J366" s="264"/>
      <c r="K366" s="264"/>
      <c r="L366" s="264"/>
      <c r="M366" s="264"/>
      <c r="N366" s="264"/>
      <c r="O366" s="264"/>
      <c r="P366" s="264"/>
      <c r="Q366" s="264"/>
      <c r="R366" s="264"/>
      <c r="S366" s="264"/>
      <c r="T366" s="264"/>
      <c r="U366" s="264"/>
    </row>
    <row r="367">
      <c r="A367" s="264"/>
      <c r="B367" s="264"/>
      <c r="C367" s="264"/>
      <c r="D367" s="264"/>
      <c r="E367" s="264"/>
      <c r="F367" s="264"/>
      <c r="G367" s="264"/>
      <c r="H367" s="264"/>
      <c r="I367" s="264"/>
      <c r="J367" s="264"/>
      <c r="K367" s="264"/>
      <c r="L367" s="264"/>
      <c r="M367" s="264"/>
      <c r="N367" s="264"/>
      <c r="O367" s="264"/>
      <c r="P367" s="264"/>
      <c r="Q367" s="264"/>
      <c r="R367" s="264"/>
      <c r="S367" s="264"/>
      <c r="T367" s="264"/>
      <c r="U367" s="264"/>
    </row>
    <row r="368">
      <c r="A368" s="264"/>
      <c r="B368" s="264"/>
      <c r="C368" s="264"/>
      <c r="D368" s="264"/>
      <c r="E368" s="264"/>
      <c r="F368" s="264"/>
      <c r="G368" s="264"/>
      <c r="H368" s="264"/>
      <c r="I368" s="264"/>
      <c r="J368" s="264"/>
      <c r="K368" s="264"/>
      <c r="L368" s="264"/>
      <c r="M368" s="264"/>
      <c r="N368" s="264"/>
      <c r="O368" s="264"/>
      <c r="P368" s="264"/>
      <c r="Q368" s="264"/>
      <c r="R368" s="264"/>
      <c r="S368" s="264"/>
      <c r="T368" s="264"/>
      <c r="U368" s="264"/>
    </row>
    <row r="369">
      <c r="A369" s="264"/>
      <c r="B369" s="264"/>
      <c r="C369" s="264"/>
      <c r="D369" s="264"/>
      <c r="E369" s="264"/>
      <c r="F369" s="264"/>
      <c r="G369" s="264"/>
      <c r="H369" s="264"/>
      <c r="I369" s="264"/>
      <c r="J369" s="264"/>
      <c r="K369" s="264"/>
      <c r="L369" s="264"/>
      <c r="M369" s="264"/>
      <c r="N369" s="264"/>
      <c r="O369" s="264"/>
      <c r="P369" s="264"/>
      <c r="Q369" s="264"/>
      <c r="R369" s="264"/>
      <c r="S369" s="264"/>
      <c r="T369" s="264"/>
      <c r="U369" s="264"/>
    </row>
    <row r="370">
      <c r="A370" s="264"/>
      <c r="B370" s="264"/>
      <c r="C370" s="264"/>
      <c r="D370" s="264"/>
      <c r="E370" s="264"/>
      <c r="F370" s="264"/>
      <c r="G370" s="264"/>
      <c r="H370" s="264"/>
      <c r="I370" s="264"/>
      <c r="J370" s="264"/>
      <c r="K370" s="264"/>
      <c r="L370" s="264"/>
      <c r="M370" s="264"/>
      <c r="N370" s="264"/>
      <c r="O370" s="264"/>
      <c r="P370" s="264"/>
      <c r="Q370" s="264"/>
      <c r="R370" s="264"/>
      <c r="S370" s="264"/>
      <c r="T370" s="264"/>
      <c r="U370" s="264"/>
    </row>
    <row r="371">
      <c r="A371" s="264"/>
      <c r="B371" s="264"/>
      <c r="C371" s="264"/>
      <c r="D371" s="264"/>
      <c r="E371" s="264"/>
      <c r="F371" s="264"/>
      <c r="G371" s="264"/>
      <c r="H371" s="264"/>
      <c r="I371" s="264"/>
      <c r="J371" s="264"/>
      <c r="K371" s="264"/>
      <c r="L371" s="264"/>
      <c r="M371" s="264"/>
      <c r="N371" s="264"/>
      <c r="O371" s="264"/>
      <c r="P371" s="264"/>
      <c r="Q371" s="264"/>
      <c r="R371" s="264"/>
      <c r="S371" s="264"/>
      <c r="T371" s="264"/>
      <c r="U371" s="264"/>
    </row>
    <row r="372">
      <c r="A372" s="264"/>
      <c r="B372" s="264"/>
      <c r="C372" s="264"/>
      <c r="D372" s="264"/>
      <c r="E372" s="264"/>
      <c r="F372" s="264"/>
      <c r="G372" s="264"/>
      <c r="H372" s="264"/>
      <c r="I372" s="264"/>
      <c r="J372" s="264"/>
      <c r="K372" s="264"/>
      <c r="L372" s="264"/>
      <c r="M372" s="264"/>
      <c r="N372" s="264"/>
      <c r="O372" s="264"/>
      <c r="P372" s="264"/>
      <c r="Q372" s="264"/>
      <c r="R372" s="264"/>
      <c r="S372" s="264"/>
      <c r="T372" s="264"/>
      <c r="U372" s="264"/>
    </row>
    <row r="373">
      <c r="A373" s="264"/>
      <c r="B373" s="264"/>
      <c r="C373" s="264"/>
      <c r="D373" s="264"/>
      <c r="E373" s="264"/>
      <c r="F373" s="264"/>
      <c r="G373" s="264"/>
      <c r="H373" s="264"/>
      <c r="I373" s="264"/>
      <c r="J373" s="264"/>
      <c r="K373" s="264"/>
      <c r="L373" s="264"/>
      <c r="M373" s="264"/>
      <c r="N373" s="264"/>
      <c r="O373" s="264"/>
      <c r="P373" s="264"/>
      <c r="Q373" s="264"/>
      <c r="R373" s="264"/>
      <c r="S373" s="264"/>
      <c r="T373" s="264"/>
      <c r="U373" s="264"/>
    </row>
    <row r="374">
      <c r="A374" s="264"/>
      <c r="B374" s="264"/>
      <c r="C374" s="264"/>
      <c r="D374" s="264"/>
      <c r="E374" s="264"/>
      <c r="F374" s="264"/>
      <c r="G374" s="264"/>
      <c r="H374" s="264"/>
      <c r="I374" s="264"/>
      <c r="J374" s="264"/>
      <c r="K374" s="264"/>
      <c r="L374" s="264"/>
      <c r="M374" s="264"/>
      <c r="N374" s="264"/>
      <c r="O374" s="264"/>
      <c r="P374" s="264"/>
      <c r="Q374" s="264"/>
      <c r="R374" s="264"/>
      <c r="S374" s="264"/>
      <c r="T374" s="264"/>
      <c r="U374" s="264"/>
    </row>
    <row r="375">
      <c r="A375" s="264"/>
      <c r="B375" s="264"/>
      <c r="C375" s="264"/>
      <c r="D375" s="264"/>
      <c r="E375" s="264"/>
      <c r="F375" s="264"/>
      <c r="G375" s="264"/>
      <c r="H375" s="264"/>
      <c r="I375" s="264"/>
      <c r="J375" s="264"/>
      <c r="K375" s="264"/>
      <c r="L375" s="264"/>
      <c r="M375" s="264"/>
      <c r="N375" s="264"/>
      <c r="O375" s="264"/>
      <c r="P375" s="264"/>
      <c r="Q375" s="264"/>
      <c r="R375" s="264"/>
      <c r="S375" s="264"/>
      <c r="T375" s="264"/>
      <c r="U375" s="264"/>
    </row>
    <row r="376">
      <c r="A376" s="264"/>
      <c r="B376" s="264"/>
      <c r="C376" s="264"/>
      <c r="D376" s="264"/>
      <c r="E376" s="264"/>
      <c r="F376" s="264"/>
      <c r="G376" s="264"/>
      <c r="H376" s="264"/>
      <c r="I376" s="264"/>
      <c r="J376" s="264"/>
      <c r="K376" s="264"/>
      <c r="L376" s="264"/>
      <c r="M376" s="264"/>
      <c r="N376" s="264"/>
      <c r="O376" s="264"/>
      <c r="P376" s="264"/>
      <c r="Q376" s="264"/>
      <c r="R376" s="264"/>
      <c r="S376" s="264"/>
      <c r="T376" s="264"/>
      <c r="U376" s="264"/>
    </row>
    <row r="377">
      <c r="A377" s="264"/>
      <c r="B377" s="264"/>
      <c r="C377" s="264"/>
      <c r="D377" s="264"/>
      <c r="E377" s="264"/>
      <c r="F377" s="264"/>
      <c r="G377" s="264"/>
      <c r="H377" s="264"/>
      <c r="I377" s="264"/>
      <c r="J377" s="264"/>
      <c r="K377" s="264"/>
      <c r="L377" s="264"/>
      <c r="M377" s="264"/>
      <c r="N377" s="264"/>
      <c r="O377" s="264"/>
      <c r="P377" s="264"/>
      <c r="Q377" s="264"/>
      <c r="R377" s="264"/>
      <c r="S377" s="264"/>
      <c r="T377" s="264"/>
      <c r="U377" s="264"/>
    </row>
    <row r="378">
      <c r="A378" s="264"/>
      <c r="B378" s="264"/>
      <c r="C378" s="264"/>
      <c r="D378" s="264"/>
      <c r="E378" s="264"/>
      <c r="F378" s="264"/>
      <c r="G378" s="264"/>
      <c r="H378" s="264"/>
      <c r="I378" s="264"/>
      <c r="J378" s="264"/>
      <c r="K378" s="264"/>
      <c r="L378" s="264"/>
      <c r="M378" s="264"/>
      <c r="N378" s="264"/>
      <c r="O378" s="264"/>
      <c r="P378" s="264"/>
      <c r="Q378" s="264"/>
      <c r="R378" s="264"/>
      <c r="S378" s="264"/>
      <c r="T378" s="264"/>
      <c r="U378" s="264"/>
    </row>
    <row r="379">
      <c r="A379" s="264"/>
      <c r="B379" s="264"/>
      <c r="C379" s="264"/>
      <c r="D379" s="264"/>
      <c r="E379" s="264"/>
      <c r="F379" s="264"/>
      <c r="G379" s="264"/>
      <c r="H379" s="264"/>
      <c r="I379" s="264"/>
      <c r="J379" s="264"/>
      <c r="K379" s="264"/>
      <c r="L379" s="264"/>
      <c r="M379" s="264"/>
      <c r="N379" s="264"/>
      <c r="O379" s="264"/>
      <c r="P379" s="264"/>
      <c r="Q379" s="264"/>
      <c r="R379" s="264"/>
      <c r="S379" s="264"/>
      <c r="T379" s="264"/>
      <c r="U379" s="264"/>
    </row>
    <row r="380">
      <c r="A380" s="264"/>
      <c r="B380" s="264"/>
      <c r="C380" s="264"/>
      <c r="D380" s="264"/>
      <c r="E380" s="264"/>
      <c r="F380" s="264"/>
      <c r="G380" s="264"/>
      <c r="H380" s="264"/>
      <c r="I380" s="264"/>
      <c r="J380" s="264"/>
      <c r="K380" s="264"/>
      <c r="L380" s="264"/>
      <c r="M380" s="264"/>
      <c r="N380" s="264"/>
      <c r="O380" s="264"/>
      <c r="P380" s="264"/>
      <c r="Q380" s="264"/>
      <c r="R380" s="264"/>
      <c r="S380" s="264"/>
      <c r="T380" s="264"/>
      <c r="U380" s="264"/>
    </row>
    <row r="381">
      <c r="A381" s="264"/>
      <c r="B381" s="264"/>
      <c r="C381" s="264"/>
      <c r="D381" s="264"/>
      <c r="E381" s="264"/>
      <c r="F381" s="264"/>
      <c r="G381" s="264"/>
      <c r="H381" s="264"/>
      <c r="I381" s="264"/>
      <c r="J381" s="264"/>
      <c r="K381" s="264"/>
      <c r="L381" s="264"/>
      <c r="M381" s="264"/>
      <c r="N381" s="264"/>
      <c r="O381" s="264"/>
      <c r="P381" s="264"/>
      <c r="Q381" s="264"/>
      <c r="R381" s="264"/>
      <c r="S381" s="264"/>
      <c r="T381" s="264"/>
      <c r="U381" s="264"/>
    </row>
    <row r="382">
      <c r="A382" s="264"/>
      <c r="B382" s="264"/>
      <c r="C382" s="264"/>
      <c r="D382" s="264"/>
      <c r="E382" s="264"/>
      <c r="F382" s="264"/>
      <c r="G382" s="264"/>
      <c r="H382" s="264"/>
      <c r="I382" s="264"/>
      <c r="J382" s="264"/>
      <c r="K382" s="264"/>
      <c r="L382" s="264"/>
      <c r="M382" s="264"/>
      <c r="N382" s="264"/>
      <c r="O382" s="264"/>
      <c r="P382" s="264"/>
      <c r="Q382" s="264"/>
      <c r="R382" s="264"/>
      <c r="S382" s="264"/>
      <c r="T382" s="264"/>
      <c r="U382" s="264"/>
    </row>
    <row r="383">
      <c r="A383" s="264"/>
      <c r="B383" s="264"/>
      <c r="C383" s="264"/>
      <c r="D383" s="264"/>
      <c r="E383" s="264"/>
      <c r="F383" s="264"/>
      <c r="G383" s="264"/>
      <c r="H383" s="264"/>
      <c r="I383" s="264"/>
      <c r="J383" s="264"/>
      <c r="K383" s="264"/>
      <c r="L383" s="264"/>
      <c r="M383" s="264"/>
      <c r="N383" s="264"/>
      <c r="O383" s="264"/>
      <c r="P383" s="264"/>
      <c r="Q383" s="264"/>
      <c r="R383" s="264"/>
      <c r="S383" s="264"/>
      <c r="T383" s="264"/>
      <c r="U383" s="264"/>
    </row>
    <row r="384">
      <c r="A384" s="264"/>
      <c r="B384" s="264"/>
      <c r="C384" s="264"/>
      <c r="D384" s="264"/>
      <c r="E384" s="264"/>
      <c r="F384" s="264"/>
      <c r="G384" s="264"/>
      <c r="H384" s="264"/>
      <c r="I384" s="264"/>
      <c r="J384" s="264"/>
      <c r="K384" s="264"/>
      <c r="L384" s="264"/>
      <c r="M384" s="264"/>
      <c r="N384" s="264"/>
      <c r="O384" s="264"/>
      <c r="P384" s="264"/>
      <c r="Q384" s="264"/>
      <c r="R384" s="264"/>
      <c r="S384" s="264"/>
      <c r="T384" s="264"/>
      <c r="U384" s="264"/>
    </row>
    <row r="385">
      <c r="A385" s="264"/>
      <c r="B385" s="264"/>
      <c r="C385" s="264"/>
      <c r="D385" s="264"/>
      <c r="E385" s="264"/>
      <c r="F385" s="264"/>
      <c r="G385" s="264"/>
      <c r="H385" s="264"/>
      <c r="I385" s="264"/>
      <c r="J385" s="264"/>
      <c r="K385" s="264"/>
      <c r="L385" s="264"/>
      <c r="M385" s="264"/>
      <c r="N385" s="264"/>
      <c r="O385" s="264"/>
      <c r="P385" s="264"/>
      <c r="Q385" s="264"/>
      <c r="R385" s="264"/>
      <c r="S385" s="264"/>
      <c r="T385" s="264"/>
      <c r="U385" s="264"/>
    </row>
    <row r="386">
      <c r="A386" s="264"/>
      <c r="B386" s="264"/>
      <c r="C386" s="264"/>
      <c r="D386" s="264"/>
      <c r="E386" s="264"/>
      <c r="F386" s="264"/>
      <c r="G386" s="264"/>
      <c r="H386" s="264"/>
      <c r="I386" s="264"/>
      <c r="J386" s="264"/>
      <c r="K386" s="264"/>
      <c r="L386" s="264"/>
      <c r="M386" s="264"/>
      <c r="N386" s="264"/>
      <c r="O386" s="264"/>
      <c r="P386" s="264"/>
      <c r="Q386" s="264"/>
      <c r="R386" s="264"/>
      <c r="S386" s="264"/>
      <c r="T386" s="264"/>
      <c r="U386" s="264"/>
    </row>
    <row r="387">
      <c r="A387" s="264"/>
      <c r="B387" s="264"/>
      <c r="C387" s="264"/>
      <c r="D387" s="264"/>
      <c r="E387" s="264"/>
      <c r="F387" s="264"/>
      <c r="G387" s="264"/>
      <c r="H387" s="264"/>
      <c r="I387" s="264"/>
      <c r="J387" s="264"/>
      <c r="K387" s="264"/>
      <c r="L387" s="264"/>
      <c r="M387" s="264"/>
      <c r="N387" s="264"/>
      <c r="O387" s="264"/>
      <c r="P387" s="264"/>
      <c r="Q387" s="264"/>
      <c r="R387" s="264"/>
      <c r="S387" s="264"/>
      <c r="T387" s="264"/>
      <c r="U387" s="264"/>
    </row>
    <row r="388">
      <c r="A388" s="264"/>
      <c r="B388" s="264"/>
      <c r="C388" s="264"/>
      <c r="D388" s="264"/>
      <c r="E388" s="264"/>
      <c r="F388" s="264"/>
      <c r="G388" s="264"/>
      <c r="H388" s="264"/>
      <c r="I388" s="264"/>
      <c r="J388" s="264"/>
      <c r="K388" s="264"/>
      <c r="L388" s="264"/>
      <c r="M388" s="264"/>
      <c r="N388" s="264"/>
      <c r="O388" s="264"/>
      <c r="P388" s="264"/>
      <c r="Q388" s="264"/>
      <c r="R388" s="264"/>
      <c r="S388" s="264"/>
      <c r="T388" s="264"/>
      <c r="U388" s="264"/>
    </row>
    <row r="389">
      <c r="A389" s="264"/>
      <c r="B389" s="264"/>
      <c r="C389" s="264"/>
      <c r="D389" s="264"/>
      <c r="E389" s="264"/>
      <c r="F389" s="264"/>
      <c r="G389" s="264"/>
      <c r="H389" s="264"/>
      <c r="I389" s="264"/>
      <c r="J389" s="264"/>
      <c r="K389" s="264"/>
      <c r="L389" s="264"/>
      <c r="M389" s="264"/>
      <c r="N389" s="264"/>
      <c r="O389" s="264"/>
      <c r="P389" s="264"/>
      <c r="Q389" s="264"/>
      <c r="R389" s="264"/>
      <c r="S389" s="264"/>
      <c r="T389" s="264"/>
      <c r="U389" s="264"/>
    </row>
    <row r="390">
      <c r="A390" s="264"/>
      <c r="B390" s="264"/>
      <c r="C390" s="264"/>
      <c r="D390" s="264"/>
      <c r="E390" s="264"/>
      <c r="F390" s="264"/>
      <c r="G390" s="264"/>
      <c r="H390" s="264"/>
      <c r="I390" s="264"/>
      <c r="J390" s="264"/>
      <c r="K390" s="264"/>
      <c r="L390" s="264"/>
      <c r="M390" s="264"/>
      <c r="N390" s="264"/>
      <c r="O390" s="264"/>
      <c r="P390" s="264"/>
      <c r="Q390" s="264"/>
      <c r="R390" s="264"/>
      <c r="S390" s="264"/>
      <c r="T390" s="264"/>
      <c r="U390" s="264"/>
    </row>
    <row r="391">
      <c r="A391" s="264"/>
      <c r="B391" s="264"/>
      <c r="C391" s="264"/>
      <c r="D391" s="264"/>
      <c r="E391" s="264"/>
      <c r="F391" s="264"/>
      <c r="G391" s="264"/>
      <c r="H391" s="264"/>
      <c r="I391" s="264"/>
      <c r="J391" s="264"/>
      <c r="K391" s="264"/>
      <c r="L391" s="264"/>
      <c r="M391" s="264"/>
      <c r="N391" s="264"/>
      <c r="O391" s="264"/>
      <c r="P391" s="264"/>
      <c r="Q391" s="264"/>
      <c r="R391" s="264"/>
      <c r="S391" s="264"/>
      <c r="T391" s="264"/>
      <c r="U391" s="264"/>
    </row>
    <row r="392">
      <c r="A392" s="264"/>
      <c r="B392" s="264"/>
      <c r="C392" s="264"/>
      <c r="D392" s="264"/>
      <c r="E392" s="264"/>
      <c r="F392" s="264"/>
      <c r="G392" s="264"/>
      <c r="H392" s="264"/>
      <c r="I392" s="264"/>
      <c r="J392" s="264"/>
      <c r="K392" s="264"/>
      <c r="L392" s="264"/>
      <c r="M392" s="264"/>
      <c r="N392" s="264"/>
      <c r="O392" s="264"/>
      <c r="P392" s="264"/>
      <c r="Q392" s="264"/>
      <c r="R392" s="264"/>
      <c r="S392" s="264"/>
      <c r="T392" s="264"/>
      <c r="U392" s="264"/>
    </row>
    <row r="393">
      <c r="A393" s="264"/>
      <c r="B393" s="264"/>
      <c r="C393" s="264"/>
      <c r="D393" s="264"/>
      <c r="E393" s="264"/>
      <c r="F393" s="264"/>
      <c r="G393" s="264"/>
      <c r="H393" s="264"/>
      <c r="I393" s="264"/>
      <c r="J393" s="264"/>
      <c r="K393" s="264"/>
      <c r="L393" s="264"/>
      <c r="M393" s="264"/>
      <c r="N393" s="264"/>
      <c r="O393" s="264"/>
      <c r="P393" s="264"/>
      <c r="Q393" s="264"/>
      <c r="R393" s="264"/>
      <c r="S393" s="264"/>
      <c r="T393" s="264"/>
      <c r="U393" s="264"/>
    </row>
    <row r="394">
      <c r="A394" s="264"/>
      <c r="B394" s="264"/>
      <c r="C394" s="264"/>
      <c r="D394" s="264"/>
      <c r="E394" s="264"/>
      <c r="F394" s="264"/>
      <c r="G394" s="264"/>
      <c r="H394" s="264"/>
      <c r="I394" s="264"/>
      <c r="J394" s="264"/>
      <c r="K394" s="264"/>
      <c r="L394" s="264"/>
      <c r="M394" s="264"/>
      <c r="N394" s="264"/>
      <c r="O394" s="264"/>
      <c r="P394" s="264"/>
      <c r="Q394" s="264"/>
      <c r="R394" s="264"/>
      <c r="S394" s="264"/>
      <c r="T394" s="264"/>
      <c r="U394" s="264"/>
    </row>
    <row r="395">
      <c r="A395" s="264"/>
      <c r="B395" s="264"/>
      <c r="C395" s="264"/>
      <c r="D395" s="264"/>
      <c r="E395" s="264"/>
      <c r="F395" s="264"/>
      <c r="G395" s="264"/>
      <c r="H395" s="264"/>
      <c r="I395" s="264"/>
      <c r="J395" s="264"/>
      <c r="K395" s="264"/>
      <c r="L395" s="264"/>
      <c r="M395" s="264"/>
      <c r="N395" s="264"/>
      <c r="O395" s="264"/>
      <c r="P395" s="264"/>
      <c r="Q395" s="264"/>
      <c r="R395" s="264"/>
      <c r="S395" s="264"/>
      <c r="T395" s="264"/>
      <c r="U395" s="264"/>
    </row>
    <row r="396">
      <c r="A396" s="264"/>
      <c r="B396" s="264"/>
      <c r="C396" s="264"/>
      <c r="D396" s="264"/>
      <c r="E396" s="264"/>
      <c r="F396" s="264"/>
      <c r="G396" s="264"/>
      <c r="H396" s="264"/>
      <c r="I396" s="264"/>
      <c r="J396" s="264"/>
      <c r="K396" s="264"/>
      <c r="L396" s="264"/>
      <c r="M396" s="264"/>
      <c r="N396" s="264"/>
      <c r="O396" s="264"/>
      <c r="P396" s="264"/>
      <c r="Q396" s="264"/>
      <c r="R396" s="264"/>
      <c r="S396" s="264"/>
      <c r="T396" s="264"/>
      <c r="U396" s="264"/>
    </row>
    <row r="397">
      <c r="A397" s="264"/>
      <c r="B397" s="264"/>
      <c r="C397" s="264"/>
      <c r="D397" s="264"/>
      <c r="E397" s="264"/>
      <c r="F397" s="264"/>
      <c r="G397" s="264"/>
      <c r="H397" s="264"/>
      <c r="I397" s="264"/>
      <c r="J397" s="264"/>
      <c r="K397" s="264"/>
      <c r="L397" s="264"/>
      <c r="M397" s="264"/>
      <c r="N397" s="264"/>
      <c r="O397" s="264"/>
      <c r="P397" s="264"/>
      <c r="Q397" s="264"/>
      <c r="R397" s="264"/>
      <c r="S397" s="264"/>
      <c r="T397" s="264"/>
      <c r="U397" s="264"/>
    </row>
    <row r="398">
      <c r="A398" s="264"/>
      <c r="B398" s="264"/>
      <c r="C398" s="264"/>
      <c r="D398" s="264"/>
      <c r="E398" s="264"/>
      <c r="F398" s="264"/>
      <c r="G398" s="264"/>
      <c r="H398" s="264"/>
      <c r="I398" s="264"/>
      <c r="J398" s="264"/>
      <c r="K398" s="264"/>
      <c r="L398" s="264"/>
      <c r="M398" s="264"/>
      <c r="N398" s="264"/>
      <c r="O398" s="264"/>
      <c r="P398" s="264"/>
      <c r="Q398" s="264"/>
      <c r="R398" s="264"/>
      <c r="S398" s="264"/>
      <c r="T398" s="264"/>
      <c r="U398" s="264"/>
    </row>
    <row r="399">
      <c r="A399" s="264"/>
      <c r="B399" s="264"/>
      <c r="C399" s="264"/>
      <c r="D399" s="264"/>
      <c r="E399" s="264"/>
      <c r="F399" s="264"/>
      <c r="G399" s="264"/>
      <c r="H399" s="264"/>
      <c r="I399" s="264"/>
      <c r="J399" s="264"/>
      <c r="K399" s="264"/>
      <c r="L399" s="264"/>
      <c r="M399" s="264"/>
      <c r="N399" s="264"/>
      <c r="O399" s="264"/>
      <c r="P399" s="264"/>
      <c r="Q399" s="264"/>
      <c r="R399" s="264"/>
      <c r="S399" s="264"/>
      <c r="T399" s="264"/>
      <c r="U399" s="264"/>
    </row>
    <row r="400">
      <c r="A400" s="264"/>
      <c r="B400" s="264"/>
      <c r="C400" s="264"/>
      <c r="D400" s="264"/>
      <c r="E400" s="264"/>
      <c r="F400" s="264"/>
      <c r="G400" s="264"/>
      <c r="H400" s="264"/>
      <c r="I400" s="264"/>
      <c r="J400" s="264"/>
      <c r="K400" s="264"/>
      <c r="L400" s="264"/>
      <c r="M400" s="264"/>
      <c r="N400" s="264"/>
      <c r="O400" s="264"/>
      <c r="P400" s="264"/>
      <c r="Q400" s="264"/>
      <c r="R400" s="264"/>
      <c r="S400" s="264"/>
      <c r="T400" s="264"/>
      <c r="U400" s="264"/>
    </row>
    <row r="401">
      <c r="A401" s="264"/>
      <c r="B401" s="264"/>
      <c r="C401" s="264"/>
      <c r="D401" s="264"/>
      <c r="E401" s="264"/>
      <c r="F401" s="264"/>
      <c r="G401" s="264"/>
      <c r="H401" s="264"/>
      <c r="I401" s="264"/>
      <c r="J401" s="264"/>
      <c r="K401" s="264"/>
      <c r="L401" s="264"/>
      <c r="M401" s="264"/>
      <c r="N401" s="264"/>
      <c r="O401" s="264"/>
      <c r="P401" s="264"/>
      <c r="Q401" s="264"/>
      <c r="R401" s="264"/>
      <c r="S401" s="264"/>
      <c r="T401" s="264"/>
      <c r="U401" s="264"/>
    </row>
    <row r="402">
      <c r="A402" s="264"/>
      <c r="B402" s="264"/>
      <c r="C402" s="264"/>
      <c r="D402" s="264"/>
      <c r="E402" s="264"/>
      <c r="F402" s="264"/>
      <c r="G402" s="264"/>
      <c r="H402" s="264"/>
      <c r="I402" s="264"/>
      <c r="J402" s="264"/>
      <c r="K402" s="264"/>
      <c r="L402" s="264"/>
      <c r="M402" s="264"/>
      <c r="N402" s="264"/>
      <c r="O402" s="264"/>
      <c r="P402" s="264"/>
      <c r="Q402" s="264"/>
      <c r="R402" s="264"/>
      <c r="S402" s="264"/>
      <c r="T402" s="264"/>
      <c r="U402" s="264"/>
    </row>
    <row r="403">
      <c r="A403" s="264"/>
      <c r="B403" s="264"/>
      <c r="C403" s="264"/>
      <c r="D403" s="264"/>
      <c r="E403" s="264"/>
      <c r="F403" s="264"/>
      <c r="G403" s="264"/>
      <c r="H403" s="264"/>
      <c r="I403" s="264"/>
      <c r="J403" s="264"/>
      <c r="K403" s="264"/>
      <c r="L403" s="264"/>
      <c r="M403" s="264"/>
      <c r="N403" s="264"/>
      <c r="O403" s="264"/>
      <c r="P403" s="264"/>
      <c r="Q403" s="264"/>
      <c r="R403" s="264"/>
      <c r="S403" s="264"/>
      <c r="T403" s="264"/>
      <c r="U403" s="264"/>
    </row>
    <row r="404">
      <c r="A404" s="264"/>
      <c r="B404" s="264"/>
      <c r="C404" s="264"/>
      <c r="D404" s="264"/>
      <c r="E404" s="264"/>
      <c r="F404" s="264"/>
      <c r="G404" s="264"/>
      <c r="H404" s="264"/>
      <c r="I404" s="264"/>
      <c r="J404" s="264"/>
      <c r="K404" s="264"/>
      <c r="L404" s="264"/>
      <c r="M404" s="264"/>
      <c r="N404" s="264"/>
      <c r="O404" s="264"/>
      <c r="P404" s="264"/>
      <c r="Q404" s="264"/>
      <c r="R404" s="264"/>
      <c r="S404" s="264"/>
      <c r="T404" s="264"/>
      <c r="U404" s="264"/>
    </row>
    <row r="405">
      <c r="A405" s="264"/>
      <c r="B405" s="264"/>
      <c r="C405" s="264"/>
      <c r="D405" s="264"/>
      <c r="E405" s="264"/>
      <c r="F405" s="264"/>
      <c r="G405" s="264"/>
      <c r="H405" s="264"/>
      <c r="I405" s="264"/>
      <c r="J405" s="264"/>
      <c r="K405" s="264"/>
      <c r="L405" s="264"/>
      <c r="M405" s="264"/>
      <c r="N405" s="264"/>
      <c r="O405" s="264"/>
      <c r="P405" s="264"/>
      <c r="Q405" s="264"/>
      <c r="R405" s="264"/>
      <c r="S405" s="264"/>
      <c r="T405" s="264"/>
      <c r="U405" s="264"/>
    </row>
    <row r="406">
      <c r="A406" s="264"/>
      <c r="B406" s="264"/>
      <c r="C406" s="264"/>
      <c r="D406" s="264"/>
      <c r="E406" s="264"/>
      <c r="F406" s="264"/>
      <c r="G406" s="264"/>
      <c r="H406" s="264"/>
      <c r="I406" s="264"/>
      <c r="J406" s="264"/>
      <c r="K406" s="264"/>
      <c r="L406" s="264"/>
      <c r="M406" s="264"/>
      <c r="N406" s="264"/>
      <c r="O406" s="264"/>
      <c r="P406" s="264"/>
      <c r="Q406" s="264"/>
      <c r="R406" s="264"/>
      <c r="S406" s="264"/>
      <c r="T406" s="264"/>
      <c r="U406" s="264"/>
    </row>
    <row r="407">
      <c r="A407" s="264"/>
      <c r="B407" s="264"/>
      <c r="C407" s="264"/>
      <c r="D407" s="264"/>
      <c r="E407" s="264"/>
      <c r="F407" s="264"/>
      <c r="G407" s="264"/>
      <c r="H407" s="264"/>
      <c r="I407" s="264"/>
      <c r="J407" s="264"/>
      <c r="K407" s="264"/>
      <c r="L407" s="264"/>
      <c r="M407" s="264"/>
      <c r="N407" s="264"/>
      <c r="O407" s="264"/>
      <c r="P407" s="264"/>
      <c r="Q407" s="264"/>
      <c r="R407" s="264"/>
      <c r="S407" s="264"/>
      <c r="T407" s="264"/>
      <c r="U407" s="264"/>
    </row>
    <row r="408">
      <c r="A408" s="264"/>
      <c r="B408" s="264"/>
      <c r="C408" s="264"/>
      <c r="D408" s="264"/>
      <c r="E408" s="264"/>
      <c r="F408" s="264"/>
      <c r="G408" s="264"/>
      <c r="H408" s="264"/>
      <c r="I408" s="264"/>
      <c r="J408" s="264"/>
      <c r="K408" s="264"/>
      <c r="L408" s="264"/>
      <c r="M408" s="264"/>
      <c r="N408" s="264"/>
      <c r="O408" s="264"/>
      <c r="P408" s="264"/>
      <c r="Q408" s="264"/>
      <c r="R408" s="264"/>
      <c r="S408" s="264"/>
      <c r="T408" s="264"/>
      <c r="U408" s="264"/>
    </row>
    <row r="409">
      <c r="A409" s="264"/>
      <c r="B409" s="264"/>
      <c r="C409" s="264"/>
      <c r="D409" s="264"/>
      <c r="E409" s="264"/>
      <c r="F409" s="264"/>
      <c r="G409" s="264"/>
      <c r="H409" s="264"/>
      <c r="I409" s="264"/>
      <c r="J409" s="264"/>
      <c r="K409" s="264"/>
      <c r="L409" s="264"/>
      <c r="M409" s="264"/>
      <c r="N409" s="264"/>
      <c r="O409" s="264"/>
      <c r="P409" s="264"/>
      <c r="Q409" s="264"/>
      <c r="R409" s="264"/>
      <c r="S409" s="264"/>
      <c r="T409" s="264"/>
      <c r="U409" s="264"/>
    </row>
    <row r="410">
      <c r="A410" s="264"/>
      <c r="B410" s="264"/>
      <c r="C410" s="264"/>
      <c r="D410" s="264"/>
      <c r="E410" s="264"/>
      <c r="F410" s="264"/>
      <c r="G410" s="264"/>
      <c r="H410" s="264"/>
      <c r="I410" s="264"/>
      <c r="J410" s="264"/>
      <c r="K410" s="264"/>
      <c r="L410" s="264"/>
      <c r="M410" s="264"/>
      <c r="N410" s="264"/>
      <c r="O410" s="264"/>
      <c r="P410" s="264"/>
      <c r="Q410" s="264"/>
      <c r="R410" s="264"/>
      <c r="S410" s="264"/>
      <c r="T410" s="264"/>
      <c r="U410" s="264"/>
    </row>
    <row r="411">
      <c r="A411" s="264"/>
      <c r="B411" s="264"/>
      <c r="C411" s="264"/>
      <c r="D411" s="264"/>
      <c r="E411" s="264"/>
      <c r="F411" s="264"/>
      <c r="G411" s="264"/>
      <c r="H411" s="264"/>
      <c r="I411" s="264"/>
      <c r="J411" s="264"/>
      <c r="K411" s="264"/>
      <c r="L411" s="264"/>
      <c r="M411" s="264"/>
      <c r="N411" s="264"/>
      <c r="O411" s="264"/>
      <c r="P411" s="264"/>
      <c r="Q411" s="264"/>
      <c r="R411" s="264"/>
      <c r="S411" s="264"/>
      <c r="T411" s="264"/>
      <c r="U411" s="264"/>
    </row>
    <row r="412">
      <c r="A412" s="264"/>
      <c r="B412" s="264"/>
      <c r="C412" s="264"/>
      <c r="D412" s="264"/>
      <c r="E412" s="264"/>
      <c r="F412" s="264"/>
      <c r="G412" s="264"/>
      <c r="H412" s="264"/>
      <c r="I412" s="264"/>
      <c r="J412" s="264"/>
      <c r="K412" s="264"/>
      <c r="L412" s="264"/>
      <c r="M412" s="264"/>
      <c r="N412" s="264"/>
      <c r="O412" s="264"/>
      <c r="P412" s="264"/>
      <c r="Q412" s="264"/>
      <c r="R412" s="264"/>
      <c r="S412" s="264"/>
      <c r="T412" s="264"/>
      <c r="U412" s="264"/>
    </row>
    <row r="413">
      <c r="A413" s="264"/>
      <c r="B413" s="264"/>
      <c r="C413" s="264"/>
      <c r="D413" s="264"/>
      <c r="E413" s="264"/>
      <c r="F413" s="264"/>
      <c r="G413" s="264"/>
      <c r="H413" s="264"/>
      <c r="I413" s="264"/>
      <c r="J413" s="264"/>
      <c r="K413" s="264"/>
      <c r="L413" s="264"/>
      <c r="M413" s="264"/>
      <c r="N413" s="264"/>
      <c r="O413" s="264"/>
      <c r="P413" s="264"/>
      <c r="Q413" s="264"/>
      <c r="R413" s="264"/>
      <c r="S413" s="264"/>
      <c r="T413" s="264"/>
      <c r="U413" s="264"/>
    </row>
    <row r="414">
      <c r="A414" s="264"/>
      <c r="B414" s="264"/>
      <c r="C414" s="264"/>
      <c r="D414" s="264"/>
      <c r="E414" s="264"/>
      <c r="F414" s="264"/>
      <c r="G414" s="264"/>
      <c r="H414" s="264"/>
      <c r="I414" s="264"/>
      <c r="J414" s="264"/>
      <c r="K414" s="264"/>
      <c r="L414" s="264"/>
      <c r="M414" s="264"/>
      <c r="N414" s="264"/>
      <c r="O414" s="264"/>
      <c r="P414" s="264"/>
      <c r="Q414" s="264"/>
      <c r="R414" s="264"/>
      <c r="S414" s="264"/>
      <c r="T414" s="264"/>
      <c r="U414" s="264"/>
    </row>
    <row r="415">
      <c r="A415" s="264"/>
      <c r="B415" s="264"/>
      <c r="C415" s="264"/>
      <c r="D415" s="264"/>
      <c r="E415" s="264"/>
      <c r="F415" s="264"/>
      <c r="G415" s="264"/>
      <c r="H415" s="264"/>
      <c r="I415" s="264"/>
      <c r="J415" s="264"/>
      <c r="K415" s="264"/>
      <c r="L415" s="264"/>
      <c r="M415" s="264"/>
      <c r="N415" s="264"/>
      <c r="O415" s="264"/>
      <c r="P415" s="264"/>
      <c r="Q415" s="264"/>
      <c r="R415" s="264"/>
      <c r="S415" s="264"/>
      <c r="T415" s="264"/>
      <c r="U415" s="264"/>
    </row>
    <row r="416">
      <c r="A416" s="264"/>
      <c r="B416" s="264"/>
      <c r="C416" s="264"/>
      <c r="D416" s="264"/>
      <c r="E416" s="264"/>
      <c r="F416" s="264"/>
      <c r="G416" s="264"/>
      <c r="H416" s="264"/>
      <c r="I416" s="264"/>
      <c r="J416" s="264"/>
      <c r="K416" s="264"/>
      <c r="L416" s="264"/>
      <c r="M416" s="264"/>
      <c r="N416" s="264"/>
      <c r="O416" s="264"/>
      <c r="P416" s="264"/>
      <c r="Q416" s="264"/>
      <c r="R416" s="264"/>
      <c r="S416" s="264"/>
      <c r="T416" s="264"/>
      <c r="U416" s="264"/>
    </row>
    <row r="417">
      <c r="A417" s="264"/>
      <c r="B417" s="264"/>
      <c r="C417" s="264"/>
      <c r="D417" s="264"/>
      <c r="E417" s="264"/>
      <c r="F417" s="264"/>
      <c r="G417" s="264"/>
      <c r="H417" s="264"/>
      <c r="I417" s="264"/>
      <c r="J417" s="264"/>
      <c r="K417" s="264"/>
      <c r="L417" s="264"/>
      <c r="M417" s="264"/>
      <c r="N417" s="264"/>
      <c r="O417" s="264"/>
      <c r="P417" s="264"/>
      <c r="Q417" s="264"/>
      <c r="R417" s="264"/>
      <c r="S417" s="264"/>
      <c r="T417" s="264"/>
      <c r="U417" s="264"/>
    </row>
    <row r="418">
      <c r="A418" s="264"/>
      <c r="B418" s="264"/>
      <c r="C418" s="264"/>
      <c r="D418" s="264"/>
      <c r="E418" s="264"/>
      <c r="F418" s="264"/>
      <c r="G418" s="264"/>
      <c r="H418" s="264"/>
      <c r="I418" s="264"/>
      <c r="J418" s="264"/>
      <c r="K418" s="264"/>
      <c r="L418" s="264"/>
      <c r="M418" s="264"/>
      <c r="N418" s="264"/>
      <c r="O418" s="264"/>
      <c r="P418" s="264"/>
      <c r="Q418" s="264"/>
      <c r="R418" s="264"/>
      <c r="S418" s="264"/>
      <c r="T418" s="264"/>
      <c r="U418" s="264"/>
    </row>
    <row r="419">
      <c r="A419" s="264"/>
      <c r="B419" s="264"/>
      <c r="C419" s="264"/>
      <c r="D419" s="264"/>
      <c r="E419" s="264"/>
      <c r="F419" s="264"/>
      <c r="G419" s="264"/>
      <c r="H419" s="264"/>
      <c r="I419" s="264"/>
      <c r="J419" s="264"/>
      <c r="K419" s="264"/>
      <c r="L419" s="264"/>
      <c r="M419" s="264"/>
      <c r="N419" s="264"/>
      <c r="O419" s="264"/>
      <c r="P419" s="264"/>
      <c r="Q419" s="264"/>
      <c r="R419" s="264"/>
      <c r="S419" s="264"/>
      <c r="T419" s="264"/>
      <c r="U419" s="264"/>
    </row>
    <row r="420">
      <c r="A420" s="264"/>
      <c r="B420" s="264"/>
      <c r="C420" s="264"/>
      <c r="D420" s="264"/>
      <c r="E420" s="264"/>
      <c r="F420" s="264"/>
      <c r="G420" s="264"/>
      <c r="H420" s="264"/>
      <c r="I420" s="264"/>
      <c r="J420" s="264"/>
      <c r="K420" s="264"/>
      <c r="L420" s="264"/>
      <c r="M420" s="264"/>
      <c r="N420" s="264"/>
      <c r="O420" s="264"/>
      <c r="P420" s="264"/>
      <c r="Q420" s="264"/>
      <c r="R420" s="264"/>
      <c r="S420" s="264"/>
      <c r="T420" s="264"/>
      <c r="U420" s="264"/>
    </row>
    <row r="421">
      <c r="A421" s="264"/>
      <c r="B421" s="264"/>
      <c r="C421" s="264"/>
      <c r="D421" s="264"/>
      <c r="E421" s="264"/>
      <c r="F421" s="264"/>
      <c r="G421" s="264"/>
      <c r="H421" s="264"/>
      <c r="I421" s="264"/>
      <c r="J421" s="264"/>
      <c r="K421" s="264"/>
      <c r="L421" s="264"/>
      <c r="M421" s="264"/>
      <c r="N421" s="264"/>
      <c r="O421" s="264"/>
      <c r="P421" s="264"/>
      <c r="Q421" s="264"/>
      <c r="R421" s="264"/>
      <c r="S421" s="264"/>
      <c r="T421" s="264"/>
      <c r="U421" s="264"/>
    </row>
    <row r="422">
      <c r="A422" s="264"/>
      <c r="B422" s="264"/>
      <c r="C422" s="264"/>
      <c r="D422" s="264"/>
      <c r="E422" s="264"/>
      <c r="F422" s="264"/>
      <c r="G422" s="264"/>
      <c r="H422" s="264"/>
      <c r="I422" s="264"/>
      <c r="J422" s="264"/>
      <c r="K422" s="264"/>
      <c r="L422" s="264"/>
      <c r="M422" s="264"/>
      <c r="N422" s="264"/>
      <c r="O422" s="264"/>
      <c r="P422" s="264"/>
      <c r="Q422" s="264"/>
      <c r="R422" s="264"/>
      <c r="S422" s="264"/>
      <c r="T422" s="264"/>
      <c r="U422" s="264"/>
    </row>
    <row r="423">
      <c r="A423" s="264"/>
      <c r="B423" s="264"/>
      <c r="C423" s="264"/>
      <c r="D423" s="264"/>
      <c r="E423" s="264"/>
      <c r="F423" s="264"/>
      <c r="G423" s="264"/>
      <c r="H423" s="264"/>
      <c r="I423" s="264"/>
      <c r="J423" s="264"/>
      <c r="K423" s="264"/>
      <c r="L423" s="264"/>
      <c r="M423" s="264"/>
      <c r="N423" s="264"/>
      <c r="O423" s="264"/>
      <c r="P423" s="264"/>
      <c r="Q423" s="264"/>
      <c r="R423" s="264"/>
      <c r="S423" s="264"/>
      <c r="T423" s="264"/>
      <c r="U423" s="264"/>
    </row>
    <row r="424">
      <c r="A424" s="264"/>
      <c r="B424" s="264"/>
      <c r="C424" s="264"/>
      <c r="D424" s="264"/>
      <c r="E424" s="264"/>
      <c r="F424" s="264"/>
      <c r="G424" s="264"/>
      <c r="H424" s="264"/>
      <c r="I424" s="264"/>
      <c r="J424" s="264"/>
      <c r="K424" s="264"/>
      <c r="L424" s="264"/>
      <c r="M424" s="264"/>
      <c r="N424" s="264"/>
      <c r="O424" s="264"/>
      <c r="P424" s="264"/>
      <c r="Q424" s="264"/>
      <c r="R424" s="264"/>
      <c r="S424" s="264"/>
      <c r="T424" s="264"/>
      <c r="U424" s="264"/>
    </row>
    <row r="425">
      <c r="A425" s="264"/>
      <c r="B425" s="264"/>
      <c r="C425" s="264"/>
      <c r="D425" s="264"/>
      <c r="E425" s="264"/>
      <c r="F425" s="264"/>
      <c r="G425" s="264"/>
      <c r="H425" s="264"/>
      <c r="I425" s="264"/>
      <c r="J425" s="264"/>
      <c r="K425" s="264"/>
      <c r="L425" s="264"/>
      <c r="M425" s="264"/>
      <c r="N425" s="264"/>
      <c r="O425" s="264"/>
      <c r="P425" s="264"/>
      <c r="Q425" s="264"/>
      <c r="R425" s="264"/>
      <c r="S425" s="264"/>
      <c r="T425" s="264"/>
      <c r="U425" s="264"/>
    </row>
    <row r="426">
      <c r="A426" s="264"/>
      <c r="B426" s="264"/>
      <c r="C426" s="264"/>
      <c r="D426" s="264"/>
      <c r="E426" s="264"/>
      <c r="F426" s="264"/>
      <c r="G426" s="264"/>
      <c r="H426" s="264"/>
      <c r="I426" s="264"/>
      <c r="J426" s="264"/>
      <c r="K426" s="264"/>
      <c r="L426" s="264"/>
      <c r="M426" s="264"/>
      <c r="N426" s="264"/>
      <c r="O426" s="264"/>
      <c r="P426" s="264"/>
      <c r="Q426" s="264"/>
      <c r="R426" s="264"/>
      <c r="S426" s="264"/>
      <c r="T426" s="264"/>
      <c r="U426" s="264"/>
    </row>
    <row r="427">
      <c r="A427" s="264"/>
      <c r="B427" s="264"/>
      <c r="C427" s="264"/>
      <c r="D427" s="264"/>
      <c r="E427" s="264"/>
      <c r="F427" s="264"/>
      <c r="G427" s="264"/>
      <c r="H427" s="264"/>
      <c r="I427" s="264"/>
      <c r="J427" s="264"/>
      <c r="K427" s="264"/>
      <c r="L427" s="264"/>
      <c r="M427" s="264"/>
      <c r="N427" s="264"/>
      <c r="O427" s="264"/>
      <c r="P427" s="264"/>
      <c r="Q427" s="264"/>
      <c r="R427" s="264"/>
      <c r="S427" s="264"/>
      <c r="T427" s="264"/>
      <c r="U427" s="264"/>
    </row>
    <row r="428">
      <c r="A428" s="264"/>
      <c r="B428" s="264"/>
      <c r="C428" s="264"/>
      <c r="D428" s="264"/>
      <c r="E428" s="264"/>
      <c r="F428" s="264"/>
      <c r="G428" s="264"/>
      <c r="H428" s="264"/>
      <c r="I428" s="264"/>
      <c r="J428" s="264"/>
      <c r="K428" s="264"/>
      <c r="L428" s="264"/>
      <c r="M428" s="264"/>
      <c r="N428" s="264"/>
      <c r="O428" s="264"/>
      <c r="P428" s="264"/>
      <c r="Q428" s="264"/>
      <c r="R428" s="264"/>
      <c r="S428" s="264"/>
      <c r="T428" s="264"/>
      <c r="U428" s="264"/>
    </row>
    <row r="429">
      <c r="A429" s="264"/>
      <c r="B429" s="264"/>
      <c r="C429" s="264"/>
      <c r="D429" s="264"/>
      <c r="E429" s="264"/>
      <c r="F429" s="264"/>
      <c r="G429" s="264"/>
      <c r="H429" s="264"/>
      <c r="I429" s="264"/>
      <c r="J429" s="264"/>
      <c r="K429" s="264"/>
      <c r="L429" s="264"/>
      <c r="M429" s="264"/>
      <c r="N429" s="264"/>
      <c r="O429" s="264"/>
      <c r="P429" s="264"/>
      <c r="Q429" s="264"/>
      <c r="R429" s="264"/>
      <c r="S429" s="264"/>
      <c r="T429" s="264"/>
      <c r="U429" s="264"/>
    </row>
    <row r="430">
      <c r="A430" s="264"/>
      <c r="B430" s="264"/>
      <c r="C430" s="264"/>
      <c r="D430" s="264"/>
      <c r="E430" s="264"/>
      <c r="F430" s="264"/>
      <c r="G430" s="264"/>
      <c r="H430" s="264"/>
      <c r="I430" s="264"/>
      <c r="J430" s="264"/>
      <c r="K430" s="264"/>
      <c r="L430" s="264"/>
      <c r="M430" s="264"/>
      <c r="N430" s="264"/>
      <c r="O430" s="264"/>
      <c r="P430" s="264"/>
      <c r="Q430" s="264"/>
      <c r="R430" s="264"/>
      <c r="S430" s="264"/>
      <c r="T430" s="264"/>
      <c r="U430" s="264"/>
    </row>
    <row r="431">
      <c r="A431" s="264"/>
      <c r="B431" s="264"/>
      <c r="C431" s="264"/>
      <c r="D431" s="264"/>
      <c r="E431" s="264"/>
      <c r="F431" s="264"/>
      <c r="G431" s="264"/>
      <c r="H431" s="264"/>
      <c r="I431" s="264"/>
      <c r="J431" s="264"/>
      <c r="K431" s="264"/>
      <c r="L431" s="264"/>
      <c r="M431" s="264"/>
      <c r="N431" s="264"/>
      <c r="O431" s="264"/>
      <c r="P431" s="264"/>
      <c r="Q431" s="264"/>
      <c r="R431" s="264"/>
      <c r="S431" s="264"/>
      <c r="T431" s="264"/>
      <c r="U431" s="264"/>
    </row>
    <row r="432">
      <c r="A432" s="264"/>
      <c r="B432" s="264"/>
      <c r="C432" s="264"/>
      <c r="D432" s="264"/>
      <c r="E432" s="264"/>
      <c r="F432" s="264"/>
      <c r="G432" s="264"/>
      <c r="H432" s="264"/>
      <c r="I432" s="264"/>
      <c r="J432" s="264"/>
      <c r="K432" s="264"/>
      <c r="L432" s="264"/>
      <c r="M432" s="264"/>
      <c r="N432" s="264"/>
      <c r="O432" s="264"/>
      <c r="P432" s="264"/>
      <c r="Q432" s="264"/>
      <c r="R432" s="264"/>
      <c r="S432" s="264"/>
      <c r="T432" s="264"/>
      <c r="U432" s="264"/>
    </row>
    <row r="433">
      <c r="A433" s="264"/>
      <c r="B433" s="264"/>
      <c r="C433" s="264"/>
      <c r="D433" s="264"/>
      <c r="E433" s="264"/>
      <c r="F433" s="264"/>
      <c r="G433" s="264"/>
      <c r="H433" s="264"/>
      <c r="I433" s="264"/>
      <c r="J433" s="264"/>
      <c r="K433" s="264"/>
      <c r="L433" s="264"/>
      <c r="M433" s="264"/>
      <c r="N433" s="264"/>
      <c r="O433" s="264"/>
      <c r="P433" s="264"/>
      <c r="Q433" s="264"/>
      <c r="R433" s="264"/>
      <c r="S433" s="264"/>
      <c r="T433" s="264"/>
      <c r="U433" s="264"/>
    </row>
    <row r="434">
      <c r="A434" s="264"/>
      <c r="B434" s="264"/>
      <c r="C434" s="264"/>
      <c r="D434" s="264"/>
      <c r="E434" s="264"/>
      <c r="F434" s="264"/>
      <c r="G434" s="264"/>
      <c r="H434" s="264"/>
      <c r="I434" s="264"/>
      <c r="J434" s="264"/>
      <c r="K434" s="264"/>
      <c r="L434" s="264"/>
      <c r="M434" s="264"/>
      <c r="N434" s="264"/>
      <c r="O434" s="264"/>
      <c r="P434" s="264"/>
      <c r="Q434" s="264"/>
      <c r="R434" s="264"/>
      <c r="S434" s="264"/>
      <c r="T434" s="264"/>
      <c r="U434" s="264"/>
    </row>
    <row r="435">
      <c r="A435" s="264"/>
      <c r="B435" s="264"/>
      <c r="C435" s="264"/>
      <c r="D435" s="264"/>
      <c r="E435" s="264"/>
      <c r="F435" s="264"/>
      <c r="G435" s="264"/>
      <c r="H435" s="264"/>
      <c r="I435" s="264"/>
      <c r="J435" s="264"/>
      <c r="K435" s="264"/>
      <c r="L435" s="264"/>
      <c r="M435" s="264"/>
      <c r="N435" s="264"/>
      <c r="O435" s="264"/>
      <c r="P435" s="264"/>
      <c r="Q435" s="264"/>
      <c r="R435" s="264"/>
      <c r="S435" s="264"/>
      <c r="T435" s="264"/>
      <c r="U435" s="264"/>
    </row>
    <row r="436">
      <c r="A436" s="264"/>
      <c r="B436" s="264"/>
      <c r="C436" s="264"/>
      <c r="D436" s="264"/>
      <c r="E436" s="264"/>
      <c r="F436" s="264"/>
      <c r="G436" s="264"/>
      <c r="H436" s="264"/>
      <c r="I436" s="264"/>
      <c r="J436" s="264"/>
      <c r="K436" s="264"/>
      <c r="L436" s="264"/>
      <c r="M436" s="264"/>
      <c r="N436" s="264"/>
      <c r="O436" s="264"/>
      <c r="P436" s="264"/>
      <c r="Q436" s="264"/>
      <c r="R436" s="264"/>
      <c r="S436" s="264"/>
      <c r="T436" s="264"/>
      <c r="U436" s="264"/>
    </row>
    <row r="437">
      <c r="A437" s="264"/>
      <c r="B437" s="264"/>
      <c r="C437" s="264"/>
      <c r="D437" s="264"/>
      <c r="E437" s="264"/>
      <c r="F437" s="264"/>
      <c r="G437" s="264"/>
      <c r="H437" s="264"/>
      <c r="I437" s="264"/>
      <c r="J437" s="264"/>
      <c r="K437" s="264"/>
      <c r="L437" s="264"/>
      <c r="M437" s="264"/>
      <c r="N437" s="264"/>
      <c r="O437" s="264"/>
      <c r="P437" s="264"/>
      <c r="Q437" s="264"/>
      <c r="R437" s="264"/>
      <c r="S437" s="264"/>
      <c r="T437" s="264"/>
      <c r="U437" s="264"/>
    </row>
    <row r="438">
      <c r="A438" s="264"/>
      <c r="B438" s="264"/>
      <c r="C438" s="264"/>
      <c r="D438" s="264"/>
      <c r="E438" s="264"/>
      <c r="F438" s="264"/>
      <c r="G438" s="264"/>
      <c r="H438" s="264"/>
      <c r="I438" s="264"/>
      <c r="J438" s="264"/>
      <c r="K438" s="264"/>
      <c r="L438" s="264"/>
      <c r="M438" s="264"/>
      <c r="N438" s="264"/>
      <c r="O438" s="264"/>
      <c r="P438" s="264"/>
      <c r="Q438" s="264"/>
      <c r="R438" s="264"/>
      <c r="S438" s="264"/>
      <c r="T438" s="264"/>
      <c r="U438" s="264"/>
    </row>
    <row r="439">
      <c r="A439" s="264"/>
      <c r="B439" s="264"/>
      <c r="C439" s="264"/>
      <c r="D439" s="264"/>
      <c r="E439" s="264"/>
      <c r="F439" s="264"/>
      <c r="G439" s="264"/>
      <c r="H439" s="264"/>
      <c r="I439" s="264"/>
      <c r="J439" s="264"/>
      <c r="K439" s="264"/>
      <c r="L439" s="264"/>
      <c r="M439" s="264"/>
      <c r="N439" s="264"/>
      <c r="O439" s="264"/>
      <c r="P439" s="264"/>
      <c r="Q439" s="264"/>
      <c r="R439" s="264"/>
      <c r="S439" s="264"/>
      <c r="T439" s="264"/>
      <c r="U439" s="264"/>
    </row>
    <row r="440">
      <c r="A440" s="264"/>
      <c r="B440" s="264"/>
      <c r="C440" s="264"/>
      <c r="D440" s="264"/>
      <c r="E440" s="264"/>
      <c r="F440" s="264"/>
      <c r="G440" s="264"/>
      <c r="H440" s="264"/>
      <c r="I440" s="264"/>
      <c r="J440" s="264"/>
      <c r="K440" s="264"/>
      <c r="L440" s="264"/>
      <c r="M440" s="264"/>
      <c r="N440" s="264"/>
      <c r="O440" s="264"/>
      <c r="P440" s="264"/>
      <c r="Q440" s="264"/>
      <c r="R440" s="264"/>
      <c r="S440" s="264"/>
      <c r="T440" s="264"/>
      <c r="U440" s="264"/>
    </row>
    <row r="441">
      <c r="A441" s="264"/>
      <c r="B441" s="264"/>
      <c r="C441" s="264"/>
      <c r="D441" s="264"/>
      <c r="E441" s="264"/>
      <c r="F441" s="264"/>
      <c r="G441" s="264"/>
      <c r="H441" s="264"/>
      <c r="I441" s="264"/>
      <c r="J441" s="264"/>
      <c r="K441" s="264"/>
      <c r="L441" s="264"/>
      <c r="M441" s="264"/>
      <c r="N441" s="264"/>
      <c r="O441" s="264"/>
      <c r="P441" s="264"/>
      <c r="Q441" s="264"/>
      <c r="R441" s="264"/>
      <c r="S441" s="264"/>
      <c r="T441" s="264"/>
      <c r="U441" s="264"/>
    </row>
    <row r="442">
      <c r="A442" s="264"/>
      <c r="B442" s="264"/>
      <c r="C442" s="264"/>
      <c r="D442" s="264"/>
      <c r="E442" s="264"/>
      <c r="F442" s="264"/>
      <c r="G442" s="264"/>
      <c r="H442" s="264"/>
      <c r="I442" s="264"/>
      <c r="J442" s="264"/>
      <c r="K442" s="264"/>
      <c r="L442" s="264"/>
      <c r="M442" s="264"/>
      <c r="N442" s="264"/>
      <c r="O442" s="264"/>
      <c r="P442" s="264"/>
      <c r="Q442" s="264"/>
      <c r="R442" s="264"/>
      <c r="S442" s="264"/>
      <c r="T442" s="264"/>
      <c r="U442" s="264"/>
    </row>
    <row r="443">
      <c r="A443" s="264"/>
      <c r="B443" s="264"/>
      <c r="C443" s="264"/>
      <c r="D443" s="264"/>
      <c r="E443" s="264"/>
      <c r="F443" s="264"/>
      <c r="G443" s="264"/>
      <c r="H443" s="264"/>
      <c r="I443" s="264"/>
      <c r="J443" s="264"/>
      <c r="K443" s="264"/>
      <c r="L443" s="264"/>
      <c r="M443" s="264"/>
      <c r="N443" s="264"/>
      <c r="O443" s="264"/>
      <c r="P443" s="264"/>
      <c r="Q443" s="264"/>
      <c r="R443" s="264"/>
      <c r="S443" s="264"/>
      <c r="T443" s="264"/>
      <c r="U443" s="264"/>
    </row>
    <row r="444">
      <c r="A444" s="264"/>
      <c r="B444" s="264"/>
      <c r="C444" s="264"/>
      <c r="D444" s="264"/>
      <c r="E444" s="264"/>
      <c r="F444" s="264"/>
      <c r="G444" s="264"/>
      <c r="H444" s="264"/>
      <c r="I444" s="264"/>
      <c r="J444" s="264"/>
      <c r="K444" s="264"/>
      <c r="L444" s="264"/>
      <c r="M444" s="264"/>
      <c r="N444" s="264"/>
      <c r="O444" s="264"/>
      <c r="P444" s="264"/>
      <c r="Q444" s="264"/>
      <c r="R444" s="264"/>
      <c r="S444" s="264"/>
      <c r="T444" s="264"/>
      <c r="U444" s="264"/>
    </row>
    <row r="445">
      <c r="A445" s="264"/>
      <c r="B445" s="264"/>
      <c r="C445" s="264"/>
      <c r="D445" s="264"/>
      <c r="E445" s="264"/>
      <c r="F445" s="264"/>
      <c r="G445" s="264"/>
      <c r="H445" s="264"/>
      <c r="I445" s="264"/>
      <c r="J445" s="264"/>
      <c r="K445" s="264"/>
      <c r="L445" s="264"/>
      <c r="M445" s="264"/>
      <c r="N445" s="264"/>
      <c r="O445" s="264"/>
      <c r="P445" s="264"/>
      <c r="Q445" s="264"/>
      <c r="R445" s="264"/>
      <c r="S445" s="264"/>
      <c r="T445" s="264"/>
      <c r="U445" s="264"/>
    </row>
    <row r="446">
      <c r="A446" s="264"/>
      <c r="B446" s="264"/>
      <c r="C446" s="264"/>
      <c r="D446" s="264"/>
      <c r="E446" s="264"/>
      <c r="F446" s="264"/>
      <c r="G446" s="264"/>
      <c r="H446" s="264"/>
      <c r="I446" s="264"/>
      <c r="J446" s="264"/>
      <c r="K446" s="264"/>
      <c r="L446" s="264"/>
      <c r="M446" s="264"/>
      <c r="N446" s="264"/>
      <c r="O446" s="264"/>
      <c r="P446" s="264"/>
      <c r="Q446" s="264"/>
      <c r="R446" s="264"/>
      <c r="S446" s="264"/>
      <c r="T446" s="264"/>
      <c r="U446" s="264"/>
    </row>
    <row r="447">
      <c r="A447" s="264"/>
      <c r="B447" s="264"/>
      <c r="C447" s="264"/>
      <c r="D447" s="264"/>
      <c r="E447" s="264"/>
      <c r="F447" s="264"/>
      <c r="G447" s="264"/>
      <c r="H447" s="264"/>
      <c r="I447" s="264"/>
      <c r="J447" s="264"/>
      <c r="K447" s="264"/>
      <c r="L447" s="264"/>
      <c r="M447" s="264"/>
      <c r="N447" s="264"/>
      <c r="O447" s="264"/>
      <c r="P447" s="264"/>
      <c r="Q447" s="264"/>
      <c r="R447" s="264"/>
      <c r="S447" s="264"/>
      <c r="T447" s="264"/>
      <c r="U447" s="264"/>
    </row>
    <row r="448">
      <c r="A448" s="264"/>
      <c r="B448" s="264"/>
      <c r="C448" s="264"/>
      <c r="D448" s="264"/>
      <c r="E448" s="264"/>
      <c r="F448" s="264"/>
      <c r="G448" s="264"/>
      <c r="H448" s="264"/>
      <c r="I448" s="264"/>
      <c r="J448" s="264"/>
      <c r="K448" s="264"/>
      <c r="L448" s="264"/>
      <c r="M448" s="264"/>
      <c r="N448" s="264"/>
      <c r="O448" s="264"/>
      <c r="P448" s="264"/>
      <c r="Q448" s="264"/>
      <c r="R448" s="264"/>
      <c r="S448" s="264"/>
      <c r="T448" s="264"/>
      <c r="U448" s="264"/>
    </row>
    <row r="449">
      <c r="A449" s="264"/>
      <c r="B449" s="264"/>
      <c r="C449" s="264"/>
      <c r="D449" s="264"/>
      <c r="E449" s="264"/>
      <c r="F449" s="264"/>
      <c r="G449" s="264"/>
      <c r="H449" s="264"/>
      <c r="I449" s="264"/>
      <c r="J449" s="264"/>
      <c r="K449" s="264"/>
      <c r="L449" s="264"/>
      <c r="M449" s="264"/>
      <c r="N449" s="264"/>
      <c r="O449" s="264"/>
      <c r="P449" s="264"/>
      <c r="Q449" s="264"/>
      <c r="R449" s="264"/>
      <c r="S449" s="264"/>
      <c r="T449" s="264"/>
      <c r="U449" s="264"/>
    </row>
    <row r="450">
      <c r="A450" s="264"/>
      <c r="B450" s="264"/>
      <c r="C450" s="264"/>
      <c r="D450" s="264"/>
      <c r="E450" s="264"/>
      <c r="F450" s="264"/>
      <c r="G450" s="264"/>
      <c r="H450" s="264"/>
      <c r="I450" s="264"/>
      <c r="J450" s="264"/>
      <c r="K450" s="264"/>
      <c r="L450" s="264"/>
      <c r="M450" s="264"/>
      <c r="N450" s="264"/>
      <c r="O450" s="264"/>
      <c r="P450" s="264"/>
      <c r="Q450" s="264"/>
      <c r="R450" s="264"/>
      <c r="S450" s="264"/>
      <c r="T450" s="264"/>
      <c r="U450" s="264"/>
    </row>
    <row r="451">
      <c r="A451" s="264"/>
      <c r="B451" s="264"/>
      <c r="C451" s="264"/>
      <c r="D451" s="264"/>
      <c r="E451" s="264"/>
      <c r="F451" s="264"/>
      <c r="G451" s="264"/>
      <c r="H451" s="264"/>
      <c r="I451" s="264"/>
      <c r="J451" s="264"/>
      <c r="K451" s="264"/>
      <c r="L451" s="264"/>
      <c r="M451" s="264"/>
      <c r="N451" s="264"/>
      <c r="O451" s="264"/>
      <c r="P451" s="264"/>
      <c r="Q451" s="264"/>
      <c r="R451" s="264"/>
      <c r="S451" s="264"/>
      <c r="T451" s="264"/>
      <c r="U451" s="264"/>
    </row>
    <row r="452">
      <c r="A452" s="264"/>
      <c r="B452" s="264"/>
      <c r="C452" s="264"/>
      <c r="D452" s="264"/>
      <c r="E452" s="264"/>
      <c r="F452" s="264"/>
      <c r="G452" s="264"/>
      <c r="H452" s="264"/>
      <c r="I452" s="264"/>
      <c r="J452" s="264"/>
      <c r="K452" s="264"/>
      <c r="L452" s="264"/>
      <c r="M452" s="264"/>
      <c r="N452" s="264"/>
      <c r="O452" s="264"/>
      <c r="P452" s="264"/>
      <c r="Q452" s="264"/>
      <c r="R452" s="264"/>
      <c r="S452" s="264"/>
      <c r="T452" s="264"/>
      <c r="U452" s="264"/>
    </row>
    <row r="453">
      <c r="A453" s="264"/>
      <c r="B453" s="264"/>
      <c r="C453" s="264"/>
      <c r="D453" s="264"/>
      <c r="E453" s="264"/>
      <c r="F453" s="264"/>
      <c r="G453" s="264"/>
      <c r="H453" s="264"/>
      <c r="I453" s="264"/>
      <c r="J453" s="264"/>
      <c r="K453" s="264"/>
      <c r="L453" s="264"/>
      <c r="M453" s="264"/>
      <c r="N453" s="264"/>
      <c r="O453" s="264"/>
      <c r="P453" s="264"/>
      <c r="Q453" s="264"/>
      <c r="R453" s="264"/>
      <c r="S453" s="264"/>
      <c r="T453" s="264"/>
      <c r="U453" s="264"/>
    </row>
    <row r="454">
      <c r="A454" s="264"/>
      <c r="B454" s="264"/>
      <c r="C454" s="264"/>
      <c r="D454" s="264"/>
      <c r="E454" s="264"/>
      <c r="F454" s="264"/>
      <c r="G454" s="264"/>
      <c r="H454" s="264"/>
      <c r="I454" s="264"/>
      <c r="J454" s="264"/>
      <c r="K454" s="264"/>
      <c r="L454" s="264"/>
      <c r="M454" s="264"/>
      <c r="N454" s="264"/>
      <c r="O454" s="264"/>
      <c r="P454" s="264"/>
      <c r="Q454" s="264"/>
      <c r="R454" s="264"/>
      <c r="S454" s="264"/>
      <c r="T454" s="264"/>
      <c r="U454" s="264"/>
    </row>
    <row r="455">
      <c r="A455" s="264"/>
      <c r="B455" s="264"/>
      <c r="C455" s="264"/>
      <c r="D455" s="264"/>
      <c r="E455" s="264"/>
      <c r="F455" s="264"/>
      <c r="G455" s="264"/>
      <c r="H455" s="264"/>
      <c r="I455" s="264"/>
      <c r="J455" s="264"/>
      <c r="K455" s="264"/>
      <c r="L455" s="264"/>
      <c r="M455" s="264"/>
      <c r="N455" s="264"/>
      <c r="O455" s="264"/>
      <c r="P455" s="264"/>
      <c r="Q455" s="264"/>
      <c r="R455" s="264"/>
      <c r="S455" s="264"/>
      <c r="T455" s="264"/>
      <c r="U455" s="264"/>
    </row>
    <row r="456">
      <c r="A456" s="264"/>
      <c r="B456" s="264"/>
      <c r="C456" s="264"/>
      <c r="D456" s="264"/>
      <c r="E456" s="264"/>
      <c r="F456" s="264"/>
      <c r="G456" s="264"/>
      <c r="H456" s="264"/>
      <c r="I456" s="264"/>
      <c r="J456" s="264"/>
      <c r="K456" s="264"/>
      <c r="L456" s="264"/>
      <c r="M456" s="264"/>
      <c r="N456" s="264"/>
      <c r="O456" s="264"/>
      <c r="P456" s="264"/>
      <c r="Q456" s="264"/>
      <c r="R456" s="264"/>
      <c r="S456" s="264"/>
      <c r="T456" s="264"/>
      <c r="U456" s="264"/>
    </row>
    <row r="457">
      <c r="A457" s="264"/>
      <c r="B457" s="264"/>
      <c r="C457" s="264"/>
      <c r="D457" s="264"/>
      <c r="E457" s="264"/>
      <c r="F457" s="264"/>
      <c r="G457" s="264"/>
      <c r="H457" s="264"/>
      <c r="I457" s="264"/>
      <c r="J457" s="264"/>
      <c r="K457" s="264"/>
      <c r="L457" s="264"/>
      <c r="M457" s="264"/>
      <c r="N457" s="264"/>
      <c r="O457" s="264"/>
      <c r="P457" s="264"/>
      <c r="Q457" s="264"/>
      <c r="R457" s="264"/>
      <c r="S457" s="264"/>
      <c r="T457" s="264"/>
      <c r="U457" s="264"/>
    </row>
    <row r="458">
      <c r="A458" s="264"/>
      <c r="B458" s="264"/>
      <c r="C458" s="264"/>
      <c r="D458" s="264"/>
      <c r="E458" s="264"/>
      <c r="F458" s="264"/>
      <c r="G458" s="264"/>
      <c r="H458" s="264"/>
      <c r="I458" s="264"/>
      <c r="J458" s="264"/>
      <c r="K458" s="264"/>
      <c r="L458" s="264"/>
      <c r="M458" s="264"/>
      <c r="N458" s="264"/>
      <c r="O458" s="264"/>
      <c r="P458" s="264"/>
      <c r="Q458" s="264"/>
      <c r="R458" s="264"/>
      <c r="S458" s="264"/>
      <c r="T458" s="264"/>
      <c r="U458" s="264"/>
    </row>
    <row r="459">
      <c r="A459" s="264"/>
      <c r="B459" s="264"/>
      <c r="C459" s="264"/>
      <c r="D459" s="264"/>
      <c r="E459" s="264"/>
      <c r="F459" s="264"/>
      <c r="G459" s="264"/>
      <c r="H459" s="264"/>
      <c r="I459" s="264"/>
      <c r="J459" s="264"/>
      <c r="K459" s="264"/>
      <c r="L459" s="264"/>
      <c r="M459" s="264"/>
      <c r="N459" s="264"/>
      <c r="O459" s="264"/>
      <c r="P459" s="264"/>
      <c r="Q459" s="264"/>
      <c r="R459" s="264"/>
      <c r="S459" s="264"/>
      <c r="T459" s="264"/>
      <c r="U459" s="264"/>
    </row>
    <row r="460">
      <c r="A460" s="264"/>
      <c r="B460" s="264"/>
      <c r="C460" s="264"/>
      <c r="D460" s="264"/>
      <c r="E460" s="264"/>
      <c r="F460" s="264"/>
      <c r="G460" s="264"/>
      <c r="H460" s="264"/>
      <c r="I460" s="264"/>
      <c r="J460" s="264"/>
      <c r="K460" s="264"/>
      <c r="L460" s="264"/>
      <c r="M460" s="264"/>
      <c r="N460" s="264"/>
      <c r="O460" s="264"/>
      <c r="P460" s="264"/>
      <c r="Q460" s="264"/>
      <c r="R460" s="264"/>
      <c r="S460" s="264"/>
      <c r="T460" s="264"/>
      <c r="U460" s="264"/>
    </row>
    <row r="461">
      <c r="A461" s="264"/>
      <c r="B461" s="264"/>
      <c r="C461" s="264"/>
      <c r="D461" s="264"/>
      <c r="E461" s="264"/>
      <c r="F461" s="264"/>
      <c r="G461" s="264"/>
      <c r="H461" s="264"/>
      <c r="I461" s="264"/>
      <c r="J461" s="264"/>
      <c r="K461" s="264"/>
      <c r="L461" s="264"/>
      <c r="M461" s="264"/>
      <c r="N461" s="264"/>
      <c r="O461" s="264"/>
      <c r="P461" s="264"/>
      <c r="Q461" s="264"/>
      <c r="R461" s="264"/>
      <c r="S461" s="264"/>
      <c r="T461" s="264"/>
      <c r="U461" s="264"/>
    </row>
    <row r="462">
      <c r="A462" s="264"/>
      <c r="B462" s="264"/>
      <c r="C462" s="264"/>
      <c r="D462" s="264"/>
      <c r="E462" s="264"/>
      <c r="F462" s="264"/>
      <c r="G462" s="264"/>
      <c r="H462" s="264"/>
      <c r="I462" s="264"/>
      <c r="J462" s="264"/>
      <c r="K462" s="264"/>
      <c r="L462" s="264"/>
      <c r="M462" s="264"/>
      <c r="N462" s="264"/>
      <c r="O462" s="264"/>
      <c r="P462" s="264"/>
      <c r="Q462" s="264"/>
      <c r="R462" s="264"/>
      <c r="S462" s="264"/>
      <c r="T462" s="264"/>
      <c r="U462" s="264"/>
    </row>
    <row r="463">
      <c r="A463" s="264"/>
      <c r="B463" s="264"/>
      <c r="C463" s="264"/>
      <c r="D463" s="264"/>
      <c r="E463" s="264"/>
      <c r="F463" s="264"/>
      <c r="G463" s="264"/>
      <c r="H463" s="264"/>
      <c r="I463" s="264"/>
      <c r="J463" s="264"/>
      <c r="K463" s="264"/>
      <c r="L463" s="264"/>
      <c r="M463" s="264"/>
      <c r="N463" s="264"/>
      <c r="O463" s="264"/>
      <c r="P463" s="264"/>
      <c r="Q463" s="264"/>
      <c r="R463" s="264"/>
      <c r="S463" s="264"/>
      <c r="T463" s="264"/>
      <c r="U463" s="264"/>
    </row>
    <row r="464">
      <c r="A464" s="264"/>
      <c r="B464" s="264"/>
      <c r="C464" s="264"/>
      <c r="D464" s="264"/>
      <c r="E464" s="264"/>
      <c r="F464" s="264"/>
      <c r="G464" s="264"/>
      <c r="H464" s="264"/>
      <c r="I464" s="264"/>
      <c r="J464" s="264"/>
      <c r="K464" s="264"/>
      <c r="L464" s="264"/>
      <c r="M464" s="264"/>
      <c r="N464" s="264"/>
      <c r="O464" s="264"/>
      <c r="P464" s="264"/>
      <c r="Q464" s="264"/>
      <c r="R464" s="264"/>
      <c r="S464" s="264"/>
      <c r="T464" s="264"/>
      <c r="U464" s="264"/>
    </row>
    <row r="465">
      <c r="A465" s="264"/>
      <c r="B465" s="264"/>
      <c r="C465" s="264"/>
      <c r="D465" s="264"/>
      <c r="E465" s="264"/>
      <c r="F465" s="264"/>
      <c r="G465" s="264"/>
      <c r="H465" s="264"/>
      <c r="I465" s="264"/>
      <c r="J465" s="264"/>
      <c r="K465" s="264"/>
      <c r="L465" s="264"/>
      <c r="M465" s="264"/>
      <c r="N465" s="264"/>
      <c r="O465" s="264"/>
      <c r="P465" s="264"/>
      <c r="Q465" s="264"/>
      <c r="R465" s="264"/>
      <c r="S465" s="264"/>
      <c r="T465" s="264"/>
      <c r="U465" s="264"/>
    </row>
    <row r="466">
      <c r="A466" s="264"/>
      <c r="B466" s="264"/>
      <c r="C466" s="264"/>
      <c r="D466" s="264"/>
      <c r="E466" s="264"/>
      <c r="F466" s="264"/>
      <c r="G466" s="264"/>
      <c r="H466" s="264"/>
      <c r="I466" s="264"/>
      <c r="J466" s="264"/>
      <c r="K466" s="264"/>
      <c r="L466" s="264"/>
      <c r="M466" s="264"/>
      <c r="N466" s="264"/>
      <c r="O466" s="264"/>
      <c r="P466" s="264"/>
      <c r="Q466" s="264"/>
      <c r="R466" s="264"/>
      <c r="S466" s="264"/>
      <c r="T466" s="264"/>
      <c r="U466" s="264"/>
    </row>
    <row r="467">
      <c r="A467" s="264"/>
      <c r="B467" s="264"/>
      <c r="C467" s="264"/>
      <c r="D467" s="264"/>
      <c r="E467" s="264"/>
      <c r="F467" s="264"/>
      <c r="G467" s="264"/>
      <c r="H467" s="264"/>
      <c r="I467" s="264"/>
      <c r="J467" s="264"/>
      <c r="K467" s="264"/>
      <c r="L467" s="264"/>
      <c r="M467" s="264"/>
      <c r="N467" s="264"/>
      <c r="O467" s="264"/>
      <c r="P467" s="264"/>
      <c r="Q467" s="264"/>
      <c r="R467" s="264"/>
      <c r="S467" s="264"/>
      <c r="T467" s="264"/>
      <c r="U467" s="264"/>
    </row>
    <row r="468">
      <c r="A468" s="264"/>
      <c r="B468" s="264"/>
      <c r="C468" s="264"/>
      <c r="D468" s="264"/>
      <c r="E468" s="264"/>
      <c r="F468" s="264"/>
      <c r="G468" s="264"/>
      <c r="H468" s="264"/>
      <c r="I468" s="264"/>
      <c r="J468" s="264"/>
      <c r="K468" s="264"/>
      <c r="L468" s="264"/>
      <c r="M468" s="264"/>
      <c r="N468" s="264"/>
      <c r="O468" s="264"/>
      <c r="P468" s="264"/>
      <c r="Q468" s="264"/>
      <c r="R468" s="264"/>
      <c r="S468" s="264"/>
      <c r="T468" s="264"/>
      <c r="U468" s="264"/>
    </row>
    <row r="469">
      <c r="A469" s="264"/>
      <c r="B469" s="264"/>
      <c r="C469" s="264"/>
      <c r="D469" s="264"/>
      <c r="E469" s="264"/>
      <c r="F469" s="264"/>
      <c r="G469" s="264"/>
      <c r="H469" s="264"/>
      <c r="I469" s="264"/>
      <c r="J469" s="264"/>
      <c r="K469" s="264"/>
      <c r="L469" s="264"/>
      <c r="M469" s="264"/>
      <c r="N469" s="264"/>
      <c r="O469" s="264"/>
      <c r="P469" s="264"/>
      <c r="Q469" s="264"/>
      <c r="R469" s="264"/>
      <c r="S469" s="264"/>
      <c r="T469" s="264"/>
      <c r="U469" s="264"/>
    </row>
    <row r="470">
      <c r="A470" s="264"/>
      <c r="B470" s="264"/>
      <c r="C470" s="264"/>
      <c r="D470" s="264"/>
      <c r="E470" s="264"/>
      <c r="F470" s="264"/>
      <c r="G470" s="264"/>
      <c r="H470" s="264"/>
      <c r="I470" s="264"/>
      <c r="J470" s="264"/>
      <c r="K470" s="264"/>
      <c r="L470" s="264"/>
      <c r="M470" s="264"/>
      <c r="N470" s="264"/>
      <c r="O470" s="264"/>
      <c r="P470" s="264"/>
      <c r="Q470" s="264"/>
      <c r="R470" s="264"/>
      <c r="S470" s="264"/>
      <c r="T470" s="264"/>
      <c r="U470" s="264"/>
    </row>
    <row r="471">
      <c r="A471" s="264"/>
      <c r="B471" s="264"/>
      <c r="C471" s="264"/>
      <c r="D471" s="264"/>
      <c r="E471" s="264"/>
      <c r="F471" s="264"/>
      <c r="G471" s="264"/>
      <c r="H471" s="264"/>
      <c r="I471" s="264"/>
      <c r="J471" s="264"/>
      <c r="K471" s="264"/>
      <c r="L471" s="264"/>
      <c r="M471" s="264"/>
      <c r="N471" s="264"/>
      <c r="O471" s="264"/>
      <c r="P471" s="264"/>
      <c r="Q471" s="264"/>
      <c r="R471" s="264"/>
      <c r="S471" s="264"/>
      <c r="T471" s="264"/>
      <c r="U471" s="264"/>
    </row>
    <row r="472">
      <c r="A472" s="264"/>
      <c r="B472" s="264"/>
      <c r="C472" s="264"/>
      <c r="D472" s="264"/>
      <c r="E472" s="264"/>
      <c r="F472" s="264"/>
      <c r="G472" s="264"/>
      <c r="H472" s="264"/>
      <c r="I472" s="264"/>
      <c r="J472" s="264"/>
      <c r="K472" s="264"/>
      <c r="L472" s="264"/>
      <c r="M472" s="264"/>
      <c r="N472" s="264"/>
      <c r="O472" s="264"/>
      <c r="P472" s="264"/>
      <c r="Q472" s="264"/>
      <c r="R472" s="264"/>
      <c r="S472" s="264"/>
      <c r="T472" s="264"/>
      <c r="U472" s="264"/>
    </row>
    <row r="473">
      <c r="A473" s="264"/>
      <c r="B473" s="264"/>
      <c r="C473" s="264"/>
      <c r="D473" s="264"/>
      <c r="E473" s="264"/>
      <c r="F473" s="264"/>
      <c r="G473" s="264"/>
      <c r="H473" s="264"/>
      <c r="I473" s="264"/>
      <c r="J473" s="264"/>
      <c r="K473" s="264"/>
      <c r="L473" s="264"/>
      <c r="M473" s="264"/>
      <c r="N473" s="264"/>
      <c r="O473" s="264"/>
      <c r="P473" s="264"/>
      <c r="Q473" s="264"/>
      <c r="R473" s="264"/>
      <c r="S473" s="264"/>
      <c r="T473" s="264"/>
      <c r="U473" s="264"/>
    </row>
    <row r="474">
      <c r="A474" s="264"/>
      <c r="B474" s="264"/>
      <c r="C474" s="264"/>
      <c r="D474" s="264"/>
      <c r="E474" s="264"/>
      <c r="F474" s="264"/>
      <c r="G474" s="264"/>
      <c r="H474" s="264"/>
      <c r="I474" s="264"/>
      <c r="J474" s="264"/>
      <c r="K474" s="264"/>
      <c r="L474" s="264"/>
      <c r="M474" s="264"/>
      <c r="N474" s="264"/>
      <c r="O474" s="264"/>
      <c r="P474" s="264"/>
      <c r="Q474" s="264"/>
      <c r="R474" s="264"/>
      <c r="S474" s="264"/>
      <c r="T474" s="264"/>
      <c r="U474" s="264"/>
    </row>
    <row r="475">
      <c r="A475" s="264"/>
      <c r="B475" s="264"/>
      <c r="C475" s="264"/>
      <c r="D475" s="264"/>
      <c r="E475" s="264"/>
      <c r="F475" s="264"/>
      <c r="G475" s="264"/>
      <c r="H475" s="264"/>
      <c r="I475" s="264"/>
      <c r="J475" s="264"/>
      <c r="K475" s="264"/>
      <c r="L475" s="264"/>
      <c r="M475" s="264"/>
      <c r="N475" s="264"/>
      <c r="O475" s="264"/>
      <c r="P475" s="264"/>
      <c r="Q475" s="264"/>
      <c r="R475" s="264"/>
      <c r="S475" s="264"/>
      <c r="T475" s="264"/>
      <c r="U475" s="264"/>
    </row>
    <row r="476">
      <c r="A476" s="264"/>
      <c r="B476" s="264"/>
      <c r="C476" s="264"/>
      <c r="D476" s="264"/>
      <c r="E476" s="264"/>
      <c r="F476" s="264"/>
      <c r="G476" s="264"/>
      <c r="H476" s="264"/>
      <c r="I476" s="264"/>
      <c r="J476" s="264"/>
      <c r="K476" s="264"/>
      <c r="L476" s="264"/>
      <c r="M476" s="264"/>
      <c r="N476" s="264"/>
      <c r="O476" s="264"/>
      <c r="P476" s="264"/>
      <c r="Q476" s="264"/>
      <c r="R476" s="264"/>
      <c r="S476" s="264"/>
      <c r="T476" s="264"/>
      <c r="U476" s="264"/>
    </row>
    <row r="477">
      <c r="A477" s="264"/>
      <c r="B477" s="264"/>
      <c r="C477" s="264"/>
      <c r="D477" s="264"/>
      <c r="E477" s="264"/>
      <c r="F477" s="264"/>
      <c r="G477" s="264"/>
      <c r="H477" s="264"/>
      <c r="I477" s="264"/>
      <c r="J477" s="264"/>
      <c r="K477" s="264"/>
      <c r="L477" s="264"/>
      <c r="M477" s="264"/>
      <c r="N477" s="264"/>
      <c r="O477" s="264"/>
      <c r="P477" s="264"/>
      <c r="Q477" s="264"/>
      <c r="R477" s="264"/>
      <c r="S477" s="264"/>
      <c r="T477" s="264"/>
      <c r="U477" s="264"/>
    </row>
    <row r="478">
      <c r="A478" s="264"/>
      <c r="B478" s="264"/>
      <c r="C478" s="264"/>
      <c r="D478" s="264"/>
      <c r="E478" s="264"/>
      <c r="F478" s="264"/>
      <c r="G478" s="264"/>
      <c r="H478" s="264"/>
      <c r="I478" s="264"/>
      <c r="J478" s="264"/>
      <c r="K478" s="264"/>
      <c r="L478" s="264"/>
      <c r="M478" s="264"/>
      <c r="N478" s="264"/>
      <c r="O478" s="264"/>
      <c r="P478" s="264"/>
      <c r="Q478" s="264"/>
      <c r="R478" s="264"/>
      <c r="S478" s="264"/>
      <c r="T478" s="264"/>
      <c r="U478" s="264"/>
    </row>
    <row r="479">
      <c r="A479" s="264"/>
      <c r="B479" s="264"/>
      <c r="C479" s="264"/>
      <c r="D479" s="264"/>
      <c r="E479" s="264"/>
      <c r="F479" s="264"/>
      <c r="G479" s="264"/>
      <c r="H479" s="264"/>
      <c r="I479" s="264"/>
      <c r="J479" s="264"/>
      <c r="K479" s="264"/>
      <c r="L479" s="264"/>
      <c r="M479" s="264"/>
      <c r="N479" s="264"/>
      <c r="O479" s="264"/>
      <c r="P479" s="264"/>
      <c r="Q479" s="264"/>
      <c r="R479" s="264"/>
      <c r="S479" s="264"/>
      <c r="T479" s="264"/>
      <c r="U479" s="264"/>
    </row>
    <row r="480">
      <c r="A480" s="264"/>
      <c r="B480" s="264"/>
      <c r="C480" s="264"/>
      <c r="D480" s="264"/>
      <c r="E480" s="264"/>
      <c r="F480" s="264"/>
      <c r="G480" s="264"/>
      <c r="H480" s="264"/>
      <c r="I480" s="264"/>
      <c r="J480" s="264"/>
      <c r="K480" s="264"/>
      <c r="L480" s="264"/>
      <c r="M480" s="264"/>
      <c r="N480" s="264"/>
      <c r="O480" s="264"/>
      <c r="P480" s="264"/>
      <c r="Q480" s="264"/>
      <c r="R480" s="264"/>
      <c r="S480" s="264"/>
      <c r="T480" s="264"/>
      <c r="U480" s="264"/>
    </row>
    <row r="481">
      <c r="A481" s="264"/>
      <c r="B481" s="264"/>
      <c r="C481" s="264"/>
      <c r="D481" s="264"/>
      <c r="E481" s="264"/>
      <c r="F481" s="264"/>
      <c r="G481" s="264"/>
      <c r="H481" s="264"/>
      <c r="I481" s="264"/>
      <c r="J481" s="264"/>
      <c r="K481" s="264"/>
      <c r="L481" s="264"/>
      <c r="M481" s="264"/>
      <c r="N481" s="264"/>
      <c r="O481" s="264"/>
      <c r="P481" s="264"/>
      <c r="Q481" s="264"/>
      <c r="R481" s="264"/>
      <c r="S481" s="264"/>
      <c r="T481" s="264"/>
      <c r="U481" s="264"/>
    </row>
    <row r="482">
      <c r="A482" s="264"/>
      <c r="B482" s="264"/>
      <c r="C482" s="264"/>
      <c r="D482" s="264"/>
      <c r="E482" s="264"/>
      <c r="F482" s="264"/>
      <c r="G482" s="264"/>
      <c r="H482" s="264"/>
      <c r="I482" s="264"/>
      <c r="J482" s="264"/>
      <c r="K482" s="264"/>
      <c r="L482" s="264"/>
      <c r="M482" s="264"/>
      <c r="N482" s="264"/>
      <c r="O482" s="264"/>
      <c r="P482" s="264"/>
      <c r="Q482" s="264"/>
      <c r="R482" s="264"/>
      <c r="S482" s="264"/>
      <c r="T482" s="264"/>
      <c r="U482" s="264"/>
    </row>
    <row r="483">
      <c r="A483" s="264"/>
      <c r="B483" s="264"/>
      <c r="C483" s="264"/>
      <c r="D483" s="264"/>
      <c r="E483" s="264"/>
      <c r="F483" s="264"/>
      <c r="G483" s="264"/>
      <c r="H483" s="264"/>
      <c r="I483" s="264"/>
      <c r="J483" s="264"/>
      <c r="K483" s="264"/>
      <c r="L483" s="264"/>
      <c r="M483" s="264"/>
      <c r="N483" s="264"/>
      <c r="O483" s="264"/>
      <c r="P483" s="264"/>
      <c r="Q483" s="264"/>
      <c r="R483" s="264"/>
      <c r="S483" s="264"/>
      <c r="T483" s="264"/>
      <c r="U483" s="264"/>
    </row>
    <row r="484">
      <c r="A484" s="264"/>
      <c r="B484" s="264"/>
      <c r="C484" s="264"/>
      <c r="D484" s="264"/>
      <c r="E484" s="264"/>
      <c r="F484" s="264"/>
      <c r="G484" s="264"/>
      <c r="H484" s="264"/>
      <c r="I484" s="264"/>
      <c r="J484" s="264"/>
      <c r="K484" s="264"/>
      <c r="L484" s="264"/>
      <c r="M484" s="264"/>
      <c r="N484" s="264"/>
      <c r="O484" s="264"/>
      <c r="P484" s="264"/>
      <c r="Q484" s="264"/>
      <c r="R484" s="264"/>
      <c r="S484" s="264"/>
      <c r="T484" s="264"/>
      <c r="U484" s="264"/>
    </row>
    <row r="485">
      <c r="A485" s="264"/>
      <c r="B485" s="264"/>
      <c r="C485" s="264"/>
      <c r="D485" s="264"/>
      <c r="E485" s="264"/>
      <c r="F485" s="264"/>
      <c r="G485" s="264"/>
      <c r="H485" s="264"/>
      <c r="I485" s="264"/>
      <c r="J485" s="264"/>
      <c r="K485" s="264"/>
      <c r="L485" s="264"/>
      <c r="M485" s="264"/>
      <c r="N485" s="264"/>
      <c r="O485" s="264"/>
      <c r="P485" s="264"/>
      <c r="Q485" s="264"/>
      <c r="R485" s="264"/>
      <c r="S485" s="264"/>
      <c r="T485" s="264"/>
      <c r="U485" s="264"/>
    </row>
    <row r="486">
      <c r="A486" s="264"/>
      <c r="B486" s="264"/>
      <c r="C486" s="264"/>
      <c r="D486" s="264"/>
      <c r="E486" s="264"/>
      <c r="F486" s="264"/>
      <c r="G486" s="264"/>
      <c r="H486" s="264"/>
      <c r="I486" s="264"/>
      <c r="J486" s="264"/>
      <c r="K486" s="264"/>
      <c r="L486" s="264"/>
      <c r="M486" s="264"/>
      <c r="N486" s="264"/>
      <c r="O486" s="264"/>
      <c r="P486" s="264"/>
      <c r="Q486" s="264"/>
      <c r="R486" s="264"/>
      <c r="S486" s="264"/>
      <c r="T486" s="264"/>
      <c r="U486" s="264"/>
    </row>
    <row r="487">
      <c r="A487" s="264"/>
      <c r="B487" s="264"/>
      <c r="C487" s="264"/>
      <c r="D487" s="264"/>
      <c r="E487" s="264"/>
      <c r="F487" s="264"/>
      <c r="G487" s="264"/>
      <c r="H487" s="264"/>
      <c r="I487" s="264"/>
      <c r="J487" s="264"/>
      <c r="K487" s="264"/>
      <c r="L487" s="264"/>
      <c r="M487" s="264"/>
      <c r="N487" s="264"/>
      <c r="O487" s="264"/>
      <c r="P487" s="264"/>
      <c r="Q487" s="264"/>
      <c r="R487" s="264"/>
      <c r="S487" s="264"/>
      <c r="T487" s="264"/>
      <c r="U487" s="264"/>
    </row>
    <row r="488">
      <c r="A488" s="264"/>
      <c r="B488" s="264"/>
      <c r="C488" s="264"/>
      <c r="D488" s="264"/>
      <c r="E488" s="264"/>
      <c r="F488" s="264"/>
      <c r="G488" s="264"/>
      <c r="H488" s="264"/>
      <c r="I488" s="264"/>
      <c r="J488" s="264"/>
      <c r="K488" s="264"/>
      <c r="L488" s="264"/>
      <c r="M488" s="264"/>
      <c r="N488" s="264"/>
      <c r="O488" s="264"/>
      <c r="P488" s="264"/>
      <c r="Q488" s="264"/>
      <c r="R488" s="264"/>
      <c r="S488" s="264"/>
      <c r="T488" s="264"/>
      <c r="U488" s="264"/>
    </row>
    <row r="489">
      <c r="A489" s="264"/>
      <c r="B489" s="264"/>
      <c r="C489" s="264"/>
      <c r="D489" s="264"/>
      <c r="E489" s="264"/>
      <c r="F489" s="264"/>
      <c r="G489" s="264"/>
      <c r="H489" s="264"/>
      <c r="I489" s="264"/>
      <c r="J489" s="264"/>
      <c r="K489" s="264"/>
      <c r="L489" s="264"/>
      <c r="M489" s="264"/>
      <c r="N489" s="264"/>
      <c r="O489" s="264"/>
      <c r="P489" s="264"/>
      <c r="Q489" s="264"/>
      <c r="R489" s="264"/>
      <c r="S489" s="264"/>
      <c r="T489" s="264"/>
      <c r="U489" s="264"/>
    </row>
    <row r="490">
      <c r="A490" s="264"/>
      <c r="B490" s="264"/>
      <c r="C490" s="264"/>
      <c r="D490" s="264"/>
      <c r="E490" s="264"/>
      <c r="F490" s="264"/>
      <c r="G490" s="264"/>
      <c r="H490" s="264"/>
      <c r="I490" s="264"/>
      <c r="J490" s="264"/>
      <c r="K490" s="264"/>
      <c r="L490" s="264"/>
      <c r="M490" s="264"/>
      <c r="N490" s="264"/>
      <c r="O490" s="264"/>
      <c r="P490" s="264"/>
      <c r="Q490" s="264"/>
      <c r="R490" s="264"/>
      <c r="S490" s="264"/>
      <c r="T490" s="264"/>
      <c r="U490" s="264"/>
    </row>
    <row r="491">
      <c r="A491" s="264"/>
      <c r="B491" s="264"/>
      <c r="C491" s="264"/>
      <c r="D491" s="264"/>
      <c r="E491" s="264"/>
      <c r="F491" s="264"/>
      <c r="G491" s="264"/>
      <c r="H491" s="264"/>
      <c r="I491" s="264"/>
      <c r="J491" s="264"/>
      <c r="K491" s="264"/>
      <c r="L491" s="264"/>
      <c r="M491" s="264"/>
      <c r="N491" s="264"/>
      <c r="O491" s="264"/>
      <c r="P491" s="264"/>
      <c r="Q491" s="264"/>
      <c r="R491" s="264"/>
      <c r="S491" s="264"/>
      <c r="T491" s="264"/>
      <c r="U491" s="264"/>
    </row>
    <row r="492">
      <c r="A492" s="264"/>
      <c r="B492" s="264"/>
      <c r="C492" s="264"/>
      <c r="D492" s="264"/>
      <c r="E492" s="264"/>
      <c r="F492" s="264"/>
      <c r="G492" s="264"/>
      <c r="H492" s="264"/>
      <c r="I492" s="264"/>
      <c r="J492" s="264"/>
      <c r="K492" s="264"/>
      <c r="L492" s="264"/>
      <c r="M492" s="264"/>
      <c r="N492" s="264"/>
      <c r="O492" s="264"/>
      <c r="P492" s="264"/>
      <c r="Q492" s="264"/>
      <c r="R492" s="264"/>
      <c r="S492" s="264"/>
      <c r="T492" s="264"/>
      <c r="U492" s="264"/>
    </row>
    <row r="493">
      <c r="A493" s="264"/>
      <c r="B493" s="264"/>
      <c r="C493" s="264"/>
      <c r="D493" s="264"/>
      <c r="E493" s="264"/>
      <c r="F493" s="264"/>
      <c r="G493" s="264"/>
      <c r="H493" s="264"/>
      <c r="I493" s="264"/>
      <c r="J493" s="264"/>
      <c r="K493" s="264"/>
      <c r="L493" s="264"/>
      <c r="M493" s="264"/>
      <c r="N493" s="264"/>
      <c r="O493" s="264"/>
      <c r="P493" s="264"/>
      <c r="Q493" s="264"/>
      <c r="R493" s="264"/>
      <c r="S493" s="264"/>
      <c r="T493" s="264"/>
      <c r="U493" s="264"/>
    </row>
    <row r="494">
      <c r="A494" s="264"/>
      <c r="B494" s="264"/>
      <c r="C494" s="264"/>
      <c r="D494" s="264"/>
      <c r="E494" s="264"/>
      <c r="F494" s="264"/>
      <c r="G494" s="264"/>
      <c r="H494" s="264"/>
      <c r="I494" s="264"/>
      <c r="J494" s="264"/>
      <c r="K494" s="264"/>
      <c r="L494" s="264"/>
      <c r="M494" s="264"/>
      <c r="N494" s="264"/>
      <c r="O494" s="264"/>
      <c r="P494" s="264"/>
      <c r="Q494" s="264"/>
      <c r="R494" s="264"/>
      <c r="S494" s="264"/>
      <c r="T494" s="264"/>
      <c r="U494" s="264"/>
    </row>
    <row r="495">
      <c r="A495" s="264"/>
      <c r="B495" s="264"/>
      <c r="C495" s="264"/>
      <c r="D495" s="264"/>
      <c r="E495" s="264"/>
      <c r="F495" s="264"/>
      <c r="G495" s="264"/>
      <c r="H495" s="264"/>
      <c r="I495" s="264"/>
      <c r="J495" s="264"/>
      <c r="K495" s="264"/>
      <c r="L495" s="264"/>
      <c r="M495" s="264"/>
      <c r="N495" s="264"/>
      <c r="O495" s="264"/>
      <c r="P495" s="264"/>
      <c r="Q495" s="264"/>
      <c r="R495" s="264"/>
      <c r="S495" s="264"/>
      <c r="T495" s="264"/>
      <c r="U495" s="264"/>
    </row>
    <row r="496">
      <c r="A496" s="264"/>
      <c r="B496" s="264"/>
      <c r="C496" s="264"/>
      <c r="D496" s="264"/>
      <c r="E496" s="264"/>
      <c r="F496" s="264"/>
      <c r="G496" s="264"/>
      <c r="H496" s="264"/>
      <c r="I496" s="264"/>
      <c r="J496" s="264"/>
      <c r="K496" s="264"/>
      <c r="L496" s="264"/>
      <c r="M496" s="264"/>
      <c r="N496" s="264"/>
      <c r="O496" s="264"/>
      <c r="P496" s="264"/>
      <c r="Q496" s="264"/>
      <c r="R496" s="264"/>
      <c r="S496" s="264"/>
      <c r="T496" s="264"/>
      <c r="U496" s="264"/>
    </row>
    <row r="497">
      <c r="A497" s="264"/>
      <c r="B497" s="264"/>
      <c r="C497" s="264"/>
      <c r="D497" s="264"/>
      <c r="E497" s="264"/>
      <c r="F497" s="264"/>
      <c r="G497" s="264"/>
      <c r="H497" s="264"/>
      <c r="I497" s="264"/>
      <c r="J497" s="264"/>
      <c r="K497" s="264"/>
      <c r="L497" s="264"/>
      <c r="M497" s="264"/>
      <c r="N497" s="264"/>
      <c r="O497" s="264"/>
      <c r="P497" s="264"/>
      <c r="Q497" s="264"/>
      <c r="R497" s="264"/>
      <c r="S497" s="264"/>
      <c r="T497" s="264"/>
      <c r="U497" s="264"/>
    </row>
    <row r="498">
      <c r="A498" s="264"/>
      <c r="B498" s="264"/>
      <c r="C498" s="264"/>
      <c r="D498" s="264"/>
      <c r="E498" s="264"/>
      <c r="F498" s="264"/>
      <c r="G498" s="264"/>
      <c r="H498" s="264"/>
      <c r="I498" s="264"/>
      <c r="J498" s="264"/>
      <c r="K498" s="264"/>
      <c r="L498" s="264"/>
      <c r="M498" s="264"/>
      <c r="N498" s="264"/>
      <c r="O498" s="264"/>
      <c r="P498" s="264"/>
      <c r="Q498" s="264"/>
      <c r="R498" s="264"/>
      <c r="S498" s="264"/>
      <c r="T498" s="264"/>
      <c r="U498" s="264"/>
    </row>
    <row r="499">
      <c r="A499" s="264"/>
      <c r="B499" s="264"/>
      <c r="C499" s="264"/>
      <c r="D499" s="264"/>
      <c r="E499" s="264"/>
      <c r="F499" s="264"/>
      <c r="G499" s="264"/>
      <c r="H499" s="264"/>
      <c r="I499" s="264"/>
      <c r="J499" s="264"/>
      <c r="K499" s="264"/>
      <c r="L499" s="264"/>
      <c r="M499" s="264"/>
      <c r="N499" s="264"/>
      <c r="O499" s="264"/>
      <c r="P499" s="264"/>
      <c r="Q499" s="264"/>
      <c r="R499" s="264"/>
      <c r="S499" s="264"/>
      <c r="T499" s="264"/>
      <c r="U499" s="264"/>
    </row>
    <row r="500">
      <c r="A500" s="264"/>
      <c r="B500" s="264"/>
      <c r="C500" s="264"/>
      <c r="D500" s="264"/>
      <c r="E500" s="264"/>
      <c r="F500" s="264"/>
      <c r="G500" s="264"/>
      <c r="H500" s="264"/>
      <c r="I500" s="264"/>
      <c r="J500" s="264"/>
      <c r="K500" s="264"/>
      <c r="L500" s="264"/>
      <c r="M500" s="264"/>
      <c r="N500" s="264"/>
      <c r="O500" s="264"/>
      <c r="P500" s="264"/>
      <c r="Q500" s="264"/>
      <c r="R500" s="264"/>
      <c r="S500" s="264"/>
      <c r="T500" s="264"/>
      <c r="U500" s="264"/>
    </row>
    <row r="501">
      <c r="A501" s="264"/>
      <c r="B501" s="264"/>
      <c r="C501" s="264"/>
      <c r="D501" s="264"/>
      <c r="E501" s="264"/>
      <c r="F501" s="264"/>
      <c r="G501" s="264"/>
      <c r="H501" s="264"/>
      <c r="I501" s="264"/>
      <c r="J501" s="264"/>
      <c r="K501" s="264"/>
      <c r="L501" s="264"/>
      <c r="M501" s="264"/>
      <c r="N501" s="264"/>
      <c r="O501" s="264"/>
      <c r="P501" s="264"/>
      <c r="Q501" s="264"/>
      <c r="R501" s="264"/>
      <c r="S501" s="264"/>
      <c r="T501" s="264"/>
      <c r="U501" s="264"/>
    </row>
    <row r="502">
      <c r="A502" s="264"/>
      <c r="B502" s="264"/>
      <c r="C502" s="264"/>
      <c r="D502" s="264"/>
      <c r="E502" s="264"/>
      <c r="F502" s="264"/>
      <c r="G502" s="264"/>
      <c r="H502" s="264"/>
      <c r="I502" s="264"/>
      <c r="J502" s="264"/>
      <c r="K502" s="264"/>
      <c r="L502" s="264"/>
      <c r="M502" s="264"/>
      <c r="N502" s="264"/>
      <c r="O502" s="264"/>
      <c r="P502" s="264"/>
      <c r="Q502" s="264"/>
      <c r="R502" s="264"/>
      <c r="S502" s="264"/>
      <c r="T502" s="264"/>
      <c r="U502" s="264"/>
    </row>
    <row r="503">
      <c r="A503" s="264"/>
      <c r="B503" s="264"/>
      <c r="C503" s="264"/>
      <c r="D503" s="264"/>
      <c r="E503" s="264"/>
      <c r="F503" s="264"/>
      <c r="G503" s="264"/>
      <c r="H503" s="264"/>
      <c r="I503" s="264"/>
      <c r="J503" s="264"/>
      <c r="K503" s="264"/>
      <c r="L503" s="264"/>
      <c r="M503" s="264"/>
      <c r="N503" s="264"/>
      <c r="O503" s="264"/>
      <c r="P503" s="264"/>
      <c r="Q503" s="264"/>
      <c r="R503" s="264"/>
      <c r="S503" s="264"/>
      <c r="T503" s="264"/>
      <c r="U503" s="264"/>
    </row>
    <row r="504">
      <c r="A504" s="264"/>
      <c r="B504" s="264"/>
      <c r="C504" s="264"/>
      <c r="D504" s="264"/>
      <c r="E504" s="264"/>
      <c r="F504" s="264"/>
      <c r="G504" s="264"/>
      <c r="H504" s="264"/>
      <c r="I504" s="264"/>
      <c r="J504" s="264"/>
      <c r="K504" s="264"/>
      <c r="L504" s="264"/>
      <c r="M504" s="264"/>
      <c r="N504" s="264"/>
      <c r="O504" s="264"/>
      <c r="P504" s="264"/>
      <c r="Q504" s="264"/>
      <c r="R504" s="264"/>
      <c r="S504" s="264"/>
      <c r="T504" s="264"/>
      <c r="U504" s="264"/>
    </row>
    <row r="505">
      <c r="A505" s="264"/>
      <c r="B505" s="264"/>
      <c r="C505" s="264"/>
      <c r="D505" s="264"/>
      <c r="E505" s="264"/>
      <c r="F505" s="264"/>
      <c r="G505" s="264"/>
      <c r="H505" s="264"/>
      <c r="I505" s="264"/>
      <c r="J505" s="264"/>
      <c r="K505" s="264"/>
      <c r="L505" s="264"/>
      <c r="M505" s="264"/>
      <c r="N505" s="264"/>
      <c r="O505" s="264"/>
      <c r="P505" s="264"/>
      <c r="Q505" s="264"/>
      <c r="R505" s="264"/>
      <c r="S505" s="264"/>
      <c r="T505" s="264"/>
      <c r="U505" s="264"/>
    </row>
    <row r="506">
      <c r="A506" s="264"/>
      <c r="B506" s="264"/>
      <c r="C506" s="264"/>
      <c r="D506" s="264"/>
      <c r="E506" s="264"/>
      <c r="F506" s="264"/>
      <c r="G506" s="264"/>
      <c r="H506" s="264"/>
      <c r="I506" s="264"/>
      <c r="J506" s="264"/>
      <c r="K506" s="264"/>
      <c r="L506" s="264"/>
      <c r="M506" s="264"/>
      <c r="N506" s="264"/>
      <c r="O506" s="264"/>
      <c r="P506" s="264"/>
      <c r="Q506" s="264"/>
      <c r="R506" s="264"/>
      <c r="S506" s="264"/>
      <c r="T506" s="264"/>
      <c r="U506" s="264"/>
    </row>
    <row r="507">
      <c r="A507" s="264"/>
      <c r="B507" s="264"/>
      <c r="C507" s="264"/>
      <c r="D507" s="264"/>
      <c r="E507" s="264"/>
      <c r="F507" s="264"/>
      <c r="G507" s="264"/>
      <c r="H507" s="264"/>
      <c r="I507" s="264"/>
      <c r="J507" s="264"/>
      <c r="K507" s="264"/>
      <c r="L507" s="264"/>
      <c r="M507" s="264"/>
      <c r="N507" s="264"/>
      <c r="O507" s="264"/>
      <c r="P507" s="264"/>
      <c r="Q507" s="264"/>
      <c r="R507" s="264"/>
      <c r="S507" s="264"/>
      <c r="T507" s="264"/>
      <c r="U507" s="264"/>
    </row>
    <row r="508">
      <c r="A508" s="264"/>
      <c r="B508" s="264"/>
      <c r="C508" s="264"/>
      <c r="D508" s="264"/>
      <c r="E508" s="264"/>
      <c r="F508" s="264"/>
      <c r="G508" s="264"/>
      <c r="H508" s="264"/>
      <c r="I508" s="264"/>
      <c r="J508" s="264"/>
      <c r="K508" s="264"/>
      <c r="L508" s="264"/>
      <c r="M508" s="264"/>
      <c r="N508" s="264"/>
      <c r="O508" s="264"/>
      <c r="P508" s="264"/>
      <c r="Q508" s="264"/>
      <c r="R508" s="264"/>
      <c r="S508" s="264"/>
      <c r="T508" s="264"/>
      <c r="U508" s="264"/>
    </row>
    <row r="509">
      <c r="A509" s="264"/>
      <c r="B509" s="264"/>
      <c r="C509" s="264"/>
      <c r="D509" s="264"/>
      <c r="E509" s="264"/>
      <c r="F509" s="264"/>
      <c r="G509" s="264"/>
      <c r="H509" s="264"/>
      <c r="I509" s="264"/>
      <c r="J509" s="264"/>
      <c r="K509" s="264"/>
      <c r="L509" s="264"/>
      <c r="M509" s="264"/>
      <c r="N509" s="264"/>
      <c r="O509" s="264"/>
      <c r="P509" s="264"/>
      <c r="Q509" s="264"/>
      <c r="R509" s="264"/>
      <c r="S509" s="264"/>
      <c r="T509" s="264"/>
      <c r="U509" s="264"/>
    </row>
    <row r="510">
      <c r="A510" s="264"/>
      <c r="B510" s="264"/>
      <c r="C510" s="264"/>
      <c r="D510" s="264"/>
      <c r="E510" s="264"/>
      <c r="F510" s="264"/>
      <c r="G510" s="264"/>
      <c r="H510" s="264"/>
      <c r="I510" s="264"/>
      <c r="J510" s="264"/>
      <c r="K510" s="264"/>
      <c r="L510" s="264"/>
      <c r="M510" s="264"/>
      <c r="N510" s="264"/>
      <c r="O510" s="264"/>
      <c r="P510" s="264"/>
      <c r="Q510" s="264"/>
      <c r="R510" s="264"/>
      <c r="S510" s="264"/>
      <c r="T510" s="264"/>
      <c r="U510" s="264"/>
    </row>
    <row r="511">
      <c r="A511" s="264"/>
      <c r="B511" s="264"/>
      <c r="C511" s="264"/>
      <c r="D511" s="264"/>
      <c r="E511" s="264"/>
      <c r="F511" s="264"/>
      <c r="G511" s="264"/>
      <c r="H511" s="264"/>
      <c r="I511" s="264"/>
      <c r="J511" s="264"/>
      <c r="K511" s="264"/>
      <c r="L511" s="264"/>
      <c r="M511" s="264"/>
      <c r="N511" s="264"/>
      <c r="O511" s="264"/>
      <c r="P511" s="264"/>
      <c r="Q511" s="264"/>
      <c r="R511" s="264"/>
      <c r="S511" s="264"/>
      <c r="T511" s="264"/>
      <c r="U511" s="264"/>
    </row>
    <row r="512">
      <c r="A512" s="264"/>
      <c r="B512" s="264"/>
      <c r="C512" s="264"/>
      <c r="D512" s="264"/>
      <c r="E512" s="264"/>
      <c r="F512" s="264"/>
      <c r="G512" s="264"/>
      <c r="H512" s="264"/>
      <c r="I512" s="264"/>
      <c r="J512" s="264"/>
      <c r="K512" s="264"/>
      <c r="L512" s="264"/>
      <c r="M512" s="264"/>
      <c r="N512" s="264"/>
      <c r="O512" s="264"/>
      <c r="P512" s="264"/>
      <c r="Q512" s="264"/>
      <c r="R512" s="264"/>
      <c r="S512" s="264"/>
      <c r="T512" s="264"/>
      <c r="U512" s="264"/>
    </row>
    <row r="513">
      <c r="A513" s="264"/>
      <c r="B513" s="264"/>
      <c r="C513" s="264"/>
      <c r="D513" s="264"/>
      <c r="E513" s="264"/>
      <c r="F513" s="264"/>
      <c r="G513" s="264"/>
      <c r="H513" s="264"/>
      <c r="I513" s="264"/>
      <c r="J513" s="264"/>
      <c r="K513" s="264"/>
      <c r="L513" s="264"/>
      <c r="M513" s="264"/>
      <c r="N513" s="264"/>
      <c r="O513" s="264"/>
      <c r="P513" s="264"/>
      <c r="Q513" s="264"/>
      <c r="R513" s="264"/>
      <c r="S513" s="264"/>
      <c r="T513" s="264"/>
      <c r="U513" s="264"/>
    </row>
    <row r="514">
      <c r="A514" s="264"/>
      <c r="B514" s="264"/>
      <c r="C514" s="264"/>
      <c r="D514" s="264"/>
      <c r="E514" s="264"/>
      <c r="F514" s="264"/>
      <c r="G514" s="264"/>
      <c r="H514" s="264"/>
      <c r="I514" s="264"/>
      <c r="J514" s="264"/>
      <c r="K514" s="264"/>
      <c r="L514" s="264"/>
      <c r="M514" s="264"/>
      <c r="N514" s="264"/>
      <c r="O514" s="264"/>
      <c r="P514" s="264"/>
      <c r="Q514" s="264"/>
      <c r="R514" s="264"/>
      <c r="S514" s="264"/>
      <c r="T514" s="264"/>
      <c r="U514" s="264"/>
    </row>
    <row r="515">
      <c r="A515" s="264"/>
      <c r="B515" s="264"/>
      <c r="C515" s="264"/>
      <c r="D515" s="264"/>
      <c r="E515" s="264"/>
      <c r="F515" s="264"/>
      <c r="G515" s="264"/>
      <c r="H515" s="264"/>
      <c r="I515" s="264"/>
      <c r="J515" s="264"/>
      <c r="K515" s="264"/>
      <c r="L515" s="264"/>
      <c r="M515" s="264"/>
      <c r="N515" s="264"/>
      <c r="O515" s="264"/>
      <c r="P515" s="264"/>
      <c r="Q515" s="264"/>
      <c r="R515" s="264"/>
      <c r="S515" s="264"/>
      <c r="T515" s="264"/>
      <c r="U515" s="264"/>
    </row>
    <row r="516">
      <c r="A516" s="264"/>
      <c r="B516" s="264"/>
      <c r="C516" s="264"/>
      <c r="D516" s="264"/>
      <c r="E516" s="264"/>
      <c r="F516" s="264"/>
      <c r="G516" s="264"/>
      <c r="H516" s="264"/>
      <c r="I516" s="264"/>
      <c r="J516" s="264"/>
      <c r="K516" s="264"/>
      <c r="L516" s="264"/>
      <c r="M516" s="264"/>
      <c r="N516" s="264"/>
      <c r="O516" s="264"/>
      <c r="P516" s="264"/>
      <c r="Q516" s="264"/>
      <c r="R516" s="264"/>
      <c r="S516" s="264"/>
      <c r="T516" s="264"/>
      <c r="U516" s="264"/>
    </row>
    <row r="517">
      <c r="A517" s="264"/>
      <c r="B517" s="264"/>
      <c r="C517" s="264"/>
      <c r="D517" s="264"/>
      <c r="E517" s="264"/>
      <c r="F517" s="264"/>
      <c r="G517" s="264"/>
      <c r="H517" s="264"/>
      <c r="I517" s="264"/>
      <c r="J517" s="264"/>
      <c r="K517" s="264"/>
      <c r="L517" s="264"/>
      <c r="M517" s="264"/>
      <c r="N517" s="264"/>
      <c r="O517" s="264"/>
      <c r="P517" s="264"/>
      <c r="Q517" s="264"/>
      <c r="R517" s="264"/>
      <c r="S517" s="264"/>
      <c r="T517" s="264"/>
      <c r="U517" s="264"/>
    </row>
    <row r="518">
      <c r="A518" s="264"/>
      <c r="B518" s="264"/>
      <c r="C518" s="264"/>
      <c r="D518" s="264"/>
      <c r="E518" s="264"/>
      <c r="F518" s="264"/>
      <c r="G518" s="264"/>
      <c r="H518" s="264"/>
      <c r="I518" s="264"/>
      <c r="J518" s="264"/>
      <c r="K518" s="264"/>
      <c r="L518" s="264"/>
      <c r="M518" s="264"/>
      <c r="N518" s="264"/>
      <c r="O518" s="264"/>
      <c r="P518" s="264"/>
      <c r="Q518" s="264"/>
      <c r="R518" s="264"/>
      <c r="S518" s="264"/>
      <c r="T518" s="264"/>
      <c r="U518" s="264"/>
    </row>
    <row r="519">
      <c r="A519" s="264"/>
      <c r="B519" s="264"/>
      <c r="C519" s="264"/>
      <c r="D519" s="264"/>
      <c r="E519" s="264"/>
      <c r="F519" s="264"/>
      <c r="G519" s="264"/>
      <c r="H519" s="264"/>
      <c r="I519" s="264"/>
      <c r="J519" s="264"/>
      <c r="K519" s="264"/>
      <c r="L519" s="264"/>
      <c r="M519" s="264"/>
      <c r="N519" s="264"/>
      <c r="O519" s="264"/>
      <c r="P519" s="264"/>
      <c r="Q519" s="264"/>
      <c r="R519" s="264"/>
      <c r="S519" s="264"/>
      <c r="T519" s="264"/>
      <c r="U519" s="264"/>
    </row>
    <row r="520">
      <c r="A520" s="264"/>
      <c r="B520" s="264"/>
      <c r="C520" s="264"/>
      <c r="D520" s="264"/>
      <c r="E520" s="264"/>
      <c r="F520" s="264"/>
      <c r="G520" s="264"/>
      <c r="H520" s="264"/>
      <c r="I520" s="264"/>
      <c r="J520" s="264"/>
      <c r="K520" s="264"/>
      <c r="L520" s="264"/>
      <c r="M520" s="264"/>
      <c r="N520" s="264"/>
      <c r="O520" s="264"/>
      <c r="P520" s="264"/>
      <c r="Q520" s="264"/>
      <c r="R520" s="264"/>
      <c r="S520" s="264"/>
      <c r="T520" s="264"/>
      <c r="U520" s="264"/>
    </row>
    <row r="521">
      <c r="A521" s="264"/>
      <c r="B521" s="264"/>
      <c r="C521" s="264"/>
      <c r="D521" s="264"/>
      <c r="E521" s="264"/>
      <c r="F521" s="264"/>
      <c r="G521" s="264"/>
      <c r="H521" s="264"/>
      <c r="I521" s="264"/>
      <c r="J521" s="264"/>
      <c r="K521" s="264"/>
      <c r="L521" s="264"/>
      <c r="M521" s="264"/>
      <c r="N521" s="264"/>
      <c r="O521" s="264"/>
      <c r="P521" s="264"/>
      <c r="Q521" s="264"/>
      <c r="R521" s="264"/>
      <c r="S521" s="264"/>
      <c r="T521" s="264"/>
      <c r="U521" s="264"/>
    </row>
    <row r="522">
      <c r="A522" s="264"/>
      <c r="B522" s="264"/>
      <c r="C522" s="264"/>
      <c r="D522" s="264"/>
      <c r="E522" s="264"/>
      <c r="F522" s="264"/>
      <c r="G522" s="264"/>
      <c r="H522" s="264"/>
      <c r="I522" s="264"/>
      <c r="J522" s="264"/>
      <c r="K522" s="264"/>
      <c r="L522" s="264"/>
      <c r="M522" s="264"/>
      <c r="N522" s="264"/>
      <c r="O522" s="264"/>
      <c r="P522" s="264"/>
      <c r="Q522" s="264"/>
      <c r="R522" s="264"/>
      <c r="S522" s="264"/>
      <c r="T522" s="264"/>
      <c r="U522" s="264"/>
    </row>
    <row r="523">
      <c r="A523" s="264"/>
      <c r="B523" s="264"/>
      <c r="C523" s="264"/>
      <c r="D523" s="264"/>
      <c r="E523" s="264"/>
      <c r="F523" s="264"/>
      <c r="G523" s="264"/>
      <c r="H523" s="264"/>
      <c r="I523" s="264"/>
      <c r="J523" s="264"/>
      <c r="K523" s="264"/>
      <c r="L523" s="264"/>
      <c r="M523" s="264"/>
      <c r="N523" s="264"/>
      <c r="O523" s="264"/>
      <c r="P523" s="264"/>
      <c r="Q523" s="264"/>
      <c r="R523" s="264"/>
      <c r="S523" s="264"/>
      <c r="T523" s="264"/>
      <c r="U523" s="264"/>
    </row>
    <row r="524">
      <c r="A524" s="264"/>
      <c r="B524" s="264"/>
      <c r="C524" s="264"/>
      <c r="D524" s="264"/>
      <c r="E524" s="264"/>
      <c r="F524" s="264"/>
      <c r="G524" s="264"/>
      <c r="H524" s="264"/>
      <c r="I524" s="264"/>
      <c r="J524" s="264"/>
      <c r="K524" s="264"/>
      <c r="L524" s="264"/>
      <c r="M524" s="264"/>
      <c r="N524" s="264"/>
      <c r="O524" s="264"/>
      <c r="P524" s="264"/>
      <c r="Q524" s="264"/>
      <c r="R524" s="264"/>
      <c r="S524" s="264"/>
      <c r="T524" s="264"/>
      <c r="U524" s="264"/>
    </row>
    <row r="525">
      <c r="A525" s="264"/>
      <c r="B525" s="264"/>
      <c r="C525" s="264"/>
      <c r="D525" s="264"/>
      <c r="E525" s="264"/>
      <c r="F525" s="264"/>
      <c r="G525" s="264"/>
      <c r="H525" s="264"/>
      <c r="I525" s="264"/>
      <c r="J525" s="264"/>
      <c r="K525" s="264"/>
      <c r="L525" s="264"/>
      <c r="M525" s="264"/>
      <c r="N525" s="264"/>
      <c r="O525" s="264"/>
      <c r="P525" s="264"/>
      <c r="Q525" s="264"/>
      <c r="R525" s="264"/>
      <c r="S525" s="264"/>
      <c r="T525" s="264"/>
      <c r="U525" s="264"/>
    </row>
    <row r="526">
      <c r="A526" s="264"/>
      <c r="B526" s="264"/>
      <c r="C526" s="264"/>
      <c r="D526" s="264"/>
      <c r="E526" s="264"/>
      <c r="F526" s="264"/>
      <c r="G526" s="264"/>
      <c r="H526" s="264"/>
      <c r="I526" s="264"/>
      <c r="J526" s="264"/>
      <c r="K526" s="264"/>
      <c r="L526" s="264"/>
      <c r="M526" s="264"/>
      <c r="N526" s="264"/>
      <c r="O526" s="264"/>
      <c r="P526" s="264"/>
      <c r="Q526" s="264"/>
      <c r="R526" s="264"/>
      <c r="S526" s="264"/>
      <c r="T526" s="264"/>
      <c r="U526" s="264"/>
    </row>
    <row r="527">
      <c r="A527" s="264"/>
      <c r="B527" s="264"/>
      <c r="C527" s="264"/>
      <c r="D527" s="264"/>
      <c r="E527" s="264"/>
      <c r="F527" s="264"/>
      <c r="G527" s="264"/>
      <c r="H527" s="264"/>
      <c r="I527" s="264"/>
      <c r="J527" s="264"/>
      <c r="K527" s="264"/>
      <c r="L527" s="264"/>
      <c r="M527" s="264"/>
      <c r="N527" s="264"/>
      <c r="O527" s="264"/>
      <c r="P527" s="264"/>
      <c r="Q527" s="264"/>
      <c r="R527" s="264"/>
      <c r="S527" s="264"/>
      <c r="T527" s="264"/>
      <c r="U527" s="264"/>
    </row>
    <row r="528">
      <c r="A528" s="264"/>
      <c r="B528" s="264"/>
      <c r="C528" s="264"/>
      <c r="D528" s="264"/>
      <c r="E528" s="264"/>
      <c r="F528" s="264"/>
      <c r="G528" s="264"/>
      <c r="H528" s="264"/>
      <c r="I528" s="264"/>
      <c r="J528" s="264"/>
      <c r="K528" s="264"/>
      <c r="L528" s="264"/>
      <c r="M528" s="264"/>
      <c r="N528" s="264"/>
      <c r="O528" s="264"/>
      <c r="P528" s="264"/>
      <c r="Q528" s="264"/>
      <c r="R528" s="264"/>
      <c r="S528" s="264"/>
      <c r="T528" s="264"/>
      <c r="U528" s="264"/>
    </row>
    <row r="529">
      <c r="A529" s="264"/>
      <c r="B529" s="264"/>
      <c r="C529" s="264"/>
      <c r="D529" s="264"/>
      <c r="E529" s="264"/>
      <c r="F529" s="264"/>
      <c r="G529" s="264"/>
      <c r="H529" s="264"/>
      <c r="I529" s="264"/>
      <c r="J529" s="264"/>
      <c r="K529" s="264"/>
      <c r="L529" s="264"/>
      <c r="M529" s="264"/>
      <c r="N529" s="264"/>
      <c r="O529" s="264"/>
      <c r="P529" s="264"/>
      <c r="Q529" s="264"/>
      <c r="R529" s="264"/>
      <c r="S529" s="264"/>
      <c r="T529" s="264"/>
      <c r="U529" s="264"/>
    </row>
    <row r="530">
      <c r="A530" s="264"/>
      <c r="B530" s="264"/>
      <c r="C530" s="264"/>
      <c r="D530" s="264"/>
      <c r="E530" s="264"/>
      <c r="F530" s="264"/>
      <c r="G530" s="264"/>
      <c r="H530" s="264"/>
      <c r="I530" s="264"/>
      <c r="J530" s="264"/>
      <c r="K530" s="264"/>
      <c r="L530" s="264"/>
      <c r="M530" s="264"/>
      <c r="N530" s="264"/>
      <c r="O530" s="264"/>
      <c r="P530" s="264"/>
      <c r="Q530" s="264"/>
      <c r="R530" s="264"/>
      <c r="S530" s="264"/>
      <c r="T530" s="264"/>
      <c r="U530" s="264"/>
    </row>
    <row r="531">
      <c r="A531" s="264"/>
      <c r="B531" s="264"/>
      <c r="C531" s="264"/>
      <c r="D531" s="264"/>
      <c r="E531" s="264"/>
      <c r="F531" s="264"/>
      <c r="G531" s="264"/>
      <c r="H531" s="264"/>
      <c r="I531" s="264"/>
      <c r="J531" s="264"/>
      <c r="K531" s="264"/>
      <c r="L531" s="264"/>
      <c r="M531" s="264"/>
      <c r="N531" s="264"/>
      <c r="O531" s="264"/>
      <c r="P531" s="264"/>
      <c r="Q531" s="264"/>
      <c r="R531" s="264"/>
      <c r="S531" s="264"/>
      <c r="T531" s="264"/>
      <c r="U531" s="264"/>
    </row>
    <row r="532">
      <c r="A532" s="264"/>
      <c r="B532" s="264"/>
      <c r="C532" s="264"/>
      <c r="D532" s="264"/>
      <c r="E532" s="264"/>
      <c r="F532" s="264"/>
      <c r="G532" s="264"/>
      <c r="H532" s="264"/>
      <c r="I532" s="264"/>
      <c r="J532" s="264"/>
      <c r="K532" s="264"/>
      <c r="L532" s="264"/>
      <c r="M532" s="264"/>
      <c r="N532" s="264"/>
      <c r="O532" s="264"/>
      <c r="P532" s="264"/>
      <c r="Q532" s="264"/>
      <c r="R532" s="264"/>
      <c r="S532" s="264"/>
      <c r="T532" s="264"/>
      <c r="U532" s="264"/>
    </row>
    <row r="533">
      <c r="A533" s="264"/>
      <c r="B533" s="264"/>
      <c r="C533" s="264"/>
      <c r="D533" s="264"/>
      <c r="E533" s="264"/>
      <c r="F533" s="264"/>
      <c r="G533" s="264"/>
      <c r="H533" s="264"/>
      <c r="I533" s="264"/>
      <c r="J533" s="264"/>
      <c r="K533" s="264"/>
      <c r="L533" s="264"/>
      <c r="M533" s="264"/>
      <c r="N533" s="264"/>
      <c r="O533" s="264"/>
      <c r="P533" s="264"/>
      <c r="Q533" s="264"/>
      <c r="R533" s="264"/>
      <c r="S533" s="264"/>
      <c r="T533" s="264"/>
      <c r="U533" s="264"/>
    </row>
    <row r="534">
      <c r="A534" s="264"/>
      <c r="B534" s="264"/>
      <c r="C534" s="264"/>
      <c r="D534" s="264"/>
      <c r="E534" s="264"/>
      <c r="F534" s="264"/>
      <c r="G534" s="264"/>
      <c r="H534" s="264"/>
      <c r="I534" s="264"/>
      <c r="J534" s="264"/>
      <c r="K534" s="264"/>
      <c r="L534" s="264"/>
      <c r="M534" s="264"/>
      <c r="N534" s="264"/>
      <c r="O534" s="264"/>
      <c r="P534" s="264"/>
      <c r="Q534" s="264"/>
      <c r="R534" s="264"/>
      <c r="S534" s="264"/>
      <c r="T534" s="264"/>
      <c r="U534" s="264"/>
    </row>
    <row r="535">
      <c r="A535" s="264"/>
      <c r="B535" s="264"/>
      <c r="C535" s="264"/>
      <c r="D535" s="264"/>
      <c r="E535" s="264"/>
      <c r="F535" s="264"/>
      <c r="G535" s="264"/>
      <c r="H535" s="264"/>
      <c r="I535" s="264"/>
      <c r="J535" s="264"/>
      <c r="K535" s="264"/>
      <c r="L535" s="264"/>
      <c r="M535" s="264"/>
      <c r="N535" s="264"/>
      <c r="O535" s="264"/>
      <c r="P535" s="264"/>
      <c r="Q535" s="264"/>
      <c r="R535" s="264"/>
      <c r="S535" s="264"/>
      <c r="T535" s="264"/>
      <c r="U535" s="264"/>
    </row>
    <row r="536">
      <c r="A536" s="264"/>
      <c r="B536" s="264"/>
      <c r="C536" s="264"/>
      <c r="D536" s="264"/>
      <c r="E536" s="264"/>
      <c r="F536" s="264"/>
      <c r="G536" s="264"/>
      <c r="H536" s="264"/>
      <c r="I536" s="264"/>
      <c r="J536" s="264"/>
      <c r="K536" s="264"/>
      <c r="L536" s="264"/>
      <c r="M536" s="264"/>
      <c r="N536" s="264"/>
      <c r="O536" s="264"/>
      <c r="P536" s="264"/>
      <c r="Q536" s="264"/>
      <c r="R536" s="264"/>
      <c r="S536" s="264"/>
      <c r="T536" s="264"/>
      <c r="U536" s="264"/>
    </row>
    <row r="537">
      <c r="A537" s="264"/>
      <c r="B537" s="264"/>
      <c r="C537" s="264"/>
      <c r="D537" s="264"/>
      <c r="E537" s="264"/>
      <c r="F537" s="264"/>
      <c r="G537" s="264"/>
      <c r="H537" s="264"/>
      <c r="I537" s="264"/>
      <c r="J537" s="264"/>
      <c r="K537" s="264"/>
      <c r="L537" s="264"/>
      <c r="M537" s="264"/>
      <c r="N537" s="264"/>
      <c r="O537" s="264"/>
      <c r="P537" s="264"/>
      <c r="Q537" s="264"/>
      <c r="R537" s="264"/>
      <c r="S537" s="264"/>
      <c r="T537" s="264"/>
      <c r="U537" s="264"/>
    </row>
    <row r="538">
      <c r="A538" s="264"/>
      <c r="B538" s="264"/>
      <c r="C538" s="264"/>
      <c r="D538" s="264"/>
      <c r="E538" s="264"/>
      <c r="F538" s="264"/>
      <c r="G538" s="264"/>
      <c r="H538" s="264"/>
      <c r="I538" s="264"/>
      <c r="J538" s="264"/>
      <c r="K538" s="264"/>
      <c r="L538" s="264"/>
      <c r="M538" s="264"/>
      <c r="N538" s="264"/>
      <c r="O538" s="264"/>
      <c r="P538" s="264"/>
      <c r="Q538" s="264"/>
      <c r="R538" s="264"/>
      <c r="S538" s="264"/>
      <c r="T538" s="264"/>
      <c r="U538" s="264"/>
    </row>
    <row r="539">
      <c r="A539" s="264"/>
      <c r="B539" s="264"/>
      <c r="C539" s="264"/>
      <c r="D539" s="264"/>
      <c r="E539" s="264"/>
      <c r="F539" s="264"/>
      <c r="G539" s="264"/>
      <c r="H539" s="264"/>
      <c r="I539" s="264"/>
      <c r="J539" s="264"/>
      <c r="K539" s="264"/>
      <c r="L539" s="264"/>
      <c r="M539" s="264"/>
      <c r="N539" s="264"/>
      <c r="O539" s="264"/>
      <c r="P539" s="264"/>
      <c r="Q539" s="264"/>
      <c r="R539" s="264"/>
      <c r="S539" s="264"/>
      <c r="T539" s="264"/>
      <c r="U539" s="264"/>
    </row>
    <row r="540">
      <c r="A540" s="264"/>
      <c r="B540" s="264"/>
      <c r="C540" s="264"/>
      <c r="D540" s="264"/>
      <c r="E540" s="264"/>
      <c r="F540" s="264"/>
      <c r="G540" s="264"/>
      <c r="H540" s="264"/>
      <c r="I540" s="264"/>
      <c r="J540" s="264"/>
      <c r="K540" s="264"/>
      <c r="L540" s="264"/>
      <c r="M540" s="264"/>
      <c r="N540" s="264"/>
      <c r="O540" s="264"/>
      <c r="P540" s="264"/>
      <c r="Q540" s="264"/>
      <c r="R540" s="264"/>
      <c r="S540" s="264"/>
      <c r="T540" s="264"/>
      <c r="U540" s="264"/>
    </row>
    <row r="541">
      <c r="A541" s="264"/>
      <c r="B541" s="264"/>
      <c r="C541" s="264"/>
      <c r="D541" s="264"/>
      <c r="E541" s="264"/>
      <c r="F541" s="264"/>
      <c r="G541" s="264"/>
      <c r="H541" s="264"/>
      <c r="I541" s="264"/>
      <c r="J541" s="264"/>
      <c r="K541" s="264"/>
      <c r="L541" s="264"/>
      <c r="M541" s="264"/>
      <c r="N541" s="264"/>
      <c r="O541" s="264"/>
      <c r="P541" s="264"/>
      <c r="Q541" s="264"/>
      <c r="R541" s="264"/>
      <c r="S541" s="264"/>
      <c r="T541" s="264"/>
      <c r="U541" s="264"/>
    </row>
    <row r="542">
      <c r="A542" s="264"/>
      <c r="B542" s="264"/>
      <c r="C542" s="264"/>
      <c r="D542" s="264"/>
      <c r="E542" s="264"/>
      <c r="F542" s="264"/>
      <c r="G542" s="264"/>
      <c r="H542" s="264"/>
      <c r="I542" s="264"/>
      <c r="J542" s="264"/>
      <c r="K542" s="264"/>
      <c r="L542" s="264"/>
      <c r="M542" s="264"/>
      <c r="N542" s="264"/>
      <c r="O542" s="264"/>
      <c r="P542" s="264"/>
      <c r="Q542" s="264"/>
      <c r="R542" s="264"/>
      <c r="S542" s="264"/>
      <c r="T542" s="264"/>
      <c r="U542" s="264"/>
    </row>
    <row r="543">
      <c r="A543" s="264"/>
      <c r="B543" s="264"/>
      <c r="C543" s="264"/>
      <c r="D543" s="264"/>
      <c r="E543" s="264"/>
      <c r="F543" s="264"/>
      <c r="G543" s="264"/>
      <c r="H543" s="264"/>
      <c r="I543" s="264"/>
      <c r="J543" s="264"/>
      <c r="K543" s="264"/>
      <c r="L543" s="264"/>
      <c r="M543" s="264"/>
      <c r="N543" s="264"/>
      <c r="O543" s="264"/>
      <c r="P543" s="264"/>
      <c r="Q543" s="264"/>
      <c r="R543" s="264"/>
      <c r="S543" s="264"/>
      <c r="T543" s="264"/>
      <c r="U543" s="264"/>
    </row>
    <row r="544">
      <c r="A544" s="264"/>
      <c r="B544" s="264"/>
      <c r="C544" s="264"/>
      <c r="D544" s="264"/>
      <c r="E544" s="264"/>
      <c r="F544" s="264"/>
      <c r="G544" s="264"/>
      <c r="H544" s="264"/>
      <c r="I544" s="264"/>
      <c r="J544" s="264"/>
      <c r="K544" s="264"/>
      <c r="L544" s="264"/>
      <c r="M544" s="264"/>
      <c r="N544" s="264"/>
      <c r="O544" s="264"/>
      <c r="P544" s="264"/>
      <c r="Q544" s="264"/>
      <c r="R544" s="264"/>
      <c r="S544" s="264"/>
      <c r="T544" s="264"/>
      <c r="U544" s="264"/>
    </row>
    <row r="545">
      <c r="A545" s="264"/>
      <c r="B545" s="264"/>
      <c r="C545" s="264"/>
      <c r="D545" s="264"/>
      <c r="E545" s="264"/>
      <c r="F545" s="264"/>
      <c r="G545" s="264"/>
      <c r="H545" s="264"/>
      <c r="I545" s="264"/>
      <c r="J545" s="264"/>
      <c r="K545" s="264"/>
      <c r="L545" s="264"/>
      <c r="M545" s="264"/>
      <c r="N545" s="264"/>
      <c r="O545" s="264"/>
      <c r="P545" s="264"/>
      <c r="Q545" s="264"/>
      <c r="R545" s="264"/>
      <c r="S545" s="264"/>
      <c r="T545" s="264"/>
      <c r="U545" s="264"/>
    </row>
    <row r="546">
      <c r="A546" s="264"/>
      <c r="B546" s="264"/>
      <c r="C546" s="264"/>
      <c r="D546" s="264"/>
      <c r="E546" s="264"/>
      <c r="F546" s="264"/>
      <c r="G546" s="264"/>
      <c r="H546" s="264"/>
      <c r="I546" s="264"/>
      <c r="J546" s="264"/>
      <c r="K546" s="264"/>
      <c r="L546" s="264"/>
      <c r="M546" s="264"/>
      <c r="N546" s="264"/>
      <c r="O546" s="264"/>
      <c r="P546" s="264"/>
      <c r="Q546" s="264"/>
      <c r="R546" s="264"/>
      <c r="S546" s="264"/>
      <c r="T546" s="264"/>
      <c r="U546" s="264"/>
    </row>
    <row r="547">
      <c r="A547" s="264"/>
      <c r="B547" s="264"/>
      <c r="C547" s="264"/>
      <c r="D547" s="264"/>
      <c r="E547" s="264"/>
      <c r="F547" s="264"/>
      <c r="G547" s="264"/>
      <c r="H547" s="264"/>
      <c r="I547" s="264"/>
      <c r="J547" s="264"/>
      <c r="K547" s="264"/>
      <c r="L547" s="264"/>
      <c r="M547" s="264"/>
      <c r="N547" s="264"/>
      <c r="O547" s="264"/>
      <c r="P547" s="264"/>
      <c r="Q547" s="264"/>
      <c r="R547" s="264"/>
      <c r="S547" s="264"/>
      <c r="T547" s="264"/>
      <c r="U547" s="264"/>
    </row>
    <row r="548">
      <c r="A548" s="264"/>
      <c r="B548" s="264"/>
      <c r="C548" s="264"/>
      <c r="D548" s="264"/>
      <c r="E548" s="264"/>
      <c r="F548" s="264"/>
      <c r="G548" s="264"/>
      <c r="H548" s="264"/>
      <c r="I548" s="264"/>
      <c r="J548" s="264"/>
      <c r="K548" s="264"/>
      <c r="L548" s="264"/>
      <c r="M548" s="264"/>
      <c r="N548" s="264"/>
      <c r="O548" s="264"/>
      <c r="P548" s="264"/>
      <c r="Q548" s="264"/>
      <c r="R548" s="264"/>
      <c r="S548" s="264"/>
      <c r="T548" s="264"/>
      <c r="U548" s="264"/>
    </row>
    <row r="549">
      <c r="A549" s="264"/>
      <c r="B549" s="264"/>
      <c r="C549" s="264"/>
      <c r="D549" s="264"/>
      <c r="E549" s="264"/>
      <c r="F549" s="264"/>
      <c r="G549" s="264"/>
      <c r="H549" s="264"/>
      <c r="I549" s="264"/>
      <c r="J549" s="264"/>
      <c r="K549" s="264"/>
      <c r="L549" s="264"/>
      <c r="M549" s="264"/>
      <c r="N549" s="264"/>
      <c r="O549" s="264"/>
      <c r="P549" s="264"/>
      <c r="Q549" s="264"/>
      <c r="R549" s="264"/>
      <c r="S549" s="264"/>
      <c r="T549" s="264"/>
      <c r="U549" s="264"/>
    </row>
    <row r="550">
      <c r="A550" s="264"/>
      <c r="B550" s="264"/>
      <c r="C550" s="264"/>
      <c r="D550" s="264"/>
      <c r="E550" s="264"/>
      <c r="F550" s="264"/>
      <c r="G550" s="264"/>
      <c r="H550" s="264"/>
      <c r="I550" s="264"/>
      <c r="J550" s="264"/>
      <c r="K550" s="264"/>
      <c r="L550" s="264"/>
      <c r="M550" s="264"/>
      <c r="N550" s="264"/>
      <c r="O550" s="264"/>
      <c r="P550" s="264"/>
      <c r="Q550" s="264"/>
      <c r="R550" s="264"/>
      <c r="S550" s="264"/>
      <c r="T550" s="264"/>
      <c r="U550" s="264"/>
    </row>
    <row r="551">
      <c r="A551" s="264"/>
      <c r="B551" s="264"/>
      <c r="C551" s="264"/>
      <c r="D551" s="264"/>
      <c r="E551" s="264"/>
      <c r="F551" s="264"/>
      <c r="G551" s="264"/>
      <c r="H551" s="264"/>
      <c r="I551" s="264"/>
      <c r="J551" s="264"/>
      <c r="K551" s="264"/>
      <c r="L551" s="264"/>
      <c r="M551" s="264"/>
      <c r="N551" s="264"/>
      <c r="O551" s="264"/>
      <c r="P551" s="264"/>
      <c r="Q551" s="264"/>
      <c r="R551" s="264"/>
      <c r="S551" s="264"/>
      <c r="T551" s="264"/>
      <c r="U551" s="264"/>
    </row>
    <row r="552">
      <c r="A552" s="264"/>
      <c r="B552" s="264"/>
      <c r="C552" s="264"/>
      <c r="D552" s="264"/>
      <c r="E552" s="264"/>
      <c r="F552" s="264"/>
      <c r="G552" s="264"/>
      <c r="H552" s="264"/>
      <c r="I552" s="264"/>
      <c r="J552" s="264"/>
      <c r="K552" s="264"/>
      <c r="L552" s="264"/>
      <c r="M552" s="264"/>
      <c r="N552" s="264"/>
      <c r="O552" s="264"/>
      <c r="P552" s="264"/>
      <c r="Q552" s="264"/>
      <c r="R552" s="264"/>
      <c r="S552" s="264"/>
      <c r="T552" s="264"/>
      <c r="U552" s="264"/>
    </row>
    <row r="553">
      <c r="A553" s="264"/>
      <c r="B553" s="264"/>
      <c r="C553" s="264"/>
      <c r="D553" s="264"/>
      <c r="E553" s="264"/>
      <c r="F553" s="264"/>
      <c r="G553" s="264"/>
      <c r="H553" s="264"/>
      <c r="I553" s="264"/>
      <c r="J553" s="264"/>
      <c r="K553" s="264"/>
      <c r="L553" s="264"/>
      <c r="M553" s="264"/>
      <c r="N553" s="264"/>
      <c r="O553" s="264"/>
      <c r="P553" s="264"/>
      <c r="Q553" s="264"/>
      <c r="R553" s="264"/>
      <c r="S553" s="264"/>
      <c r="T553" s="264"/>
      <c r="U553" s="264"/>
    </row>
    <row r="554">
      <c r="A554" s="264"/>
      <c r="B554" s="264"/>
      <c r="C554" s="264"/>
      <c r="D554" s="264"/>
      <c r="E554" s="264"/>
      <c r="F554" s="264"/>
      <c r="G554" s="264"/>
      <c r="H554" s="264"/>
      <c r="I554" s="264"/>
      <c r="J554" s="264"/>
      <c r="K554" s="264"/>
      <c r="L554" s="264"/>
      <c r="M554" s="264"/>
      <c r="N554" s="264"/>
      <c r="O554" s="264"/>
      <c r="P554" s="264"/>
      <c r="Q554" s="264"/>
      <c r="R554" s="264"/>
      <c r="S554" s="264"/>
      <c r="T554" s="264"/>
      <c r="U554" s="264"/>
    </row>
    <row r="555">
      <c r="A555" s="264"/>
      <c r="B555" s="264"/>
      <c r="C555" s="264"/>
      <c r="D555" s="264"/>
      <c r="E555" s="264"/>
      <c r="F555" s="264"/>
      <c r="G555" s="264"/>
      <c r="H555" s="264"/>
      <c r="I555" s="264"/>
      <c r="J555" s="264"/>
      <c r="K555" s="264"/>
      <c r="L555" s="264"/>
      <c r="M555" s="264"/>
      <c r="N555" s="264"/>
      <c r="O555" s="264"/>
      <c r="P555" s="264"/>
      <c r="Q555" s="264"/>
      <c r="R555" s="264"/>
      <c r="S555" s="264"/>
      <c r="T555" s="264"/>
      <c r="U555" s="264"/>
    </row>
    <row r="556">
      <c r="A556" s="264"/>
      <c r="B556" s="264"/>
      <c r="C556" s="264"/>
      <c r="D556" s="264"/>
      <c r="E556" s="264"/>
      <c r="F556" s="264"/>
      <c r="G556" s="264"/>
      <c r="H556" s="264"/>
      <c r="I556" s="264"/>
      <c r="J556" s="264"/>
      <c r="K556" s="264"/>
      <c r="L556" s="264"/>
      <c r="M556" s="264"/>
      <c r="N556" s="264"/>
      <c r="O556" s="264"/>
      <c r="P556" s="264"/>
      <c r="Q556" s="264"/>
      <c r="R556" s="264"/>
      <c r="S556" s="264"/>
      <c r="T556" s="264"/>
      <c r="U556" s="264"/>
    </row>
    <row r="557">
      <c r="A557" s="264"/>
      <c r="B557" s="264"/>
      <c r="C557" s="264"/>
      <c r="D557" s="264"/>
      <c r="E557" s="264"/>
      <c r="F557" s="264"/>
      <c r="G557" s="264"/>
      <c r="H557" s="264"/>
      <c r="I557" s="264"/>
      <c r="J557" s="264"/>
      <c r="K557" s="264"/>
      <c r="L557" s="264"/>
      <c r="M557" s="264"/>
      <c r="N557" s="264"/>
      <c r="O557" s="264"/>
      <c r="P557" s="264"/>
      <c r="Q557" s="264"/>
      <c r="R557" s="264"/>
      <c r="S557" s="264"/>
      <c r="T557" s="264"/>
      <c r="U557" s="264"/>
    </row>
    <row r="558">
      <c r="A558" s="264"/>
      <c r="B558" s="264"/>
      <c r="C558" s="264"/>
      <c r="D558" s="264"/>
      <c r="E558" s="264"/>
      <c r="F558" s="264"/>
      <c r="G558" s="264"/>
      <c r="H558" s="264"/>
      <c r="I558" s="264"/>
      <c r="J558" s="264"/>
      <c r="K558" s="264"/>
      <c r="L558" s="264"/>
      <c r="M558" s="264"/>
      <c r="N558" s="264"/>
      <c r="O558" s="264"/>
      <c r="P558" s="264"/>
      <c r="Q558" s="264"/>
      <c r="R558" s="264"/>
      <c r="S558" s="264"/>
      <c r="T558" s="264"/>
      <c r="U558" s="264"/>
    </row>
    <row r="559">
      <c r="A559" s="264"/>
      <c r="B559" s="264"/>
      <c r="C559" s="264"/>
      <c r="D559" s="264"/>
      <c r="E559" s="264"/>
      <c r="F559" s="264"/>
      <c r="G559" s="264"/>
      <c r="H559" s="264"/>
      <c r="I559" s="264"/>
      <c r="J559" s="264"/>
      <c r="K559" s="264"/>
      <c r="L559" s="264"/>
      <c r="M559" s="264"/>
      <c r="N559" s="264"/>
      <c r="O559" s="264"/>
      <c r="P559" s="264"/>
      <c r="Q559" s="264"/>
      <c r="R559" s="264"/>
      <c r="S559" s="264"/>
      <c r="T559" s="264"/>
      <c r="U559" s="264"/>
    </row>
    <row r="560">
      <c r="A560" s="264"/>
      <c r="B560" s="264"/>
      <c r="C560" s="264"/>
      <c r="D560" s="264"/>
      <c r="E560" s="264"/>
      <c r="F560" s="264"/>
      <c r="G560" s="264"/>
      <c r="H560" s="264"/>
      <c r="I560" s="264"/>
      <c r="J560" s="264"/>
      <c r="K560" s="264"/>
      <c r="L560" s="264"/>
      <c r="M560" s="264"/>
      <c r="N560" s="264"/>
      <c r="O560" s="264"/>
      <c r="P560" s="264"/>
      <c r="Q560" s="264"/>
      <c r="R560" s="264"/>
      <c r="S560" s="264"/>
      <c r="T560" s="264"/>
      <c r="U560" s="264"/>
    </row>
    <row r="561">
      <c r="A561" s="264"/>
      <c r="B561" s="264"/>
      <c r="C561" s="264"/>
      <c r="D561" s="264"/>
      <c r="E561" s="264"/>
      <c r="F561" s="264"/>
      <c r="G561" s="264"/>
      <c r="H561" s="264"/>
      <c r="I561" s="264"/>
      <c r="J561" s="264"/>
      <c r="K561" s="264"/>
      <c r="L561" s="264"/>
      <c r="M561" s="264"/>
      <c r="N561" s="264"/>
      <c r="O561" s="264"/>
      <c r="P561" s="264"/>
      <c r="Q561" s="264"/>
      <c r="R561" s="264"/>
      <c r="S561" s="264"/>
      <c r="T561" s="264"/>
      <c r="U561" s="264"/>
    </row>
    <row r="562">
      <c r="A562" s="264"/>
      <c r="B562" s="264"/>
      <c r="C562" s="264"/>
      <c r="D562" s="264"/>
      <c r="E562" s="264"/>
      <c r="F562" s="264"/>
      <c r="G562" s="264"/>
      <c r="H562" s="264"/>
      <c r="I562" s="264"/>
      <c r="J562" s="264"/>
      <c r="K562" s="264"/>
      <c r="L562" s="264"/>
      <c r="M562" s="264"/>
      <c r="N562" s="264"/>
      <c r="O562" s="264"/>
      <c r="P562" s="264"/>
      <c r="Q562" s="264"/>
      <c r="R562" s="264"/>
      <c r="S562" s="264"/>
      <c r="T562" s="264"/>
      <c r="U562" s="264"/>
    </row>
    <row r="563">
      <c r="A563" s="264"/>
      <c r="B563" s="264"/>
      <c r="C563" s="264"/>
      <c r="D563" s="264"/>
      <c r="E563" s="264"/>
      <c r="F563" s="264"/>
      <c r="G563" s="264"/>
      <c r="H563" s="264"/>
      <c r="I563" s="264"/>
      <c r="J563" s="264"/>
      <c r="K563" s="264"/>
      <c r="L563" s="264"/>
      <c r="M563" s="264"/>
      <c r="N563" s="264"/>
      <c r="O563" s="264"/>
      <c r="P563" s="264"/>
      <c r="Q563" s="264"/>
      <c r="R563" s="264"/>
      <c r="S563" s="264"/>
      <c r="T563" s="264"/>
      <c r="U563" s="264"/>
    </row>
    <row r="564">
      <c r="A564" s="264"/>
      <c r="B564" s="264"/>
      <c r="C564" s="264"/>
      <c r="D564" s="264"/>
      <c r="E564" s="264"/>
      <c r="F564" s="264"/>
      <c r="G564" s="264"/>
      <c r="H564" s="264"/>
      <c r="I564" s="264"/>
      <c r="J564" s="264"/>
      <c r="K564" s="264"/>
      <c r="L564" s="264"/>
      <c r="M564" s="264"/>
      <c r="N564" s="264"/>
      <c r="O564" s="264"/>
      <c r="P564" s="264"/>
      <c r="Q564" s="264"/>
      <c r="R564" s="264"/>
      <c r="S564" s="264"/>
      <c r="T564" s="264"/>
      <c r="U564" s="264"/>
    </row>
    <row r="565">
      <c r="A565" s="264"/>
      <c r="B565" s="264"/>
      <c r="C565" s="264"/>
      <c r="D565" s="264"/>
      <c r="E565" s="264"/>
      <c r="F565" s="264"/>
      <c r="G565" s="264"/>
      <c r="H565" s="264"/>
      <c r="I565" s="264"/>
      <c r="J565" s="264"/>
      <c r="K565" s="264"/>
      <c r="L565" s="264"/>
      <c r="M565" s="264"/>
      <c r="N565" s="264"/>
      <c r="O565" s="264"/>
      <c r="P565" s="264"/>
      <c r="Q565" s="264"/>
      <c r="R565" s="264"/>
      <c r="S565" s="264"/>
      <c r="T565" s="264"/>
      <c r="U565" s="264"/>
    </row>
    <row r="566">
      <c r="A566" s="264"/>
      <c r="B566" s="264"/>
      <c r="C566" s="264"/>
      <c r="D566" s="264"/>
      <c r="E566" s="264"/>
      <c r="F566" s="264"/>
      <c r="G566" s="264"/>
      <c r="H566" s="264"/>
      <c r="I566" s="264"/>
      <c r="J566" s="264"/>
      <c r="K566" s="264"/>
      <c r="L566" s="264"/>
      <c r="M566" s="264"/>
      <c r="N566" s="264"/>
      <c r="O566" s="264"/>
      <c r="P566" s="264"/>
      <c r="Q566" s="264"/>
      <c r="R566" s="264"/>
      <c r="S566" s="264"/>
      <c r="T566" s="264"/>
      <c r="U566" s="264"/>
    </row>
    <row r="567">
      <c r="A567" s="264"/>
      <c r="B567" s="264"/>
      <c r="C567" s="264"/>
      <c r="D567" s="264"/>
      <c r="E567" s="264"/>
      <c r="F567" s="264"/>
      <c r="G567" s="264"/>
      <c r="H567" s="264"/>
      <c r="I567" s="264"/>
      <c r="J567" s="264"/>
      <c r="K567" s="264"/>
      <c r="L567" s="264"/>
      <c r="M567" s="264"/>
      <c r="N567" s="264"/>
      <c r="O567" s="264"/>
      <c r="P567" s="264"/>
      <c r="Q567" s="264"/>
      <c r="R567" s="264"/>
      <c r="S567" s="264"/>
      <c r="T567" s="264"/>
      <c r="U567" s="264"/>
    </row>
    <row r="568">
      <c r="A568" s="264"/>
      <c r="B568" s="264"/>
      <c r="C568" s="264"/>
      <c r="D568" s="264"/>
      <c r="E568" s="264"/>
      <c r="F568" s="264"/>
      <c r="G568" s="264"/>
      <c r="H568" s="264"/>
      <c r="I568" s="264"/>
      <c r="J568" s="264"/>
      <c r="K568" s="264"/>
      <c r="L568" s="264"/>
      <c r="M568" s="264"/>
      <c r="N568" s="264"/>
      <c r="O568" s="264"/>
      <c r="P568" s="264"/>
      <c r="Q568" s="264"/>
      <c r="R568" s="264"/>
      <c r="S568" s="264"/>
      <c r="T568" s="264"/>
      <c r="U568" s="264"/>
    </row>
    <row r="569">
      <c r="A569" s="264"/>
      <c r="B569" s="264"/>
      <c r="C569" s="264"/>
      <c r="D569" s="264"/>
      <c r="E569" s="264"/>
      <c r="F569" s="264"/>
      <c r="G569" s="264"/>
      <c r="H569" s="264"/>
      <c r="I569" s="264"/>
      <c r="J569" s="264"/>
      <c r="K569" s="264"/>
      <c r="L569" s="264"/>
      <c r="M569" s="264"/>
      <c r="N569" s="264"/>
      <c r="O569" s="264"/>
      <c r="P569" s="264"/>
      <c r="Q569" s="264"/>
      <c r="R569" s="264"/>
      <c r="S569" s="264"/>
      <c r="T569" s="264"/>
      <c r="U569" s="264"/>
    </row>
    <row r="570">
      <c r="A570" s="264"/>
      <c r="B570" s="264"/>
      <c r="C570" s="264"/>
      <c r="D570" s="264"/>
      <c r="E570" s="264"/>
      <c r="F570" s="264"/>
      <c r="G570" s="264"/>
      <c r="H570" s="264"/>
      <c r="I570" s="264"/>
      <c r="J570" s="264"/>
      <c r="K570" s="264"/>
      <c r="L570" s="264"/>
      <c r="M570" s="264"/>
      <c r="N570" s="264"/>
      <c r="O570" s="264"/>
      <c r="P570" s="264"/>
      <c r="Q570" s="264"/>
      <c r="R570" s="264"/>
      <c r="S570" s="264"/>
      <c r="T570" s="264"/>
      <c r="U570" s="264"/>
    </row>
    <row r="571">
      <c r="A571" s="264"/>
      <c r="B571" s="264"/>
      <c r="C571" s="264"/>
      <c r="D571" s="264"/>
      <c r="E571" s="264"/>
      <c r="F571" s="264"/>
      <c r="G571" s="264"/>
      <c r="H571" s="264"/>
      <c r="I571" s="264"/>
      <c r="J571" s="264"/>
      <c r="K571" s="264"/>
      <c r="L571" s="264"/>
      <c r="M571" s="264"/>
      <c r="N571" s="264"/>
      <c r="O571" s="264"/>
      <c r="P571" s="264"/>
      <c r="Q571" s="264"/>
      <c r="R571" s="264"/>
      <c r="S571" s="264"/>
      <c r="T571" s="264"/>
      <c r="U571" s="264"/>
    </row>
    <row r="572">
      <c r="A572" s="264"/>
      <c r="B572" s="264"/>
      <c r="C572" s="264"/>
      <c r="D572" s="264"/>
      <c r="E572" s="264"/>
      <c r="F572" s="264"/>
      <c r="G572" s="264"/>
      <c r="H572" s="264"/>
      <c r="I572" s="264"/>
      <c r="J572" s="264"/>
      <c r="K572" s="264"/>
      <c r="L572" s="264"/>
      <c r="M572" s="264"/>
      <c r="N572" s="264"/>
      <c r="O572" s="264"/>
      <c r="P572" s="264"/>
      <c r="Q572" s="264"/>
      <c r="R572" s="264"/>
      <c r="S572" s="264"/>
      <c r="T572" s="264"/>
      <c r="U572" s="264"/>
    </row>
    <row r="573">
      <c r="A573" s="264"/>
      <c r="B573" s="264"/>
      <c r="C573" s="264"/>
      <c r="D573" s="264"/>
      <c r="E573" s="264"/>
      <c r="F573" s="264"/>
      <c r="G573" s="264"/>
      <c r="H573" s="264"/>
      <c r="I573" s="264"/>
      <c r="J573" s="264"/>
      <c r="K573" s="264"/>
      <c r="L573" s="264"/>
      <c r="M573" s="264"/>
      <c r="N573" s="264"/>
      <c r="O573" s="264"/>
      <c r="P573" s="264"/>
      <c r="Q573" s="264"/>
      <c r="R573" s="264"/>
      <c r="S573" s="264"/>
      <c r="T573" s="264"/>
      <c r="U573" s="264"/>
    </row>
    <row r="574">
      <c r="A574" s="264"/>
      <c r="B574" s="264"/>
      <c r="C574" s="264"/>
      <c r="D574" s="264"/>
      <c r="E574" s="264"/>
      <c r="F574" s="264"/>
      <c r="G574" s="264"/>
      <c r="H574" s="264"/>
      <c r="I574" s="264"/>
      <c r="J574" s="264"/>
      <c r="K574" s="264"/>
      <c r="L574" s="264"/>
      <c r="M574" s="264"/>
      <c r="N574" s="264"/>
      <c r="O574" s="264"/>
      <c r="P574" s="264"/>
      <c r="Q574" s="264"/>
      <c r="R574" s="264"/>
      <c r="S574" s="264"/>
      <c r="T574" s="264"/>
      <c r="U574" s="264"/>
    </row>
    <row r="575">
      <c r="A575" s="264"/>
      <c r="B575" s="264"/>
      <c r="C575" s="264"/>
      <c r="D575" s="264"/>
      <c r="E575" s="264"/>
      <c r="F575" s="264"/>
      <c r="G575" s="264"/>
      <c r="H575" s="264"/>
      <c r="I575" s="264"/>
      <c r="J575" s="264"/>
      <c r="K575" s="264"/>
      <c r="L575" s="264"/>
      <c r="M575" s="264"/>
      <c r="N575" s="264"/>
      <c r="O575" s="264"/>
      <c r="P575" s="264"/>
      <c r="Q575" s="264"/>
      <c r="R575" s="264"/>
      <c r="S575" s="264"/>
      <c r="T575" s="264"/>
      <c r="U575" s="264"/>
    </row>
    <row r="576">
      <c r="A576" s="264"/>
      <c r="B576" s="264"/>
      <c r="C576" s="264"/>
      <c r="D576" s="264"/>
      <c r="E576" s="264"/>
      <c r="F576" s="264"/>
      <c r="G576" s="264"/>
      <c r="H576" s="264"/>
      <c r="I576" s="264"/>
      <c r="J576" s="264"/>
      <c r="K576" s="264"/>
      <c r="L576" s="264"/>
      <c r="M576" s="264"/>
      <c r="N576" s="264"/>
      <c r="O576" s="264"/>
      <c r="P576" s="264"/>
      <c r="Q576" s="264"/>
      <c r="R576" s="264"/>
      <c r="S576" s="264"/>
      <c r="T576" s="264"/>
      <c r="U576" s="264"/>
    </row>
    <row r="577">
      <c r="A577" s="264"/>
      <c r="B577" s="264"/>
      <c r="C577" s="264"/>
      <c r="D577" s="264"/>
      <c r="E577" s="264"/>
      <c r="F577" s="264"/>
      <c r="G577" s="264"/>
      <c r="H577" s="264"/>
      <c r="I577" s="264"/>
      <c r="J577" s="264"/>
      <c r="K577" s="264"/>
      <c r="L577" s="264"/>
      <c r="M577" s="264"/>
      <c r="N577" s="264"/>
      <c r="O577" s="264"/>
      <c r="P577" s="264"/>
      <c r="Q577" s="264"/>
      <c r="R577" s="264"/>
      <c r="S577" s="264"/>
      <c r="T577" s="264"/>
      <c r="U577" s="264"/>
    </row>
    <row r="578">
      <c r="A578" s="264"/>
      <c r="B578" s="264"/>
      <c r="C578" s="264"/>
      <c r="D578" s="264"/>
      <c r="E578" s="264"/>
      <c r="F578" s="264"/>
      <c r="G578" s="264"/>
      <c r="H578" s="264"/>
      <c r="I578" s="264"/>
      <c r="J578" s="264"/>
      <c r="K578" s="264"/>
      <c r="L578" s="264"/>
      <c r="M578" s="264"/>
      <c r="N578" s="264"/>
      <c r="O578" s="264"/>
      <c r="P578" s="264"/>
      <c r="Q578" s="264"/>
      <c r="R578" s="264"/>
      <c r="S578" s="264"/>
      <c r="T578" s="264"/>
      <c r="U578" s="264"/>
    </row>
    <row r="579">
      <c r="A579" s="264"/>
      <c r="B579" s="264"/>
      <c r="C579" s="264"/>
      <c r="D579" s="264"/>
      <c r="E579" s="264"/>
      <c r="F579" s="264"/>
      <c r="G579" s="264"/>
      <c r="H579" s="264"/>
      <c r="I579" s="264"/>
      <c r="J579" s="264"/>
      <c r="K579" s="264"/>
      <c r="L579" s="264"/>
      <c r="M579" s="264"/>
      <c r="N579" s="264"/>
      <c r="O579" s="264"/>
      <c r="P579" s="264"/>
      <c r="Q579" s="264"/>
      <c r="R579" s="264"/>
      <c r="S579" s="264"/>
      <c r="T579" s="264"/>
      <c r="U579" s="264"/>
    </row>
    <row r="580">
      <c r="A580" s="264"/>
      <c r="B580" s="264"/>
      <c r="C580" s="264"/>
      <c r="D580" s="264"/>
      <c r="E580" s="264"/>
      <c r="F580" s="264"/>
      <c r="G580" s="264"/>
      <c r="H580" s="264"/>
      <c r="I580" s="264"/>
      <c r="J580" s="264"/>
      <c r="K580" s="264"/>
      <c r="L580" s="264"/>
      <c r="M580" s="264"/>
      <c r="N580" s="264"/>
      <c r="O580" s="264"/>
      <c r="P580" s="264"/>
      <c r="Q580" s="264"/>
      <c r="R580" s="264"/>
      <c r="S580" s="264"/>
      <c r="T580" s="264"/>
      <c r="U580" s="264"/>
    </row>
    <row r="581">
      <c r="A581" s="264"/>
      <c r="B581" s="264"/>
      <c r="C581" s="264"/>
      <c r="D581" s="264"/>
      <c r="E581" s="264"/>
      <c r="F581" s="264"/>
      <c r="G581" s="264"/>
      <c r="H581" s="264"/>
      <c r="I581" s="264"/>
      <c r="J581" s="264"/>
      <c r="K581" s="264"/>
      <c r="L581" s="264"/>
      <c r="M581" s="264"/>
      <c r="N581" s="264"/>
      <c r="O581" s="264"/>
      <c r="P581" s="264"/>
      <c r="Q581" s="264"/>
      <c r="R581" s="264"/>
      <c r="S581" s="264"/>
      <c r="T581" s="264"/>
      <c r="U581" s="264"/>
    </row>
    <row r="582">
      <c r="A582" s="264"/>
      <c r="B582" s="264"/>
      <c r="C582" s="264"/>
      <c r="D582" s="264"/>
      <c r="E582" s="264"/>
      <c r="F582" s="264"/>
      <c r="G582" s="264"/>
      <c r="H582" s="264"/>
      <c r="I582" s="264"/>
      <c r="J582" s="264"/>
      <c r="K582" s="264"/>
      <c r="L582" s="264"/>
      <c r="M582" s="264"/>
      <c r="N582" s="264"/>
      <c r="O582" s="264"/>
      <c r="P582" s="264"/>
      <c r="Q582" s="264"/>
      <c r="R582" s="264"/>
      <c r="S582" s="264"/>
      <c r="T582" s="264"/>
      <c r="U582" s="264"/>
    </row>
    <row r="583">
      <c r="A583" s="264"/>
      <c r="B583" s="264"/>
      <c r="C583" s="264"/>
      <c r="D583" s="264"/>
      <c r="E583" s="264"/>
      <c r="F583" s="264"/>
      <c r="G583" s="264"/>
      <c r="H583" s="264"/>
      <c r="I583" s="264"/>
      <c r="J583" s="264"/>
      <c r="K583" s="264"/>
      <c r="L583" s="264"/>
      <c r="M583" s="264"/>
      <c r="N583" s="264"/>
      <c r="O583" s="264"/>
      <c r="P583" s="264"/>
      <c r="Q583" s="264"/>
      <c r="R583" s="264"/>
      <c r="S583" s="264"/>
      <c r="T583" s="264"/>
      <c r="U583" s="264"/>
    </row>
    <row r="584">
      <c r="A584" s="264"/>
      <c r="B584" s="264"/>
      <c r="C584" s="264"/>
      <c r="D584" s="264"/>
      <c r="E584" s="264"/>
      <c r="F584" s="264"/>
      <c r="G584" s="264"/>
      <c r="H584" s="264"/>
      <c r="I584" s="264"/>
      <c r="J584" s="264"/>
      <c r="K584" s="264"/>
      <c r="L584" s="264"/>
      <c r="M584" s="264"/>
      <c r="N584" s="264"/>
      <c r="O584" s="264"/>
      <c r="P584" s="264"/>
      <c r="Q584" s="264"/>
      <c r="R584" s="264"/>
      <c r="S584" s="264"/>
      <c r="T584" s="264"/>
      <c r="U584" s="264"/>
    </row>
    <row r="585">
      <c r="A585" s="264"/>
      <c r="B585" s="264"/>
      <c r="C585" s="264"/>
      <c r="D585" s="264"/>
      <c r="E585" s="264"/>
      <c r="F585" s="264"/>
      <c r="G585" s="264"/>
      <c r="H585" s="264"/>
      <c r="I585" s="264"/>
      <c r="J585" s="264"/>
      <c r="K585" s="264"/>
      <c r="L585" s="264"/>
      <c r="M585" s="264"/>
      <c r="N585" s="264"/>
      <c r="O585" s="264"/>
      <c r="P585" s="264"/>
      <c r="Q585" s="264"/>
      <c r="R585" s="264"/>
      <c r="S585" s="264"/>
      <c r="T585" s="264"/>
      <c r="U585" s="264"/>
    </row>
    <row r="586">
      <c r="A586" s="264"/>
      <c r="B586" s="264"/>
      <c r="C586" s="264"/>
      <c r="D586" s="264"/>
      <c r="E586" s="264"/>
      <c r="F586" s="264"/>
      <c r="G586" s="264"/>
      <c r="H586" s="264"/>
      <c r="I586" s="264"/>
      <c r="J586" s="264"/>
      <c r="K586" s="264"/>
      <c r="L586" s="264"/>
      <c r="M586" s="264"/>
      <c r="N586" s="264"/>
      <c r="O586" s="264"/>
      <c r="P586" s="264"/>
      <c r="Q586" s="264"/>
      <c r="R586" s="264"/>
      <c r="S586" s="264"/>
      <c r="T586" s="264"/>
      <c r="U586" s="264"/>
    </row>
    <row r="587">
      <c r="A587" s="264"/>
      <c r="B587" s="264"/>
      <c r="C587" s="264"/>
      <c r="D587" s="264"/>
      <c r="E587" s="264"/>
      <c r="F587" s="264"/>
      <c r="G587" s="264"/>
      <c r="H587" s="264"/>
      <c r="I587" s="264"/>
      <c r="J587" s="264"/>
      <c r="K587" s="264"/>
      <c r="L587" s="264"/>
      <c r="M587" s="264"/>
      <c r="N587" s="264"/>
      <c r="O587" s="264"/>
      <c r="P587" s="264"/>
      <c r="Q587" s="264"/>
      <c r="R587" s="264"/>
      <c r="S587" s="264"/>
      <c r="T587" s="264"/>
      <c r="U587" s="264"/>
    </row>
    <row r="588">
      <c r="A588" s="264"/>
      <c r="B588" s="264"/>
      <c r="C588" s="264"/>
      <c r="D588" s="264"/>
      <c r="E588" s="264"/>
      <c r="F588" s="264"/>
      <c r="G588" s="264"/>
      <c r="H588" s="264"/>
      <c r="I588" s="264"/>
      <c r="J588" s="264"/>
      <c r="K588" s="264"/>
      <c r="L588" s="264"/>
      <c r="M588" s="264"/>
      <c r="N588" s="264"/>
      <c r="O588" s="264"/>
      <c r="P588" s="264"/>
      <c r="Q588" s="264"/>
      <c r="R588" s="264"/>
      <c r="S588" s="264"/>
      <c r="T588" s="264"/>
      <c r="U588" s="264"/>
    </row>
    <row r="589">
      <c r="A589" s="264"/>
      <c r="B589" s="264"/>
      <c r="C589" s="264"/>
      <c r="D589" s="264"/>
      <c r="E589" s="264"/>
      <c r="F589" s="264"/>
      <c r="G589" s="264"/>
      <c r="H589" s="264"/>
      <c r="I589" s="264"/>
      <c r="J589" s="264"/>
      <c r="K589" s="264"/>
      <c r="L589" s="264"/>
      <c r="M589" s="264"/>
      <c r="N589" s="264"/>
      <c r="O589" s="264"/>
      <c r="P589" s="264"/>
      <c r="Q589" s="264"/>
      <c r="R589" s="264"/>
      <c r="S589" s="264"/>
      <c r="T589" s="264"/>
      <c r="U589" s="264"/>
    </row>
    <row r="590">
      <c r="A590" s="264"/>
      <c r="B590" s="264"/>
      <c r="C590" s="264"/>
      <c r="D590" s="264"/>
      <c r="E590" s="264"/>
      <c r="F590" s="264"/>
      <c r="G590" s="264"/>
      <c r="H590" s="264"/>
      <c r="I590" s="264"/>
      <c r="J590" s="264"/>
      <c r="K590" s="264"/>
      <c r="L590" s="264"/>
      <c r="M590" s="264"/>
      <c r="N590" s="264"/>
      <c r="O590" s="264"/>
      <c r="P590" s="264"/>
      <c r="Q590" s="264"/>
      <c r="R590" s="264"/>
      <c r="S590" s="264"/>
      <c r="T590" s="264"/>
      <c r="U590" s="264"/>
    </row>
    <row r="591">
      <c r="A591" s="264"/>
      <c r="B591" s="264"/>
      <c r="C591" s="264"/>
      <c r="D591" s="264"/>
      <c r="E591" s="264"/>
      <c r="F591" s="264"/>
      <c r="G591" s="264"/>
      <c r="H591" s="264"/>
      <c r="I591" s="264"/>
      <c r="J591" s="264"/>
      <c r="K591" s="264"/>
      <c r="L591" s="264"/>
      <c r="M591" s="264"/>
      <c r="N591" s="264"/>
      <c r="O591" s="264"/>
      <c r="P591" s="264"/>
      <c r="Q591" s="264"/>
      <c r="R591" s="264"/>
      <c r="S591" s="264"/>
      <c r="T591" s="264"/>
      <c r="U591" s="264"/>
    </row>
    <row r="592">
      <c r="A592" s="264"/>
      <c r="B592" s="264"/>
      <c r="C592" s="264"/>
      <c r="D592" s="264"/>
      <c r="E592" s="264"/>
      <c r="F592" s="264"/>
      <c r="G592" s="264"/>
      <c r="H592" s="264"/>
      <c r="I592" s="264"/>
      <c r="J592" s="264"/>
      <c r="K592" s="264"/>
      <c r="L592" s="264"/>
      <c r="M592" s="264"/>
      <c r="N592" s="264"/>
      <c r="O592" s="264"/>
      <c r="P592" s="264"/>
      <c r="Q592" s="264"/>
      <c r="R592" s="264"/>
      <c r="S592" s="264"/>
      <c r="T592" s="264"/>
      <c r="U592" s="264"/>
    </row>
    <row r="593">
      <c r="A593" s="264"/>
      <c r="B593" s="264"/>
      <c r="C593" s="264"/>
      <c r="D593" s="264"/>
      <c r="E593" s="264"/>
      <c r="F593" s="264"/>
      <c r="G593" s="264"/>
      <c r="H593" s="264"/>
      <c r="I593" s="264"/>
      <c r="J593" s="264"/>
      <c r="K593" s="264"/>
      <c r="L593" s="264"/>
      <c r="M593" s="264"/>
      <c r="N593" s="264"/>
      <c r="O593" s="264"/>
      <c r="P593" s="264"/>
      <c r="Q593" s="264"/>
      <c r="R593" s="264"/>
      <c r="S593" s="264"/>
      <c r="T593" s="264"/>
      <c r="U593" s="264"/>
    </row>
    <row r="594">
      <c r="A594" s="264"/>
      <c r="B594" s="264"/>
      <c r="C594" s="264"/>
      <c r="D594" s="264"/>
      <c r="E594" s="264"/>
      <c r="F594" s="264"/>
      <c r="G594" s="264"/>
      <c r="H594" s="264"/>
      <c r="I594" s="264"/>
      <c r="J594" s="264"/>
      <c r="K594" s="264"/>
      <c r="L594" s="264"/>
      <c r="M594" s="264"/>
      <c r="N594" s="264"/>
      <c r="O594" s="264"/>
      <c r="P594" s="264"/>
      <c r="Q594" s="264"/>
      <c r="R594" s="264"/>
      <c r="S594" s="264"/>
      <c r="T594" s="264"/>
      <c r="U594" s="264"/>
    </row>
    <row r="595">
      <c r="A595" s="264"/>
      <c r="B595" s="264"/>
      <c r="C595" s="264"/>
      <c r="D595" s="264"/>
      <c r="E595" s="264"/>
      <c r="F595" s="264"/>
      <c r="G595" s="264"/>
      <c r="H595" s="264"/>
      <c r="I595" s="264"/>
      <c r="J595" s="264"/>
      <c r="K595" s="264"/>
      <c r="L595" s="264"/>
      <c r="M595" s="264"/>
      <c r="N595" s="264"/>
      <c r="O595" s="264"/>
      <c r="P595" s="264"/>
      <c r="Q595" s="264"/>
      <c r="R595" s="264"/>
      <c r="S595" s="264"/>
      <c r="T595" s="264"/>
      <c r="U595" s="264"/>
    </row>
    <row r="596">
      <c r="A596" s="264"/>
      <c r="B596" s="264"/>
      <c r="C596" s="264"/>
      <c r="D596" s="264"/>
      <c r="E596" s="264"/>
      <c r="F596" s="264"/>
      <c r="G596" s="264"/>
      <c r="H596" s="264"/>
      <c r="I596" s="264"/>
      <c r="J596" s="264"/>
      <c r="K596" s="264"/>
      <c r="L596" s="264"/>
      <c r="M596" s="264"/>
      <c r="N596" s="264"/>
      <c r="O596" s="264"/>
      <c r="P596" s="264"/>
      <c r="Q596" s="264"/>
      <c r="R596" s="264"/>
      <c r="S596" s="264"/>
      <c r="T596" s="264"/>
      <c r="U596" s="264"/>
    </row>
    <row r="597">
      <c r="A597" s="264"/>
      <c r="B597" s="264"/>
      <c r="C597" s="264"/>
      <c r="D597" s="264"/>
      <c r="E597" s="264"/>
      <c r="F597" s="264"/>
      <c r="G597" s="264"/>
      <c r="H597" s="264"/>
      <c r="I597" s="264"/>
      <c r="J597" s="264"/>
      <c r="K597" s="264"/>
      <c r="L597" s="264"/>
      <c r="M597" s="264"/>
      <c r="N597" s="264"/>
      <c r="O597" s="264"/>
      <c r="P597" s="264"/>
      <c r="Q597" s="264"/>
      <c r="R597" s="264"/>
      <c r="S597" s="264"/>
      <c r="T597" s="264"/>
      <c r="U597" s="264"/>
    </row>
    <row r="598">
      <c r="A598" s="264"/>
      <c r="B598" s="264"/>
      <c r="C598" s="264"/>
      <c r="D598" s="264"/>
      <c r="E598" s="264"/>
      <c r="F598" s="264"/>
      <c r="G598" s="264"/>
      <c r="H598" s="264"/>
      <c r="I598" s="264"/>
      <c r="J598" s="264"/>
      <c r="K598" s="264"/>
      <c r="L598" s="264"/>
      <c r="M598" s="264"/>
      <c r="N598" s="264"/>
      <c r="O598" s="264"/>
      <c r="P598" s="264"/>
      <c r="Q598" s="264"/>
      <c r="R598" s="264"/>
      <c r="S598" s="264"/>
      <c r="T598" s="264"/>
      <c r="U598" s="264"/>
    </row>
    <row r="599">
      <c r="A599" s="264"/>
      <c r="B599" s="264"/>
      <c r="C599" s="264"/>
      <c r="D599" s="264"/>
      <c r="E599" s="264"/>
      <c r="F599" s="264"/>
      <c r="G599" s="264"/>
      <c r="H599" s="264"/>
      <c r="I599" s="264"/>
      <c r="J599" s="264"/>
      <c r="K599" s="264"/>
      <c r="L599" s="264"/>
      <c r="M599" s="264"/>
      <c r="N599" s="264"/>
      <c r="O599" s="264"/>
      <c r="P599" s="264"/>
      <c r="Q599" s="264"/>
      <c r="R599" s="264"/>
      <c r="S599" s="264"/>
      <c r="T599" s="264"/>
      <c r="U599" s="264"/>
    </row>
    <row r="600">
      <c r="A600" s="264"/>
      <c r="B600" s="264"/>
      <c r="C600" s="264"/>
      <c r="D600" s="264"/>
      <c r="E600" s="264"/>
      <c r="F600" s="264"/>
      <c r="G600" s="264"/>
      <c r="H600" s="264"/>
      <c r="I600" s="264"/>
      <c r="J600" s="264"/>
      <c r="K600" s="264"/>
      <c r="L600" s="264"/>
      <c r="M600" s="264"/>
      <c r="N600" s="264"/>
      <c r="O600" s="264"/>
      <c r="P600" s="264"/>
      <c r="Q600" s="264"/>
      <c r="R600" s="264"/>
      <c r="S600" s="264"/>
      <c r="T600" s="264"/>
      <c r="U600" s="264"/>
    </row>
    <row r="601">
      <c r="A601" s="264"/>
      <c r="B601" s="264"/>
      <c r="C601" s="264"/>
      <c r="D601" s="264"/>
      <c r="E601" s="264"/>
      <c r="F601" s="264"/>
      <c r="G601" s="264"/>
      <c r="H601" s="264"/>
      <c r="I601" s="264"/>
      <c r="J601" s="264"/>
      <c r="K601" s="264"/>
      <c r="L601" s="264"/>
      <c r="M601" s="264"/>
      <c r="N601" s="264"/>
      <c r="O601" s="264"/>
      <c r="P601" s="264"/>
      <c r="Q601" s="264"/>
      <c r="R601" s="264"/>
      <c r="S601" s="264"/>
      <c r="T601" s="264"/>
      <c r="U601" s="264"/>
    </row>
    <row r="602">
      <c r="A602" s="264"/>
      <c r="B602" s="264"/>
      <c r="C602" s="264"/>
      <c r="D602" s="264"/>
      <c r="E602" s="264"/>
      <c r="F602" s="264"/>
      <c r="G602" s="264"/>
      <c r="H602" s="264"/>
      <c r="I602" s="264"/>
      <c r="J602" s="264"/>
      <c r="K602" s="264"/>
      <c r="L602" s="264"/>
      <c r="M602" s="264"/>
      <c r="N602" s="264"/>
      <c r="O602" s="264"/>
      <c r="P602" s="264"/>
      <c r="Q602" s="264"/>
      <c r="R602" s="264"/>
      <c r="S602" s="264"/>
      <c r="T602" s="264"/>
      <c r="U602" s="264"/>
    </row>
    <row r="603">
      <c r="A603" s="264"/>
      <c r="B603" s="264"/>
      <c r="C603" s="264"/>
      <c r="D603" s="264"/>
      <c r="E603" s="264"/>
      <c r="F603" s="264"/>
      <c r="G603" s="264"/>
      <c r="H603" s="264"/>
      <c r="I603" s="264"/>
      <c r="J603" s="264"/>
      <c r="K603" s="264"/>
      <c r="L603" s="264"/>
      <c r="M603" s="264"/>
      <c r="N603" s="264"/>
      <c r="O603" s="264"/>
      <c r="P603" s="264"/>
      <c r="Q603" s="264"/>
      <c r="R603" s="264"/>
      <c r="S603" s="264"/>
      <c r="T603" s="264"/>
      <c r="U603" s="264"/>
    </row>
    <row r="604">
      <c r="A604" s="264"/>
      <c r="B604" s="264"/>
      <c r="C604" s="264"/>
      <c r="D604" s="264"/>
      <c r="E604" s="264"/>
      <c r="F604" s="264"/>
      <c r="G604" s="264"/>
      <c r="H604" s="264"/>
      <c r="I604" s="264"/>
      <c r="J604" s="264"/>
      <c r="K604" s="264"/>
      <c r="L604" s="264"/>
      <c r="M604" s="264"/>
      <c r="N604" s="264"/>
      <c r="O604" s="264"/>
      <c r="P604" s="264"/>
      <c r="Q604" s="264"/>
      <c r="R604" s="264"/>
      <c r="S604" s="264"/>
      <c r="T604" s="264"/>
      <c r="U604" s="264"/>
    </row>
    <row r="605">
      <c r="A605" s="264"/>
      <c r="B605" s="264"/>
      <c r="C605" s="264"/>
      <c r="D605" s="264"/>
      <c r="E605" s="264"/>
      <c r="F605" s="264"/>
      <c r="G605" s="264"/>
      <c r="H605" s="264"/>
      <c r="I605" s="264"/>
      <c r="J605" s="264"/>
      <c r="K605" s="264"/>
      <c r="L605" s="264"/>
      <c r="M605" s="264"/>
      <c r="N605" s="264"/>
      <c r="O605" s="264"/>
      <c r="P605" s="264"/>
      <c r="Q605" s="264"/>
      <c r="R605" s="264"/>
      <c r="S605" s="264"/>
      <c r="T605" s="264"/>
      <c r="U605" s="264"/>
    </row>
    <row r="606">
      <c r="A606" s="264"/>
      <c r="B606" s="264"/>
      <c r="C606" s="264"/>
      <c r="D606" s="264"/>
      <c r="E606" s="264"/>
      <c r="F606" s="264"/>
      <c r="G606" s="264"/>
      <c r="H606" s="264"/>
      <c r="I606" s="264"/>
      <c r="J606" s="264"/>
      <c r="K606" s="264"/>
      <c r="L606" s="264"/>
      <c r="M606" s="264"/>
      <c r="N606" s="264"/>
      <c r="O606" s="264"/>
      <c r="P606" s="264"/>
      <c r="Q606" s="264"/>
      <c r="R606" s="264"/>
      <c r="S606" s="264"/>
      <c r="T606" s="264"/>
      <c r="U606" s="264"/>
    </row>
    <row r="607">
      <c r="A607" s="264"/>
      <c r="B607" s="264"/>
      <c r="C607" s="264"/>
      <c r="D607" s="264"/>
      <c r="E607" s="264"/>
      <c r="F607" s="264"/>
      <c r="G607" s="264"/>
      <c r="H607" s="264"/>
      <c r="I607" s="264"/>
      <c r="J607" s="264"/>
      <c r="K607" s="264"/>
      <c r="L607" s="264"/>
      <c r="M607" s="264"/>
      <c r="N607" s="264"/>
      <c r="O607" s="264"/>
      <c r="P607" s="264"/>
      <c r="Q607" s="264"/>
      <c r="R607" s="264"/>
      <c r="S607" s="264"/>
      <c r="T607" s="264"/>
      <c r="U607" s="264"/>
    </row>
    <row r="608">
      <c r="A608" s="264"/>
      <c r="B608" s="264"/>
      <c r="C608" s="264"/>
      <c r="D608" s="264"/>
      <c r="E608" s="264"/>
      <c r="F608" s="264"/>
      <c r="G608" s="264"/>
      <c r="H608" s="264"/>
      <c r="I608" s="264"/>
      <c r="J608" s="264"/>
      <c r="K608" s="264"/>
      <c r="L608" s="264"/>
      <c r="M608" s="264"/>
      <c r="N608" s="264"/>
      <c r="O608" s="264"/>
      <c r="P608" s="264"/>
      <c r="Q608" s="264"/>
      <c r="R608" s="264"/>
      <c r="S608" s="264"/>
      <c r="T608" s="264"/>
      <c r="U608" s="264"/>
    </row>
    <row r="609">
      <c r="A609" s="264"/>
      <c r="B609" s="264"/>
      <c r="C609" s="264"/>
      <c r="D609" s="264"/>
      <c r="E609" s="264"/>
      <c r="F609" s="264"/>
      <c r="G609" s="264"/>
      <c r="H609" s="264"/>
      <c r="I609" s="264"/>
      <c r="J609" s="264"/>
      <c r="K609" s="264"/>
      <c r="L609" s="264"/>
      <c r="M609" s="264"/>
      <c r="N609" s="264"/>
      <c r="O609" s="264"/>
      <c r="P609" s="264"/>
      <c r="Q609" s="264"/>
      <c r="R609" s="264"/>
      <c r="S609" s="264"/>
      <c r="T609" s="264"/>
      <c r="U609" s="264"/>
    </row>
    <row r="610">
      <c r="A610" s="264"/>
      <c r="B610" s="264"/>
      <c r="C610" s="264"/>
      <c r="D610" s="264"/>
      <c r="E610" s="264"/>
      <c r="F610" s="264"/>
      <c r="G610" s="264"/>
      <c r="H610" s="264"/>
      <c r="I610" s="264"/>
      <c r="J610" s="264"/>
      <c r="K610" s="264"/>
      <c r="L610" s="264"/>
      <c r="M610" s="264"/>
      <c r="N610" s="264"/>
      <c r="O610" s="264"/>
      <c r="P610" s="264"/>
      <c r="Q610" s="264"/>
      <c r="R610" s="264"/>
      <c r="S610" s="264"/>
      <c r="T610" s="264"/>
      <c r="U610" s="264"/>
    </row>
    <row r="611">
      <c r="A611" s="264"/>
      <c r="B611" s="264"/>
      <c r="C611" s="264"/>
      <c r="D611" s="264"/>
      <c r="E611" s="264"/>
      <c r="F611" s="264"/>
      <c r="G611" s="264"/>
      <c r="H611" s="264"/>
      <c r="I611" s="264"/>
      <c r="J611" s="264"/>
      <c r="K611" s="264"/>
      <c r="L611" s="264"/>
      <c r="M611" s="264"/>
      <c r="N611" s="264"/>
      <c r="O611" s="264"/>
      <c r="P611" s="264"/>
      <c r="Q611" s="264"/>
      <c r="R611" s="264"/>
      <c r="S611" s="264"/>
      <c r="T611" s="264"/>
      <c r="U611" s="264"/>
    </row>
    <row r="612">
      <c r="A612" s="264"/>
      <c r="B612" s="264"/>
      <c r="C612" s="264"/>
      <c r="D612" s="264"/>
      <c r="E612" s="264"/>
      <c r="F612" s="264"/>
      <c r="G612" s="264"/>
      <c r="H612" s="264"/>
      <c r="I612" s="264"/>
      <c r="J612" s="264"/>
      <c r="K612" s="264"/>
      <c r="L612" s="264"/>
      <c r="M612" s="264"/>
      <c r="N612" s="264"/>
      <c r="O612" s="264"/>
      <c r="P612" s="264"/>
      <c r="Q612" s="264"/>
      <c r="R612" s="264"/>
      <c r="S612" s="264"/>
      <c r="T612" s="264"/>
      <c r="U612" s="264"/>
    </row>
    <row r="613">
      <c r="A613" s="264"/>
      <c r="B613" s="264"/>
      <c r="C613" s="264"/>
      <c r="D613" s="264"/>
      <c r="E613" s="264"/>
      <c r="F613" s="264"/>
      <c r="G613" s="264"/>
      <c r="H613" s="264"/>
      <c r="I613" s="264"/>
      <c r="J613" s="264"/>
      <c r="K613" s="264"/>
      <c r="L613" s="264"/>
      <c r="M613" s="264"/>
      <c r="N613" s="264"/>
      <c r="O613" s="264"/>
      <c r="P613" s="264"/>
      <c r="Q613" s="264"/>
      <c r="R613" s="264"/>
      <c r="S613" s="264"/>
      <c r="T613" s="264"/>
      <c r="U613" s="264"/>
    </row>
    <row r="614">
      <c r="A614" s="264"/>
      <c r="B614" s="264"/>
      <c r="C614" s="264"/>
      <c r="D614" s="264"/>
      <c r="E614" s="264"/>
      <c r="F614" s="264"/>
      <c r="G614" s="264"/>
      <c r="H614" s="264"/>
      <c r="I614" s="264"/>
      <c r="J614" s="264"/>
      <c r="K614" s="264"/>
      <c r="L614" s="264"/>
      <c r="M614" s="264"/>
      <c r="N614" s="264"/>
      <c r="O614" s="264"/>
      <c r="P614" s="264"/>
      <c r="Q614" s="264"/>
      <c r="R614" s="264"/>
      <c r="S614" s="264"/>
      <c r="T614" s="264"/>
      <c r="U614" s="264"/>
    </row>
    <row r="615">
      <c r="A615" s="264"/>
      <c r="B615" s="264"/>
      <c r="C615" s="264"/>
      <c r="D615" s="264"/>
      <c r="E615" s="264"/>
      <c r="F615" s="264"/>
      <c r="G615" s="264"/>
      <c r="H615" s="264"/>
      <c r="I615" s="264"/>
      <c r="J615" s="264"/>
      <c r="K615" s="264"/>
      <c r="L615" s="264"/>
      <c r="M615" s="264"/>
      <c r="N615" s="264"/>
      <c r="O615" s="264"/>
      <c r="P615" s="264"/>
      <c r="Q615" s="264"/>
      <c r="R615" s="264"/>
      <c r="S615" s="264"/>
      <c r="T615" s="264"/>
      <c r="U615" s="264"/>
    </row>
    <row r="616">
      <c r="A616" s="264"/>
      <c r="B616" s="264"/>
      <c r="C616" s="264"/>
      <c r="D616" s="264"/>
      <c r="E616" s="264"/>
      <c r="F616" s="264"/>
      <c r="G616" s="264"/>
      <c r="H616" s="264"/>
      <c r="I616" s="264"/>
      <c r="J616" s="264"/>
      <c r="K616" s="264"/>
      <c r="L616" s="264"/>
      <c r="M616" s="264"/>
      <c r="N616" s="264"/>
      <c r="O616" s="264"/>
      <c r="P616" s="264"/>
      <c r="Q616" s="264"/>
      <c r="R616" s="264"/>
      <c r="S616" s="264"/>
      <c r="T616" s="264"/>
      <c r="U616" s="264"/>
    </row>
    <row r="617">
      <c r="A617" s="264"/>
      <c r="B617" s="264"/>
      <c r="C617" s="264"/>
      <c r="D617" s="264"/>
      <c r="E617" s="264"/>
      <c r="F617" s="264"/>
      <c r="G617" s="264"/>
      <c r="H617" s="264"/>
      <c r="I617" s="264"/>
      <c r="J617" s="264"/>
      <c r="K617" s="264"/>
      <c r="L617" s="264"/>
      <c r="M617" s="264"/>
      <c r="N617" s="264"/>
      <c r="O617" s="264"/>
      <c r="P617" s="264"/>
      <c r="Q617" s="264"/>
      <c r="R617" s="264"/>
      <c r="S617" s="264"/>
      <c r="T617" s="264"/>
      <c r="U617" s="264"/>
    </row>
    <row r="618">
      <c r="A618" s="264"/>
      <c r="B618" s="264"/>
      <c r="C618" s="264"/>
      <c r="D618" s="264"/>
      <c r="E618" s="264"/>
      <c r="F618" s="264"/>
      <c r="G618" s="264"/>
      <c r="H618" s="264"/>
      <c r="I618" s="264"/>
      <c r="J618" s="264"/>
      <c r="K618" s="264"/>
      <c r="L618" s="264"/>
      <c r="M618" s="264"/>
      <c r="N618" s="264"/>
      <c r="O618" s="264"/>
      <c r="P618" s="264"/>
      <c r="Q618" s="264"/>
      <c r="R618" s="264"/>
      <c r="S618" s="264"/>
      <c r="T618" s="264"/>
      <c r="U618" s="264"/>
    </row>
    <row r="619">
      <c r="A619" s="264"/>
      <c r="B619" s="264"/>
      <c r="C619" s="264"/>
      <c r="D619" s="264"/>
      <c r="E619" s="264"/>
      <c r="F619" s="264"/>
      <c r="G619" s="264"/>
      <c r="H619" s="264"/>
      <c r="I619" s="264"/>
      <c r="J619" s="264"/>
      <c r="K619" s="264"/>
      <c r="L619" s="264"/>
      <c r="M619" s="264"/>
      <c r="N619" s="264"/>
      <c r="O619" s="264"/>
      <c r="P619" s="264"/>
      <c r="Q619" s="264"/>
      <c r="R619" s="264"/>
      <c r="S619" s="264"/>
      <c r="T619" s="264"/>
      <c r="U619" s="264"/>
    </row>
    <row r="620">
      <c r="A620" s="264"/>
      <c r="B620" s="264"/>
      <c r="C620" s="264"/>
      <c r="D620" s="264"/>
      <c r="E620" s="264"/>
      <c r="F620" s="264"/>
      <c r="G620" s="264"/>
      <c r="H620" s="264"/>
      <c r="I620" s="264"/>
      <c r="J620" s="264"/>
      <c r="K620" s="264"/>
      <c r="L620" s="264"/>
      <c r="M620" s="264"/>
      <c r="N620" s="264"/>
      <c r="O620" s="264"/>
      <c r="P620" s="264"/>
      <c r="Q620" s="264"/>
      <c r="R620" s="264"/>
      <c r="S620" s="264"/>
      <c r="T620" s="264"/>
      <c r="U620" s="264"/>
    </row>
    <row r="621">
      <c r="A621" s="264"/>
      <c r="B621" s="264"/>
      <c r="C621" s="264"/>
      <c r="D621" s="264"/>
      <c r="E621" s="264"/>
      <c r="F621" s="264"/>
      <c r="G621" s="264"/>
      <c r="H621" s="264"/>
      <c r="I621" s="264"/>
      <c r="J621" s="264"/>
      <c r="K621" s="264"/>
      <c r="L621" s="264"/>
      <c r="M621" s="264"/>
      <c r="N621" s="264"/>
      <c r="O621" s="264"/>
      <c r="P621" s="264"/>
      <c r="Q621" s="264"/>
      <c r="R621" s="264"/>
      <c r="S621" s="264"/>
      <c r="T621" s="264"/>
      <c r="U621" s="264"/>
    </row>
    <row r="622">
      <c r="A622" s="264"/>
      <c r="B622" s="264"/>
      <c r="C622" s="264"/>
      <c r="D622" s="264"/>
      <c r="E622" s="264"/>
      <c r="F622" s="264"/>
      <c r="G622" s="264"/>
      <c r="H622" s="264"/>
      <c r="I622" s="264"/>
      <c r="J622" s="264"/>
      <c r="K622" s="264"/>
      <c r="L622" s="264"/>
      <c r="M622" s="264"/>
      <c r="N622" s="264"/>
      <c r="O622" s="264"/>
      <c r="P622" s="264"/>
      <c r="Q622" s="264"/>
      <c r="R622" s="264"/>
      <c r="S622" s="264"/>
      <c r="T622" s="264"/>
      <c r="U622" s="264"/>
    </row>
    <row r="623">
      <c r="A623" s="264"/>
      <c r="B623" s="264"/>
      <c r="C623" s="264"/>
      <c r="D623" s="264"/>
      <c r="E623" s="264"/>
      <c r="F623" s="264"/>
      <c r="G623" s="264"/>
      <c r="H623" s="264"/>
      <c r="I623" s="264"/>
      <c r="J623" s="264"/>
      <c r="K623" s="264"/>
      <c r="L623" s="264"/>
      <c r="M623" s="264"/>
      <c r="N623" s="264"/>
      <c r="O623" s="264"/>
      <c r="P623" s="264"/>
      <c r="Q623" s="264"/>
      <c r="R623" s="264"/>
      <c r="S623" s="264"/>
      <c r="T623" s="264"/>
      <c r="U623" s="264"/>
    </row>
    <row r="624">
      <c r="A624" s="264"/>
      <c r="B624" s="264"/>
      <c r="C624" s="264"/>
      <c r="D624" s="264"/>
      <c r="E624" s="264"/>
      <c r="F624" s="264"/>
      <c r="G624" s="264"/>
      <c r="H624" s="264"/>
      <c r="I624" s="264"/>
      <c r="J624" s="264"/>
      <c r="K624" s="264"/>
      <c r="L624" s="264"/>
      <c r="M624" s="264"/>
      <c r="N624" s="264"/>
      <c r="O624" s="264"/>
      <c r="P624" s="264"/>
      <c r="Q624" s="264"/>
      <c r="R624" s="264"/>
      <c r="S624" s="264"/>
      <c r="T624" s="264"/>
      <c r="U624" s="264"/>
    </row>
    <row r="625">
      <c r="A625" s="264"/>
      <c r="B625" s="264"/>
      <c r="C625" s="264"/>
      <c r="D625" s="264"/>
      <c r="E625" s="264"/>
      <c r="F625" s="264"/>
      <c r="G625" s="264"/>
      <c r="H625" s="264"/>
      <c r="I625" s="264"/>
      <c r="J625" s="264"/>
      <c r="K625" s="264"/>
      <c r="L625" s="264"/>
      <c r="M625" s="264"/>
      <c r="N625" s="264"/>
      <c r="O625" s="264"/>
      <c r="P625" s="264"/>
      <c r="Q625" s="264"/>
      <c r="R625" s="264"/>
      <c r="S625" s="264"/>
      <c r="T625" s="264"/>
      <c r="U625" s="264"/>
    </row>
    <row r="626">
      <c r="A626" s="264"/>
      <c r="B626" s="264"/>
      <c r="C626" s="264"/>
      <c r="D626" s="264"/>
      <c r="E626" s="264"/>
      <c r="F626" s="264"/>
      <c r="G626" s="264"/>
      <c r="H626" s="264"/>
      <c r="I626" s="264"/>
      <c r="J626" s="264"/>
      <c r="K626" s="264"/>
      <c r="L626" s="264"/>
      <c r="M626" s="264"/>
      <c r="N626" s="264"/>
      <c r="O626" s="264"/>
      <c r="P626" s="264"/>
      <c r="Q626" s="264"/>
      <c r="R626" s="264"/>
      <c r="S626" s="264"/>
      <c r="T626" s="264"/>
      <c r="U626" s="264"/>
    </row>
    <row r="627">
      <c r="A627" s="264"/>
      <c r="B627" s="264"/>
      <c r="C627" s="264"/>
      <c r="D627" s="264"/>
      <c r="E627" s="264"/>
      <c r="F627" s="264"/>
      <c r="G627" s="264"/>
      <c r="H627" s="264"/>
      <c r="I627" s="264"/>
      <c r="J627" s="264"/>
      <c r="K627" s="264"/>
      <c r="L627" s="264"/>
      <c r="M627" s="264"/>
      <c r="N627" s="264"/>
      <c r="O627" s="264"/>
      <c r="P627" s="264"/>
      <c r="Q627" s="264"/>
      <c r="R627" s="264"/>
      <c r="S627" s="264"/>
      <c r="T627" s="264"/>
      <c r="U627" s="264"/>
    </row>
    <row r="628">
      <c r="A628" s="264"/>
      <c r="B628" s="264"/>
      <c r="C628" s="264"/>
      <c r="D628" s="264"/>
      <c r="E628" s="264"/>
      <c r="F628" s="264"/>
      <c r="G628" s="264"/>
      <c r="H628" s="264"/>
      <c r="I628" s="264"/>
      <c r="J628" s="264"/>
      <c r="K628" s="264"/>
      <c r="L628" s="264"/>
      <c r="M628" s="264"/>
      <c r="N628" s="264"/>
      <c r="O628" s="264"/>
      <c r="P628" s="264"/>
      <c r="Q628" s="264"/>
      <c r="R628" s="264"/>
      <c r="S628" s="264"/>
      <c r="T628" s="264"/>
      <c r="U628" s="264"/>
    </row>
    <row r="629">
      <c r="A629" s="264"/>
      <c r="B629" s="264"/>
      <c r="C629" s="264"/>
      <c r="D629" s="264"/>
      <c r="E629" s="264"/>
      <c r="F629" s="264"/>
      <c r="G629" s="264"/>
      <c r="H629" s="264"/>
      <c r="I629" s="264"/>
      <c r="J629" s="264"/>
      <c r="K629" s="264"/>
      <c r="L629" s="264"/>
      <c r="M629" s="264"/>
      <c r="N629" s="264"/>
      <c r="O629" s="264"/>
      <c r="P629" s="264"/>
      <c r="Q629" s="264"/>
      <c r="R629" s="264"/>
      <c r="S629" s="264"/>
      <c r="T629" s="264"/>
      <c r="U629" s="264"/>
    </row>
    <row r="630">
      <c r="A630" s="264"/>
      <c r="B630" s="264"/>
      <c r="C630" s="264"/>
      <c r="D630" s="264"/>
      <c r="E630" s="264"/>
      <c r="F630" s="264"/>
      <c r="G630" s="264"/>
      <c r="H630" s="264"/>
      <c r="I630" s="264"/>
      <c r="J630" s="264"/>
      <c r="K630" s="264"/>
      <c r="L630" s="264"/>
      <c r="M630" s="264"/>
      <c r="N630" s="264"/>
      <c r="O630" s="264"/>
      <c r="P630" s="264"/>
      <c r="Q630" s="264"/>
      <c r="R630" s="264"/>
      <c r="S630" s="264"/>
      <c r="T630" s="264"/>
      <c r="U630" s="264"/>
    </row>
    <row r="631">
      <c r="A631" s="264"/>
      <c r="B631" s="264"/>
      <c r="C631" s="264"/>
      <c r="D631" s="264"/>
      <c r="E631" s="264"/>
      <c r="F631" s="264"/>
      <c r="G631" s="264"/>
      <c r="H631" s="264"/>
      <c r="I631" s="264"/>
      <c r="J631" s="264"/>
      <c r="K631" s="264"/>
      <c r="L631" s="264"/>
      <c r="M631" s="264"/>
      <c r="N631" s="264"/>
      <c r="O631" s="264"/>
      <c r="P631" s="264"/>
      <c r="Q631" s="264"/>
      <c r="R631" s="264"/>
      <c r="S631" s="264"/>
      <c r="T631" s="264"/>
      <c r="U631" s="264"/>
    </row>
    <row r="632">
      <c r="A632" s="264"/>
      <c r="B632" s="264"/>
      <c r="C632" s="264"/>
      <c r="D632" s="264"/>
      <c r="E632" s="264"/>
      <c r="F632" s="264"/>
      <c r="G632" s="264"/>
      <c r="H632" s="264"/>
      <c r="I632" s="264"/>
      <c r="J632" s="264"/>
      <c r="K632" s="264"/>
      <c r="L632" s="264"/>
      <c r="M632" s="264"/>
      <c r="N632" s="264"/>
      <c r="O632" s="264"/>
      <c r="P632" s="264"/>
      <c r="Q632" s="264"/>
      <c r="R632" s="264"/>
      <c r="S632" s="264"/>
      <c r="T632" s="264"/>
      <c r="U632" s="264"/>
    </row>
    <row r="633">
      <c r="A633" s="264"/>
      <c r="B633" s="264"/>
      <c r="C633" s="264"/>
      <c r="D633" s="264"/>
      <c r="E633" s="264"/>
      <c r="F633" s="264"/>
      <c r="G633" s="264"/>
      <c r="H633" s="264"/>
      <c r="I633" s="264"/>
      <c r="J633" s="264"/>
      <c r="K633" s="264"/>
      <c r="L633" s="264"/>
      <c r="M633" s="264"/>
      <c r="N633" s="264"/>
      <c r="O633" s="264"/>
      <c r="P633" s="264"/>
      <c r="Q633" s="264"/>
      <c r="R633" s="264"/>
      <c r="S633" s="264"/>
      <c r="T633" s="264"/>
      <c r="U633" s="264"/>
    </row>
    <row r="634">
      <c r="A634" s="264"/>
      <c r="B634" s="264"/>
      <c r="C634" s="264"/>
      <c r="D634" s="264"/>
      <c r="E634" s="264"/>
      <c r="F634" s="264"/>
      <c r="G634" s="264"/>
      <c r="H634" s="264"/>
      <c r="I634" s="264"/>
      <c r="J634" s="264"/>
      <c r="K634" s="264"/>
      <c r="L634" s="264"/>
      <c r="M634" s="264"/>
      <c r="N634" s="264"/>
      <c r="O634" s="264"/>
      <c r="P634" s="264"/>
      <c r="Q634" s="264"/>
      <c r="R634" s="264"/>
      <c r="S634" s="264"/>
      <c r="T634" s="264"/>
      <c r="U634" s="264"/>
    </row>
    <row r="635">
      <c r="A635" s="264"/>
      <c r="B635" s="264"/>
      <c r="C635" s="264"/>
      <c r="D635" s="264"/>
      <c r="E635" s="264"/>
      <c r="F635" s="264"/>
      <c r="G635" s="264"/>
      <c r="H635" s="264"/>
      <c r="I635" s="264"/>
      <c r="J635" s="264"/>
      <c r="K635" s="264"/>
      <c r="L635" s="264"/>
      <c r="M635" s="264"/>
      <c r="N635" s="264"/>
      <c r="O635" s="264"/>
      <c r="P635" s="264"/>
      <c r="Q635" s="264"/>
      <c r="R635" s="264"/>
      <c r="S635" s="264"/>
      <c r="T635" s="264"/>
      <c r="U635" s="264"/>
    </row>
    <row r="636">
      <c r="A636" s="264"/>
      <c r="B636" s="264"/>
      <c r="C636" s="264"/>
      <c r="D636" s="264"/>
      <c r="E636" s="264"/>
      <c r="F636" s="264"/>
      <c r="G636" s="264"/>
      <c r="H636" s="264"/>
      <c r="I636" s="264"/>
      <c r="J636" s="264"/>
      <c r="K636" s="264"/>
      <c r="L636" s="264"/>
      <c r="M636" s="264"/>
      <c r="N636" s="264"/>
      <c r="O636" s="264"/>
      <c r="P636" s="264"/>
      <c r="Q636" s="264"/>
      <c r="R636" s="264"/>
      <c r="S636" s="264"/>
      <c r="T636" s="264"/>
      <c r="U636" s="264"/>
    </row>
    <row r="637">
      <c r="A637" s="264"/>
      <c r="B637" s="264"/>
      <c r="C637" s="264"/>
      <c r="D637" s="264"/>
      <c r="E637" s="264"/>
      <c r="F637" s="264"/>
      <c r="G637" s="264"/>
      <c r="H637" s="264"/>
      <c r="I637" s="264"/>
      <c r="J637" s="264"/>
      <c r="K637" s="264"/>
      <c r="L637" s="264"/>
      <c r="M637" s="264"/>
      <c r="N637" s="264"/>
      <c r="O637" s="264"/>
      <c r="P637" s="264"/>
      <c r="Q637" s="264"/>
      <c r="R637" s="264"/>
      <c r="S637" s="264"/>
      <c r="T637" s="264"/>
      <c r="U637" s="264"/>
    </row>
    <row r="638">
      <c r="A638" s="264"/>
      <c r="B638" s="264"/>
      <c r="C638" s="264"/>
      <c r="D638" s="264"/>
      <c r="E638" s="264"/>
      <c r="F638" s="264"/>
      <c r="G638" s="264"/>
      <c r="H638" s="264"/>
      <c r="I638" s="264"/>
      <c r="J638" s="264"/>
      <c r="K638" s="264"/>
      <c r="L638" s="264"/>
      <c r="M638" s="264"/>
      <c r="N638" s="264"/>
      <c r="O638" s="264"/>
      <c r="P638" s="264"/>
      <c r="Q638" s="264"/>
      <c r="R638" s="264"/>
      <c r="S638" s="264"/>
      <c r="T638" s="264"/>
      <c r="U638" s="264"/>
    </row>
    <row r="639">
      <c r="A639" s="264"/>
      <c r="B639" s="264"/>
      <c r="C639" s="264"/>
      <c r="D639" s="264"/>
      <c r="E639" s="264"/>
      <c r="F639" s="264"/>
      <c r="G639" s="264"/>
      <c r="H639" s="264"/>
      <c r="I639" s="264"/>
      <c r="J639" s="264"/>
      <c r="K639" s="264"/>
      <c r="L639" s="264"/>
      <c r="M639" s="264"/>
      <c r="N639" s="264"/>
      <c r="O639" s="264"/>
      <c r="P639" s="264"/>
      <c r="Q639" s="264"/>
      <c r="R639" s="264"/>
      <c r="S639" s="264"/>
      <c r="T639" s="264"/>
      <c r="U639" s="264"/>
    </row>
    <row r="640">
      <c r="A640" s="264"/>
      <c r="B640" s="264"/>
      <c r="C640" s="264"/>
      <c r="D640" s="264"/>
      <c r="E640" s="264"/>
      <c r="F640" s="264"/>
      <c r="G640" s="264"/>
      <c r="H640" s="264"/>
      <c r="I640" s="264"/>
      <c r="J640" s="264"/>
      <c r="K640" s="264"/>
      <c r="L640" s="264"/>
      <c r="M640" s="264"/>
      <c r="N640" s="264"/>
      <c r="O640" s="264"/>
      <c r="P640" s="264"/>
      <c r="Q640" s="264"/>
      <c r="R640" s="264"/>
      <c r="S640" s="264"/>
      <c r="T640" s="264"/>
      <c r="U640" s="264"/>
    </row>
    <row r="641">
      <c r="A641" s="264"/>
      <c r="B641" s="264"/>
      <c r="C641" s="264"/>
      <c r="D641" s="264"/>
      <c r="E641" s="264"/>
      <c r="F641" s="264"/>
      <c r="G641" s="264"/>
      <c r="H641" s="264"/>
      <c r="I641" s="264"/>
      <c r="J641" s="264"/>
      <c r="K641" s="264"/>
      <c r="L641" s="264"/>
      <c r="M641" s="264"/>
      <c r="N641" s="264"/>
      <c r="O641" s="264"/>
      <c r="P641" s="264"/>
      <c r="Q641" s="264"/>
      <c r="R641" s="264"/>
      <c r="S641" s="264"/>
      <c r="T641" s="264"/>
      <c r="U641" s="264"/>
    </row>
    <row r="642">
      <c r="A642" s="264"/>
      <c r="B642" s="264"/>
      <c r="C642" s="264"/>
      <c r="D642" s="264"/>
      <c r="E642" s="264"/>
      <c r="F642" s="264"/>
      <c r="G642" s="264"/>
      <c r="H642" s="264"/>
      <c r="I642" s="264"/>
      <c r="J642" s="264"/>
      <c r="K642" s="264"/>
      <c r="L642" s="264"/>
      <c r="M642" s="264"/>
      <c r="N642" s="264"/>
      <c r="O642" s="264"/>
      <c r="P642" s="264"/>
      <c r="Q642" s="264"/>
      <c r="R642" s="264"/>
      <c r="S642" s="264"/>
      <c r="T642" s="264"/>
      <c r="U642" s="264"/>
    </row>
    <row r="643">
      <c r="A643" s="264"/>
      <c r="B643" s="264"/>
      <c r="C643" s="264"/>
      <c r="D643" s="264"/>
      <c r="E643" s="264"/>
      <c r="F643" s="264"/>
      <c r="G643" s="264"/>
      <c r="H643" s="264"/>
      <c r="I643" s="264"/>
      <c r="J643" s="264"/>
      <c r="K643" s="264"/>
      <c r="L643" s="264"/>
      <c r="M643" s="264"/>
      <c r="N643" s="264"/>
      <c r="O643" s="264"/>
      <c r="P643" s="264"/>
      <c r="Q643" s="264"/>
      <c r="R643" s="264"/>
      <c r="S643" s="264"/>
      <c r="T643" s="264"/>
      <c r="U643" s="264"/>
    </row>
    <row r="644">
      <c r="A644" s="264"/>
      <c r="B644" s="264"/>
      <c r="C644" s="264"/>
      <c r="D644" s="264"/>
      <c r="E644" s="264"/>
      <c r="F644" s="264"/>
      <c r="G644" s="264"/>
      <c r="H644" s="264"/>
      <c r="I644" s="264"/>
      <c r="J644" s="264"/>
      <c r="K644" s="264"/>
      <c r="L644" s="264"/>
      <c r="M644" s="264"/>
      <c r="N644" s="264"/>
      <c r="O644" s="264"/>
      <c r="P644" s="264"/>
      <c r="Q644" s="264"/>
      <c r="R644" s="264"/>
      <c r="S644" s="264"/>
      <c r="T644" s="264"/>
      <c r="U644" s="264"/>
    </row>
    <row r="645">
      <c r="A645" s="264"/>
      <c r="B645" s="264"/>
      <c r="C645" s="264"/>
      <c r="D645" s="264"/>
      <c r="E645" s="264"/>
      <c r="F645" s="264"/>
      <c r="G645" s="264"/>
      <c r="H645" s="264"/>
      <c r="I645" s="264"/>
      <c r="J645" s="264"/>
      <c r="K645" s="264"/>
      <c r="L645" s="264"/>
      <c r="M645" s="264"/>
      <c r="N645" s="264"/>
      <c r="O645" s="264"/>
      <c r="P645" s="264"/>
      <c r="Q645" s="264"/>
      <c r="R645" s="264"/>
      <c r="S645" s="264"/>
      <c r="T645" s="264"/>
      <c r="U645" s="264"/>
    </row>
    <row r="646">
      <c r="A646" s="264"/>
      <c r="B646" s="264"/>
      <c r="C646" s="264"/>
      <c r="D646" s="264"/>
      <c r="E646" s="264"/>
      <c r="F646" s="264"/>
      <c r="G646" s="264"/>
      <c r="H646" s="264"/>
      <c r="I646" s="264"/>
      <c r="J646" s="264"/>
      <c r="K646" s="264"/>
      <c r="L646" s="264"/>
      <c r="M646" s="264"/>
      <c r="N646" s="264"/>
      <c r="O646" s="264"/>
      <c r="P646" s="264"/>
      <c r="Q646" s="264"/>
      <c r="R646" s="264"/>
      <c r="S646" s="264"/>
      <c r="T646" s="264"/>
      <c r="U646" s="264"/>
    </row>
    <row r="647">
      <c r="A647" s="264"/>
      <c r="B647" s="264"/>
      <c r="C647" s="264"/>
      <c r="D647" s="264"/>
      <c r="E647" s="264"/>
      <c r="F647" s="264"/>
      <c r="G647" s="264"/>
      <c r="H647" s="264"/>
      <c r="I647" s="264"/>
      <c r="J647" s="264"/>
      <c r="K647" s="264"/>
      <c r="L647" s="264"/>
      <c r="M647" s="264"/>
      <c r="N647" s="264"/>
      <c r="O647" s="264"/>
      <c r="P647" s="264"/>
      <c r="Q647" s="264"/>
      <c r="R647" s="264"/>
      <c r="S647" s="264"/>
      <c r="T647" s="264"/>
      <c r="U647" s="264"/>
    </row>
    <row r="648">
      <c r="A648" s="264"/>
      <c r="B648" s="264"/>
      <c r="C648" s="264"/>
      <c r="D648" s="264"/>
      <c r="E648" s="264"/>
      <c r="F648" s="264"/>
      <c r="G648" s="264"/>
      <c r="H648" s="264"/>
      <c r="I648" s="264"/>
      <c r="J648" s="264"/>
      <c r="K648" s="264"/>
      <c r="L648" s="264"/>
      <c r="M648" s="264"/>
      <c r="N648" s="264"/>
      <c r="O648" s="264"/>
      <c r="P648" s="264"/>
      <c r="Q648" s="264"/>
      <c r="R648" s="264"/>
      <c r="S648" s="264"/>
      <c r="T648" s="264"/>
      <c r="U648" s="264"/>
    </row>
    <row r="649">
      <c r="A649" s="264"/>
      <c r="B649" s="264"/>
      <c r="C649" s="264"/>
      <c r="D649" s="264"/>
      <c r="E649" s="264"/>
      <c r="F649" s="264"/>
      <c r="G649" s="264"/>
      <c r="H649" s="264"/>
      <c r="I649" s="264"/>
      <c r="J649" s="264"/>
      <c r="K649" s="264"/>
      <c r="L649" s="264"/>
      <c r="M649" s="264"/>
      <c r="N649" s="264"/>
      <c r="O649" s="264"/>
      <c r="P649" s="264"/>
      <c r="Q649" s="264"/>
      <c r="R649" s="264"/>
      <c r="S649" s="264"/>
      <c r="T649" s="264"/>
      <c r="U649" s="264"/>
    </row>
    <row r="650">
      <c r="A650" s="264"/>
      <c r="B650" s="264"/>
      <c r="C650" s="264"/>
      <c r="D650" s="264"/>
      <c r="E650" s="264"/>
      <c r="F650" s="264"/>
      <c r="G650" s="264"/>
      <c r="H650" s="264"/>
      <c r="I650" s="264"/>
      <c r="J650" s="264"/>
      <c r="K650" s="264"/>
      <c r="L650" s="264"/>
      <c r="M650" s="264"/>
      <c r="N650" s="264"/>
      <c r="O650" s="264"/>
      <c r="P650" s="264"/>
      <c r="Q650" s="264"/>
      <c r="R650" s="264"/>
      <c r="S650" s="264"/>
      <c r="T650" s="264"/>
      <c r="U650" s="264"/>
    </row>
    <row r="651">
      <c r="A651" s="264"/>
      <c r="B651" s="264"/>
      <c r="C651" s="264"/>
      <c r="D651" s="264"/>
      <c r="E651" s="264"/>
      <c r="F651" s="264"/>
      <c r="G651" s="264"/>
      <c r="H651" s="264"/>
      <c r="I651" s="264"/>
      <c r="J651" s="264"/>
      <c r="K651" s="264"/>
      <c r="L651" s="264"/>
      <c r="M651" s="264"/>
      <c r="N651" s="264"/>
      <c r="O651" s="264"/>
      <c r="P651" s="264"/>
      <c r="Q651" s="264"/>
      <c r="R651" s="264"/>
      <c r="S651" s="264"/>
      <c r="T651" s="264"/>
      <c r="U651" s="264"/>
    </row>
    <row r="652">
      <c r="A652" s="264"/>
      <c r="B652" s="264"/>
      <c r="C652" s="264"/>
      <c r="D652" s="264"/>
      <c r="E652" s="264"/>
      <c r="F652" s="264"/>
      <c r="G652" s="264"/>
      <c r="H652" s="264"/>
      <c r="I652" s="264"/>
      <c r="J652" s="264"/>
      <c r="K652" s="264"/>
      <c r="L652" s="264"/>
      <c r="M652" s="264"/>
      <c r="N652" s="264"/>
      <c r="O652" s="264"/>
      <c r="P652" s="264"/>
      <c r="Q652" s="264"/>
      <c r="R652" s="264"/>
      <c r="S652" s="264"/>
      <c r="T652" s="264"/>
      <c r="U652" s="264"/>
    </row>
    <row r="653">
      <c r="A653" s="264"/>
      <c r="B653" s="264"/>
      <c r="C653" s="264"/>
      <c r="D653" s="264"/>
      <c r="E653" s="264"/>
      <c r="F653" s="264"/>
      <c r="G653" s="264"/>
      <c r="H653" s="264"/>
      <c r="I653" s="264"/>
      <c r="J653" s="264"/>
      <c r="K653" s="264"/>
      <c r="L653" s="264"/>
      <c r="M653" s="264"/>
      <c r="N653" s="264"/>
      <c r="O653" s="264"/>
      <c r="P653" s="264"/>
      <c r="Q653" s="264"/>
      <c r="R653" s="264"/>
      <c r="S653" s="264"/>
      <c r="T653" s="264"/>
      <c r="U653" s="264"/>
    </row>
    <row r="654">
      <c r="A654" s="264"/>
      <c r="B654" s="264"/>
      <c r="C654" s="264"/>
      <c r="D654" s="264"/>
      <c r="E654" s="264"/>
      <c r="F654" s="264"/>
      <c r="G654" s="264"/>
      <c r="H654" s="264"/>
      <c r="I654" s="264"/>
      <c r="J654" s="264"/>
      <c r="K654" s="264"/>
      <c r="L654" s="264"/>
      <c r="M654" s="264"/>
      <c r="N654" s="264"/>
      <c r="O654" s="264"/>
      <c r="P654" s="264"/>
      <c r="Q654" s="264"/>
      <c r="R654" s="264"/>
      <c r="S654" s="264"/>
      <c r="T654" s="264"/>
      <c r="U654" s="264"/>
    </row>
    <row r="655">
      <c r="A655" s="264"/>
      <c r="B655" s="264"/>
      <c r="C655" s="264"/>
      <c r="D655" s="264"/>
      <c r="E655" s="264"/>
      <c r="F655" s="264"/>
      <c r="G655" s="264"/>
      <c r="H655" s="264"/>
      <c r="I655" s="264"/>
      <c r="J655" s="264"/>
      <c r="K655" s="264"/>
      <c r="L655" s="264"/>
      <c r="M655" s="264"/>
      <c r="N655" s="264"/>
      <c r="O655" s="264"/>
      <c r="P655" s="264"/>
      <c r="Q655" s="264"/>
      <c r="R655" s="264"/>
      <c r="S655" s="264"/>
      <c r="T655" s="264"/>
      <c r="U655" s="264"/>
    </row>
    <row r="656">
      <c r="A656" s="264"/>
      <c r="B656" s="264"/>
      <c r="C656" s="264"/>
      <c r="D656" s="264"/>
      <c r="E656" s="264"/>
      <c r="F656" s="264"/>
      <c r="G656" s="264"/>
      <c r="H656" s="264"/>
      <c r="I656" s="264"/>
      <c r="J656" s="264"/>
      <c r="K656" s="264"/>
      <c r="L656" s="264"/>
      <c r="M656" s="264"/>
      <c r="N656" s="264"/>
      <c r="O656" s="264"/>
      <c r="P656" s="264"/>
      <c r="Q656" s="264"/>
      <c r="R656" s="264"/>
      <c r="S656" s="264"/>
      <c r="T656" s="264"/>
      <c r="U656" s="264"/>
    </row>
    <row r="657">
      <c r="A657" s="264"/>
      <c r="B657" s="264"/>
      <c r="C657" s="264"/>
      <c r="D657" s="264"/>
      <c r="E657" s="264"/>
      <c r="F657" s="264"/>
      <c r="G657" s="264"/>
      <c r="H657" s="264"/>
      <c r="I657" s="264"/>
      <c r="J657" s="264"/>
      <c r="K657" s="264"/>
      <c r="L657" s="264"/>
      <c r="M657" s="264"/>
      <c r="N657" s="264"/>
      <c r="O657" s="264"/>
      <c r="P657" s="264"/>
      <c r="Q657" s="264"/>
      <c r="R657" s="264"/>
      <c r="S657" s="264"/>
      <c r="T657" s="264"/>
      <c r="U657" s="264"/>
    </row>
    <row r="658">
      <c r="A658" s="264"/>
      <c r="B658" s="264"/>
      <c r="C658" s="264"/>
      <c r="D658" s="264"/>
      <c r="E658" s="264"/>
      <c r="F658" s="264"/>
      <c r="G658" s="264"/>
      <c r="H658" s="264"/>
      <c r="I658" s="264"/>
      <c r="J658" s="264"/>
      <c r="K658" s="264"/>
      <c r="L658" s="264"/>
      <c r="M658" s="264"/>
      <c r="N658" s="264"/>
      <c r="O658" s="264"/>
      <c r="P658" s="264"/>
      <c r="Q658" s="264"/>
      <c r="R658" s="264"/>
      <c r="S658" s="264"/>
      <c r="T658" s="264"/>
      <c r="U658" s="264"/>
    </row>
    <row r="659">
      <c r="A659" s="264"/>
      <c r="B659" s="264"/>
      <c r="C659" s="264"/>
      <c r="D659" s="264"/>
      <c r="E659" s="264"/>
      <c r="F659" s="264"/>
      <c r="G659" s="264"/>
      <c r="H659" s="264"/>
      <c r="I659" s="264"/>
      <c r="J659" s="264"/>
      <c r="K659" s="264"/>
      <c r="L659" s="264"/>
      <c r="M659" s="264"/>
      <c r="N659" s="264"/>
      <c r="O659" s="264"/>
      <c r="P659" s="264"/>
      <c r="Q659" s="264"/>
      <c r="R659" s="264"/>
      <c r="S659" s="264"/>
      <c r="T659" s="264"/>
      <c r="U659" s="264"/>
    </row>
    <row r="660">
      <c r="A660" s="264"/>
      <c r="B660" s="264"/>
      <c r="C660" s="264"/>
      <c r="D660" s="264"/>
      <c r="E660" s="264"/>
      <c r="F660" s="264"/>
      <c r="G660" s="264"/>
      <c r="H660" s="264"/>
      <c r="I660" s="264"/>
      <c r="J660" s="264"/>
      <c r="K660" s="264"/>
      <c r="L660" s="264"/>
      <c r="M660" s="264"/>
      <c r="N660" s="264"/>
      <c r="O660" s="264"/>
      <c r="P660" s="264"/>
      <c r="Q660" s="264"/>
      <c r="R660" s="264"/>
      <c r="S660" s="264"/>
      <c r="T660" s="264"/>
      <c r="U660" s="264"/>
    </row>
    <row r="661">
      <c r="A661" s="264"/>
      <c r="B661" s="264"/>
      <c r="C661" s="264"/>
      <c r="D661" s="264"/>
      <c r="E661" s="264"/>
      <c r="F661" s="264"/>
      <c r="G661" s="264"/>
      <c r="H661" s="264"/>
      <c r="I661" s="264"/>
      <c r="J661" s="264"/>
      <c r="K661" s="264"/>
      <c r="L661" s="264"/>
      <c r="M661" s="264"/>
      <c r="N661" s="264"/>
      <c r="O661" s="264"/>
      <c r="P661" s="264"/>
      <c r="Q661" s="264"/>
      <c r="R661" s="264"/>
      <c r="S661" s="264"/>
      <c r="T661" s="264"/>
      <c r="U661" s="264"/>
    </row>
    <row r="662">
      <c r="A662" s="264"/>
      <c r="B662" s="264"/>
      <c r="C662" s="264"/>
      <c r="D662" s="264"/>
      <c r="E662" s="264"/>
      <c r="F662" s="264"/>
      <c r="G662" s="264"/>
      <c r="H662" s="264"/>
      <c r="I662" s="264"/>
      <c r="J662" s="264"/>
      <c r="K662" s="264"/>
      <c r="L662" s="264"/>
      <c r="M662" s="264"/>
      <c r="N662" s="264"/>
      <c r="O662" s="264"/>
      <c r="P662" s="264"/>
      <c r="Q662" s="264"/>
      <c r="R662" s="264"/>
      <c r="S662" s="264"/>
      <c r="T662" s="264"/>
      <c r="U662" s="264"/>
    </row>
    <row r="663">
      <c r="A663" s="264"/>
      <c r="B663" s="264"/>
      <c r="C663" s="264"/>
      <c r="D663" s="264"/>
      <c r="E663" s="264"/>
      <c r="F663" s="264"/>
      <c r="G663" s="264"/>
      <c r="H663" s="264"/>
      <c r="I663" s="264"/>
      <c r="J663" s="264"/>
      <c r="K663" s="264"/>
      <c r="L663" s="264"/>
      <c r="M663" s="264"/>
      <c r="N663" s="264"/>
      <c r="O663" s="264"/>
      <c r="P663" s="264"/>
      <c r="Q663" s="264"/>
      <c r="R663" s="264"/>
      <c r="S663" s="264"/>
      <c r="T663" s="264"/>
      <c r="U663" s="264"/>
    </row>
    <row r="664">
      <c r="A664" s="264"/>
      <c r="B664" s="264"/>
      <c r="C664" s="264"/>
      <c r="D664" s="264"/>
      <c r="E664" s="264"/>
      <c r="F664" s="264"/>
      <c r="G664" s="264"/>
      <c r="H664" s="264"/>
      <c r="I664" s="264"/>
      <c r="J664" s="264"/>
      <c r="K664" s="264"/>
      <c r="L664" s="264"/>
      <c r="M664" s="264"/>
      <c r="N664" s="264"/>
      <c r="O664" s="264"/>
      <c r="P664" s="264"/>
      <c r="Q664" s="264"/>
      <c r="R664" s="264"/>
      <c r="S664" s="264"/>
      <c r="T664" s="264"/>
      <c r="U664" s="264"/>
    </row>
    <row r="665">
      <c r="A665" s="264"/>
      <c r="B665" s="264"/>
      <c r="C665" s="264"/>
      <c r="D665" s="264"/>
      <c r="E665" s="264"/>
      <c r="F665" s="264"/>
      <c r="G665" s="264"/>
      <c r="H665" s="264"/>
      <c r="I665" s="264"/>
      <c r="J665" s="264"/>
      <c r="K665" s="264"/>
      <c r="L665" s="264"/>
      <c r="M665" s="264"/>
      <c r="N665" s="264"/>
      <c r="O665" s="264"/>
      <c r="P665" s="264"/>
      <c r="Q665" s="264"/>
      <c r="R665" s="264"/>
      <c r="S665" s="264"/>
      <c r="T665" s="264"/>
      <c r="U665" s="264"/>
    </row>
    <row r="666">
      <c r="A666" s="264"/>
      <c r="B666" s="264"/>
      <c r="C666" s="264"/>
      <c r="D666" s="264"/>
      <c r="E666" s="264"/>
      <c r="F666" s="264"/>
      <c r="G666" s="264"/>
      <c r="H666" s="264"/>
      <c r="I666" s="264"/>
      <c r="J666" s="264"/>
      <c r="K666" s="264"/>
      <c r="L666" s="264"/>
      <c r="M666" s="264"/>
      <c r="N666" s="264"/>
      <c r="O666" s="264"/>
      <c r="P666" s="264"/>
      <c r="Q666" s="264"/>
      <c r="R666" s="264"/>
      <c r="S666" s="264"/>
      <c r="T666" s="264"/>
      <c r="U666" s="264"/>
    </row>
    <row r="667">
      <c r="A667" s="264"/>
      <c r="B667" s="264"/>
      <c r="C667" s="264"/>
      <c r="D667" s="264"/>
      <c r="E667" s="264"/>
      <c r="F667" s="264"/>
      <c r="G667" s="264"/>
      <c r="H667" s="264"/>
      <c r="I667" s="264"/>
      <c r="J667" s="264"/>
      <c r="K667" s="264"/>
      <c r="L667" s="264"/>
      <c r="M667" s="264"/>
      <c r="N667" s="264"/>
      <c r="O667" s="264"/>
      <c r="P667" s="264"/>
      <c r="Q667" s="264"/>
      <c r="R667" s="264"/>
      <c r="S667" s="264"/>
      <c r="T667" s="264"/>
      <c r="U667" s="264"/>
    </row>
    <row r="668">
      <c r="A668" s="264"/>
      <c r="B668" s="264"/>
      <c r="C668" s="264"/>
      <c r="D668" s="264"/>
      <c r="E668" s="264"/>
      <c r="F668" s="264"/>
      <c r="G668" s="264"/>
      <c r="H668" s="264"/>
      <c r="I668" s="264"/>
      <c r="J668" s="264"/>
      <c r="K668" s="264"/>
      <c r="L668" s="264"/>
      <c r="M668" s="264"/>
      <c r="N668" s="264"/>
      <c r="O668" s="264"/>
      <c r="P668" s="264"/>
      <c r="Q668" s="264"/>
      <c r="R668" s="264"/>
      <c r="S668" s="264"/>
      <c r="T668" s="264"/>
      <c r="U668" s="264"/>
    </row>
    <row r="669">
      <c r="A669" s="264"/>
      <c r="B669" s="264"/>
      <c r="C669" s="264"/>
      <c r="D669" s="264"/>
      <c r="E669" s="264"/>
      <c r="F669" s="264"/>
      <c r="G669" s="264"/>
      <c r="H669" s="264"/>
      <c r="I669" s="264"/>
      <c r="J669" s="264"/>
      <c r="K669" s="264"/>
      <c r="L669" s="264"/>
      <c r="M669" s="264"/>
      <c r="N669" s="264"/>
      <c r="O669" s="264"/>
      <c r="P669" s="264"/>
      <c r="Q669" s="264"/>
      <c r="R669" s="264"/>
      <c r="S669" s="264"/>
      <c r="T669" s="264"/>
      <c r="U669" s="264"/>
    </row>
    <row r="670">
      <c r="A670" s="264"/>
      <c r="B670" s="264"/>
      <c r="C670" s="264"/>
      <c r="D670" s="264"/>
      <c r="E670" s="264"/>
      <c r="F670" s="264"/>
      <c r="G670" s="264"/>
      <c r="H670" s="264"/>
      <c r="I670" s="264"/>
      <c r="J670" s="264"/>
      <c r="K670" s="264"/>
      <c r="L670" s="264"/>
      <c r="M670" s="264"/>
      <c r="N670" s="264"/>
      <c r="O670" s="264"/>
      <c r="P670" s="264"/>
      <c r="Q670" s="264"/>
      <c r="R670" s="264"/>
      <c r="S670" s="264"/>
      <c r="T670" s="264"/>
      <c r="U670" s="264"/>
    </row>
    <row r="671">
      <c r="A671" s="264"/>
      <c r="B671" s="264"/>
      <c r="C671" s="264"/>
      <c r="D671" s="264"/>
      <c r="E671" s="264"/>
      <c r="F671" s="264"/>
      <c r="G671" s="264"/>
      <c r="H671" s="264"/>
      <c r="I671" s="264"/>
      <c r="J671" s="264"/>
      <c r="K671" s="264"/>
      <c r="L671" s="264"/>
      <c r="M671" s="264"/>
      <c r="N671" s="264"/>
      <c r="O671" s="264"/>
      <c r="P671" s="264"/>
      <c r="Q671" s="264"/>
      <c r="R671" s="264"/>
      <c r="S671" s="264"/>
      <c r="T671" s="264"/>
      <c r="U671" s="264"/>
    </row>
    <row r="672">
      <c r="A672" s="264"/>
      <c r="B672" s="264"/>
      <c r="C672" s="264"/>
      <c r="D672" s="264"/>
      <c r="E672" s="264"/>
      <c r="F672" s="264"/>
      <c r="G672" s="264"/>
      <c r="H672" s="264"/>
      <c r="I672" s="264"/>
      <c r="J672" s="264"/>
      <c r="K672" s="264"/>
      <c r="L672" s="264"/>
      <c r="M672" s="264"/>
      <c r="N672" s="264"/>
      <c r="O672" s="264"/>
      <c r="P672" s="264"/>
      <c r="Q672" s="264"/>
      <c r="R672" s="264"/>
      <c r="S672" s="264"/>
      <c r="T672" s="264"/>
      <c r="U672" s="264"/>
    </row>
    <row r="673">
      <c r="A673" s="264"/>
      <c r="B673" s="264"/>
      <c r="C673" s="264"/>
      <c r="D673" s="264"/>
      <c r="E673" s="264"/>
      <c r="F673" s="264"/>
      <c r="G673" s="264"/>
      <c r="H673" s="264"/>
      <c r="I673" s="264"/>
      <c r="J673" s="264"/>
      <c r="K673" s="264"/>
      <c r="L673" s="264"/>
      <c r="M673" s="264"/>
      <c r="N673" s="264"/>
      <c r="O673" s="264"/>
      <c r="P673" s="264"/>
      <c r="Q673" s="264"/>
      <c r="R673" s="264"/>
      <c r="S673" s="264"/>
      <c r="T673" s="264"/>
      <c r="U673" s="264"/>
    </row>
    <row r="674">
      <c r="A674" s="264"/>
      <c r="B674" s="264"/>
      <c r="C674" s="264"/>
      <c r="D674" s="264"/>
      <c r="E674" s="264"/>
      <c r="F674" s="264"/>
      <c r="G674" s="264"/>
      <c r="H674" s="264"/>
      <c r="I674" s="264"/>
      <c r="J674" s="264"/>
      <c r="K674" s="264"/>
      <c r="L674" s="264"/>
      <c r="M674" s="264"/>
      <c r="N674" s="264"/>
      <c r="O674" s="264"/>
      <c r="P674" s="264"/>
      <c r="Q674" s="264"/>
      <c r="R674" s="264"/>
      <c r="S674" s="264"/>
      <c r="T674" s="264"/>
      <c r="U674" s="264"/>
    </row>
    <row r="675">
      <c r="A675" s="264"/>
      <c r="B675" s="264"/>
      <c r="C675" s="264"/>
      <c r="D675" s="264"/>
      <c r="E675" s="264"/>
      <c r="F675" s="264"/>
      <c r="G675" s="264"/>
      <c r="H675" s="264"/>
      <c r="I675" s="264"/>
      <c r="J675" s="264"/>
      <c r="K675" s="264"/>
      <c r="L675" s="264"/>
      <c r="M675" s="264"/>
      <c r="N675" s="264"/>
      <c r="O675" s="264"/>
      <c r="P675" s="264"/>
      <c r="Q675" s="264"/>
      <c r="R675" s="264"/>
      <c r="S675" s="264"/>
      <c r="T675" s="264"/>
      <c r="U675" s="264"/>
    </row>
    <row r="676">
      <c r="A676" s="264"/>
      <c r="B676" s="264"/>
      <c r="C676" s="264"/>
      <c r="D676" s="264"/>
      <c r="E676" s="264"/>
      <c r="F676" s="264"/>
      <c r="G676" s="264"/>
      <c r="H676" s="264"/>
      <c r="I676" s="264"/>
      <c r="J676" s="264"/>
      <c r="K676" s="264"/>
      <c r="L676" s="264"/>
      <c r="M676" s="264"/>
      <c r="N676" s="264"/>
      <c r="O676" s="264"/>
      <c r="P676" s="264"/>
      <c r="Q676" s="264"/>
      <c r="R676" s="264"/>
      <c r="S676" s="264"/>
      <c r="T676" s="264"/>
      <c r="U676" s="264"/>
    </row>
    <row r="677">
      <c r="A677" s="264"/>
      <c r="B677" s="264"/>
      <c r="C677" s="264"/>
      <c r="D677" s="264"/>
      <c r="E677" s="264"/>
      <c r="F677" s="264"/>
      <c r="G677" s="264"/>
      <c r="H677" s="264"/>
      <c r="I677" s="264"/>
      <c r="J677" s="264"/>
      <c r="K677" s="264"/>
      <c r="L677" s="264"/>
      <c r="M677" s="264"/>
      <c r="N677" s="264"/>
      <c r="O677" s="264"/>
      <c r="P677" s="264"/>
      <c r="Q677" s="264"/>
      <c r="R677" s="264"/>
      <c r="S677" s="264"/>
      <c r="T677" s="264"/>
      <c r="U677" s="264"/>
    </row>
    <row r="678">
      <c r="A678" s="264"/>
      <c r="B678" s="264"/>
      <c r="C678" s="264"/>
      <c r="D678" s="264"/>
      <c r="E678" s="264"/>
      <c r="F678" s="264"/>
      <c r="G678" s="264"/>
      <c r="H678" s="264"/>
      <c r="I678" s="264"/>
      <c r="J678" s="264"/>
      <c r="K678" s="264"/>
      <c r="L678" s="264"/>
      <c r="M678" s="264"/>
      <c r="N678" s="264"/>
      <c r="O678" s="264"/>
      <c r="P678" s="264"/>
      <c r="Q678" s="264"/>
      <c r="R678" s="264"/>
      <c r="S678" s="264"/>
      <c r="T678" s="264"/>
      <c r="U678" s="264"/>
    </row>
    <row r="679">
      <c r="A679" s="264"/>
      <c r="B679" s="264"/>
      <c r="C679" s="264"/>
      <c r="D679" s="264"/>
      <c r="E679" s="264"/>
      <c r="F679" s="264"/>
      <c r="G679" s="264"/>
      <c r="H679" s="264"/>
      <c r="I679" s="264"/>
      <c r="J679" s="264"/>
      <c r="K679" s="264"/>
      <c r="L679" s="264"/>
      <c r="M679" s="264"/>
      <c r="N679" s="264"/>
      <c r="O679" s="264"/>
      <c r="P679" s="264"/>
      <c r="Q679" s="264"/>
      <c r="R679" s="264"/>
      <c r="S679" s="264"/>
      <c r="T679" s="264"/>
      <c r="U679" s="264"/>
    </row>
    <row r="680">
      <c r="A680" s="264"/>
      <c r="B680" s="264"/>
      <c r="C680" s="264"/>
      <c r="D680" s="264"/>
      <c r="E680" s="264"/>
      <c r="F680" s="264"/>
      <c r="G680" s="264"/>
      <c r="H680" s="264"/>
      <c r="I680" s="264"/>
      <c r="J680" s="264"/>
      <c r="K680" s="264"/>
      <c r="L680" s="264"/>
      <c r="M680" s="264"/>
      <c r="N680" s="264"/>
      <c r="O680" s="264"/>
      <c r="P680" s="264"/>
      <c r="Q680" s="264"/>
      <c r="R680" s="264"/>
      <c r="S680" s="264"/>
      <c r="T680" s="264"/>
      <c r="U680" s="264"/>
    </row>
    <row r="681">
      <c r="A681" s="264"/>
      <c r="B681" s="264"/>
      <c r="C681" s="264"/>
      <c r="D681" s="264"/>
      <c r="E681" s="264"/>
      <c r="F681" s="264"/>
      <c r="G681" s="264"/>
      <c r="H681" s="264"/>
      <c r="I681" s="264"/>
      <c r="J681" s="264"/>
      <c r="K681" s="264"/>
      <c r="L681" s="264"/>
      <c r="M681" s="264"/>
      <c r="N681" s="264"/>
      <c r="O681" s="264"/>
      <c r="P681" s="264"/>
      <c r="Q681" s="264"/>
      <c r="R681" s="264"/>
      <c r="S681" s="264"/>
      <c r="T681" s="264"/>
      <c r="U681" s="264"/>
    </row>
    <row r="682">
      <c r="A682" s="264"/>
      <c r="B682" s="264"/>
      <c r="C682" s="264"/>
      <c r="D682" s="264"/>
      <c r="E682" s="264"/>
      <c r="F682" s="264"/>
      <c r="G682" s="264"/>
      <c r="H682" s="264"/>
      <c r="I682" s="264"/>
      <c r="J682" s="264"/>
      <c r="K682" s="264"/>
      <c r="L682" s="264"/>
      <c r="M682" s="264"/>
      <c r="N682" s="264"/>
      <c r="O682" s="264"/>
      <c r="P682" s="264"/>
      <c r="Q682" s="264"/>
      <c r="R682" s="264"/>
      <c r="S682" s="264"/>
      <c r="T682" s="264"/>
      <c r="U682" s="264"/>
    </row>
    <row r="683">
      <c r="A683" s="264"/>
      <c r="B683" s="264"/>
      <c r="C683" s="264"/>
      <c r="D683" s="264"/>
      <c r="E683" s="264"/>
      <c r="F683" s="264"/>
      <c r="G683" s="264"/>
      <c r="H683" s="264"/>
      <c r="I683" s="264"/>
      <c r="J683" s="264"/>
      <c r="K683" s="264"/>
      <c r="L683" s="264"/>
      <c r="M683" s="264"/>
      <c r="N683" s="264"/>
      <c r="O683" s="264"/>
      <c r="P683" s="264"/>
      <c r="Q683" s="264"/>
      <c r="R683" s="264"/>
      <c r="S683" s="264"/>
      <c r="T683" s="264"/>
      <c r="U683" s="264"/>
    </row>
    <row r="684">
      <c r="A684" s="264"/>
      <c r="B684" s="264"/>
      <c r="C684" s="264"/>
      <c r="D684" s="264"/>
      <c r="E684" s="264"/>
      <c r="F684" s="264"/>
      <c r="G684" s="264"/>
      <c r="H684" s="264"/>
      <c r="I684" s="264"/>
      <c r="J684" s="264"/>
      <c r="K684" s="264"/>
      <c r="L684" s="264"/>
      <c r="M684" s="264"/>
      <c r="N684" s="264"/>
      <c r="O684" s="264"/>
      <c r="P684" s="264"/>
      <c r="Q684" s="264"/>
      <c r="R684" s="264"/>
      <c r="S684" s="264"/>
      <c r="T684" s="264"/>
      <c r="U684" s="264"/>
    </row>
    <row r="685">
      <c r="A685" s="264"/>
      <c r="B685" s="264"/>
      <c r="C685" s="264"/>
      <c r="D685" s="264"/>
      <c r="E685" s="264"/>
      <c r="F685" s="264"/>
      <c r="G685" s="264"/>
      <c r="H685" s="264"/>
      <c r="I685" s="264"/>
      <c r="J685" s="264"/>
      <c r="K685" s="264"/>
      <c r="L685" s="264"/>
      <c r="M685" s="264"/>
      <c r="N685" s="264"/>
      <c r="O685" s="264"/>
      <c r="P685" s="264"/>
      <c r="Q685" s="264"/>
      <c r="R685" s="264"/>
      <c r="S685" s="264"/>
      <c r="T685" s="264"/>
      <c r="U685" s="264"/>
    </row>
    <row r="686">
      <c r="A686" s="264"/>
      <c r="B686" s="264"/>
      <c r="C686" s="264"/>
      <c r="D686" s="264"/>
      <c r="E686" s="264"/>
      <c r="F686" s="264"/>
      <c r="G686" s="264"/>
      <c r="H686" s="264"/>
      <c r="I686" s="264"/>
      <c r="J686" s="264"/>
      <c r="K686" s="264"/>
      <c r="L686" s="264"/>
      <c r="M686" s="264"/>
      <c r="N686" s="264"/>
      <c r="O686" s="264"/>
      <c r="P686" s="264"/>
      <c r="Q686" s="264"/>
      <c r="R686" s="264"/>
      <c r="S686" s="264"/>
      <c r="T686" s="264"/>
      <c r="U686" s="264"/>
    </row>
    <row r="687">
      <c r="A687" s="264"/>
      <c r="B687" s="264"/>
      <c r="C687" s="264"/>
      <c r="D687" s="264"/>
      <c r="E687" s="264"/>
      <c r="F687" s="264"/>
      <c r="G687" s="264"/>
      <c r="H687" s="264"/>
      <c r="I687" s="264"/>
      <c r="J687" s="264"/>
      <c r="K687" s="264"/>
      <c r="L687" s="264"/>
      <c r="M687" s="264"/>
      <c r="N687" s="264"/>
      <c r="O687" s="264"/>
      <c r="P687" s="264"/>
      <c r="Q687" s="264"/>
      <c r="R687" s="264"/>
      <c r="S687" s="264"/>
      <c r="T687" s="264"/>
      <c r="U687" s="264"/>
    </row>
    <row r="688">
      <c r="A688" s="264"/>
      <c r="B688" s="264"/>
      <c r="C688" s="264"/>
      <c r="D688" s="264"/>
      <c r="E688" s="264"/>
      <c r="F688" s="264"/>
      <c r="G688" s="264"/>
      <c r="H688" s="264"/>
      <c r="I688" s="264"/>
      <c r="J688" s="264"/>
      <c r="K688" s="264"/>
      <c r="L688" s="264"/>
      <c r="M688" s="264"/>
      <c r="N688" s="264"/>
      <c r="O688" s="264"/>
      <c r="P688" s="264"/>
      <c r="Q688" s="264"/>
      <c r="R688" s="264"/>
      <c r="S688" s="264"/>
      <c r="T688" s="264"/>
      <c r="U688" s="264"/>
    </row>
    <row r="689">
      <c r="A689" s="264"/>
      <c r="B689" s="264"/>
      <c r="C689" s="264"/>
      <c r="D689" s="264"/>
      <c r="E689" s="264"/>
      <c r="F689" s="264"/>
      <c r="G689" s="264"/>
      <c r="H689" s="264"/>
      <c r="I689" s="264"/>
      <c r="J689" s="264"/>
      <c r="K689" s="264"/>
      <c r="L689" s="264"/>
      <c r="M689" s="264"/>
      <c r="N689" s="264"/>
      <c r="O689" s="264"/>
      <c r="P689" s="264"/>
      <c r="Q689" s="264"/>
      <c r="R689" s="264"/>
      <c r="S689" s="264"/>
      <c r="T689" s="264"/>
      <c r="U689" s="264"/>
    </row>
    <row r="690">
      <c r="A690" s="264"/>
      <c r="B690" s="264"/>
      <c r="C690" s="264"/>
      <c r="D690" s="264"/>
      <c r="E690" s="264"/>
      <c r="F690" s="264"/>
      <c r="G690" s="264"/>
      <c r="H690" s="264"/>
      <c r="I690" s="264"/>
      <c r="J690" s="264"/>
      <c r="K690" s="264"/>
      <c r="L690" s="264"/>
      <c r="M690" s="264"/>
      <c r="N690" s="264"/>
      <c r="O690" s="264"/>
      <c r="P690" s="264"/>
      <c r="Q690" s="264"/>
      <c r="R690" s="264"/>
      <c r="S690" s="264"/>
      <c r="T690" s="264"/>
      <c r="U690" s="264"/>
    </row>
    <row r="691">
      <c r="A691" s="264"/>
      <c r="B691" s="264"/>
      <c r="C691" s="264"/>
      <c r="D691" s="264"/>
      <c r="E691" s="264"/>
      <c r="F691" s="264"/>
      <c r="G691" s="264"/>
      <c r="H691" s="264"/>
      <c r="I691" s="264"/>
      <c r="J691" s="264"/>
      <c r="K691" s="264"/>
      <c r="L691" s="264"/>
      <c r="M691" s="264"/>
      <c r="N691" s="264"/>
      <c r="O691" s="264"/>
      <c r="P691" s="264"/>
      <c r="Q691" s="264"/>
      <c r="R691" s="264"/>
      <c r="S691" s="264"/>
      <c r="T691" s="264"/>
      <c r="U691" s="264"/>
    </row>
    <row r="692">
      <c r="A692" s="264"/>
      <c r="B692" s="264"/>
      <c r="C692" s="264"/>
      <c r="D692" s="264"/>
      <c r="E692" s="264"/>
      <c r="F692" s="264"/>
      <c r="G692" s="264"/>
      <c r="H692" s="264"/>
      <c r="I692" s="264"/>
      <c r="J692" s="264"/>
      <c r="K692" s="264"/>
      <c r="L692" s="264"/>
      <c r="M692" s="264"/>
      <c r="N692" s="264"/>
      <c r="O692" s="264"/>
      <c r="P692" s="264"/>
      <c r="Q692" s="264"/>
      <c r="R692" s="264"/>
      <c r="S692" s="264"/>
      <c r="T692" s="264"/>
      <c r="U692" s="264"/>
    </row>
    <row r="693">
      <c r="A693" s="264"/>
      <c r="B693" s="264"/>
      <c r="C693" s="264"/>
      <c r="D693" s="264"/>
      <c r="E693" s="264"/>
      <c r="F693" s="264"/>
      <c r="G693" s="264"/>
      <c r="H693" s="264"/>
      <c r="I693" s="264"/>
      <c r="J693" s="264"/>
      <c r="K693" s="264"/>
      <c r="L693" s="264"/>
      <c r="M693" s="264"/>
      <c r="N693" s="264"/>
      <c r="O693" s="264"/>
      <c r="P693" s="264"/>
      <c r="Q693" s="264"/>
      <c r="R693" s="264"/>
      <c r="S693" s="264"/>
      <c r="T693" s="264"/>
      <c r="U693" s="264"/>
    </row>
    <row r="694">
      <c r="A694" s="264"/>
      <c r="B694" s="264"/>
      <c r="C694" s="264"/>
      <c r="D694" s="264"/>
      <c r="E694" s="264"/>
      <c r="F694" s="264"/>
      <c r="G694" s="264"/>
      <c r="H694" s="264"/>
      <c r="I694" s="264"/>
      <c r="J694" s="264"/>
      <c r="K694" s="264"/>
      <c r="L694" s="264"/>
      <c r="M694" s="264"/>
      <c r="N694" s="264"/>
      <c r="O694" s="264"/>
      <c r="P694" s="264"/>
      <c r="Q694" s="264"/>
      <c r="R694" s="264"/>
      <c r="S694" s="264"/>
      <c r="T694" s="264"/>
      <c r="U694" s="264"/>
    </row>
    <row r="695">
      <c r="A695" s="264"/>
      <c r="B695" s="264"/>
      <c r="C695" s="264"/>
      <c r="D695" s="264"/>
      <c r="E695" s="264"/>
      <c r="F695" s="264"/>
      <c r="G695" s="264"/>
      <c r="H695" s="264"/>
      <c r="I695" s="264"/>
      <c r="J695" s="264"/>
      <c r="K695" s="264"/>
      <c r="L695" s="264"/>
      <c r="M695" s="264"/>
      <c r="N695" s="264"/>
      <c r="O695" s="264"/>
      <c r="P695" s="264"/>
      <c r="Q695" s="264"/>
      <c r="R695" s="264"/>
      <c r="S695" s="264"/>
      <c r="T695" s="264"/>
      <c r="U695" s="264"/>
    </row>
    <row r="696">
      <c r="A696" s="264"/>
      <c r="B696" s="264"/>
      <c r="C696" s="264"/>
      <c r="D696" s="264"/>
      <c r="E696" s="264"/>
      <c r="F696" s="264"/>
      <c r="G696" s="264"/>
      <c r="H696" s="264"/>
      <c r="I696" s="264"/>
      <c r="J696" s="264"/>
      <c r="K696" s="264"/>
      <c r="L696" s="264"/>
      <c r="M696" s="264"/>
      <c r="N696" s="264"/>
      <c r="O696" s="264"/>
      <c r="P696" s="264"/>
      <c r="Q696" s="264"/>
      <c r="R696" s="264"/>
      <c r="S696" s="264"/>
      <c r="T696" s="264"/>
      <c r="U696" s="264"/>
    </row>
    <row r="697">
      <c r="A697" s="264"/>
      <c r="B697" s="264"/>
      <c r="C697" s="264"/>
      <c r="D697" s="264"/>
      <c r="E697" s="264"/>
      <c r="F697" s="264"/>
      <c r="G697" s="264"/>
      <c r="H697" s="264"/>
      <c r="I697" s="264"/>
      <c r="J697" s="264"/>
      <c r="K697" s="264"/>
      <c r="L697" s="264"/>
      <c r="M697" s="264"/>
      <c r="N697" s="264"/>
      <c r="O697" s="264"/>
      <c r="P697" s="264"/>
      <c r="Q697" s="264"/>
      <c r="R697" s="264"/>
      <c r="S697" s="264"/>
      <c r="T697" s="264"/>
      <c r="U697" s="264"/>
    </row>
    <row r="698">
      <c r="A698" s="264"/>
      <c r="B698" s="264"/>
      <c r="C698" s="264"/>
      <c r="D698" s="264"/>
      <c r="E698" s="264"/>
      <c r="F698" s="264"/>
      <c r="G698" s="264"/>
      <c r="H698" s="264"/>
      <c r="I698" s="264"/>
      <c r="J698" s="264"/>
      <c r="K698" s="264"/>
      <c r="L698" s="264"/>
      <c r="M698" s="264"/>
      <c r="N698" s="264"/>
      <c r="O698" s="264"/>
      <c r="P698" s="264"/>
      <c r="Q698" s="264"/>
      <c r="R698" s="264"/>
      <c r="S698" s="264"/>
      <c r="T698" s="264"/>
      <c r="U698" s="264"/>
    </row>
    <row r="699">
      <c r="A699" s="264"/>
      <c r="B699" s="264"/>
      <c r="C699" s="264"/>
      <c r="D699" s="264"/>
      <c r="E699" s="264"/>
      <c r="F699" s="264"/>
      <c r="G699" s="264"/>
      <c r="H699" s="264"/>
      <c r="I699" s="264"/>
      <c r="J699" s="264"/>
      <c r="K699" s="264"/>
      <c r="L699" s="264"/>
      <c r="M699" s="264"/>
      <c r="N699" s="264"/>
      <c r="O699" s="264"/>
      <c r="P699" s="264"/>
      <c r="Q699" s="264"/>
      <c r="R699" s="264"/>
      <c r="S699" s="264"/>
      <c r="T699" s="264"/>
      <c r="U699" s="264"/>
    </row>
    <row r="700">
      <c r="A700" s="264"/>
      <c r="B700" s="264"/>
      <c r="C700" s="264"/>
      <c r="D700" s="264"/>
      <c r="E700" s="264"/>
      <c r="F700" s="264"/>
      <c r="G700" s="264"/>
      <c r="H700" s="264"/>
      <c r="I700" s="264"/>
      <c r="J700" s="264"/>
      <c r="K700" s="264"/>
      <c r="L700" s="264"/>
      <c r="M700" s="264"/>
      <c r="N700" s="264"/>
      <c r="O700" s="264"/>
      <c r="P700" s="264"/>
      <c r="Q700" s="264"/>
      <c r="R700" s="264"/>
      <c r="S700" s="264"/>
      <c r="T700" s="264"/>
      <c r="U700" s="264"/>
    </row>
    <row r="701">
      <c r="A701" s="264"/>
      <c r="B701" s="264"/>
      <c r="C701" s="264"/>
      <c r="D701" s="264"/>
      <c r="E701" s="264"/>
      <c r="F701" s="264"/>
      <c r="G701" s="264"/>
      <c r="H701" s="264"/>
      <c r="I701" s="264"/>
      <c r="J701" s="264"/>
      <c r="K701" s="264"/>
      <c r="L701" s="264"/>
      <c r="M701" s="264"/>
      <c r="N701" s="264"/>
      <c r="O701" s="264"/>
      <c r="P701" s="264"/>
      <c r="Q701" s="264"/>
      <c r="R701" s="264"/>
      <c r="S701" s="264"/>
      <c r="T701" s="264"/>
      <c r="U701" s="264"/>
    </row>
    <row r="702">
      <c r="A702" s="264"/>
      <c r="B702" s="264"/>
      <c r="C702" s="264"/>
      <c r="D702" s="264"/>
      <c r="E702" s="264"/>
      <c r="F702" s="264"/>
      <c r="G702" s="264"/>
      <c r="H702" s="264"/>
      <c r="I702" s="264"/>
      <c r="J702" s="264"/>
      <c r="K702" s="264"/>
      <c r="L702" s="264"/>
      <c r="M702" s="264"/>
      <c r="N702" s="264"/>
      <c r="O702" s="264"/>
      <c r="P702" s="264"/>
      <c r="Q702" s="264"/>
      <c r="R702" s="264"/>
      <c r="S702" s="264"/>
      <c r="T702" s="264"/>
      <c r="U702" s="264"/>
    </row>
    <row r="703">
      <c r="A703" s="264"/>
      <c r="B703" s="264"/>
      <c r="C703" s="264"/>
      <c r="D703" s="264"/>
      <c r="E703" s="264"/>
      <c r="F703" s="264"/>
      <c r="G703" s="264"/>
      <c r="H703" s="264"/>
      <c r="I703" s="264"/>
      <c r="J703" s="264"/>
      <c r="K703" s="264"/>
      <c r="L703" s="264"/>
      <c r="M703" s="264"/>
      <c r="N703" s="264"/>
      <c r="O703" s="264"/>
      <c r="P703" s="264"/>
      <c r="Q703" s="264"/>
      <c r="R703" s="264"/>
      <c r="S703" s="264"/>
      <c r="T703" s="264"/>
      <c r="U703" s="264"/>
    </row>
    <row r="704">
      <c r="A704" s="264"/>
      <c r="B704" s="264"/>
      <c r="C704" s="264"/>
      <c r="D704" s="264"/>
      <c r="E704" s="264"/>
      <c r="F704" s="264"/>
      <c r="G704" s="264"/>
      <c r="H704" s="264"/>
      <c r="I704" s="264"/>
      <c r="J704" s="264"/>
      <c r="K704" s="264"/>
      <c r="L704" s="264"/>
      <c r="M704" s="264"/>
      <c r="N704" s="264"/>
      <c r="O704" s="264"/>
      <c r="P704" s="264"/>
      <c r="Q704" s="264"/>
      <c r="R704" s="264"/>
      <c r="S704" s="264"/>
      <c r="T704" s="264"/>
      <c r="U704" s="264"/>
    </row>
    <row r="705">
      <c r="A705" s="264"/>
      <c r="B705" s="264"/>
      <c r="C705" s="264"/>
      <c r="D705" s="264"/>
      <c r="E705" s="264"/>
      <c r="F705" s="264"/>
      <c r="G705" s="264"/>
      <c r="H705" s="264"/>
      <c r="I705" s="264"/>
      <c r="J705" s="264"/>
      <c r="K705" s="264"/>
      <c r="L705" s="264"/>
      <c r="M705" s="264"/>
      <c r="N705" s="264"/>
      <c r="O705" s="264"/>
      <c r="P705" s="264"/>
      <c r="Q705" s="264"/>
      <c r="R705" s="264"/>
      <c r="S705" s="264"/>
      <c r="T705" s="264"/>
      <c r="U705" s="264"/>
    </row>
    <row r="706">
      <c r="A706" s="264"/>
      <c r="B706" s="264"/>
      <c r="C706" s="264"/>
      <c r="D706" s="264"/>
      <c r="E706" s="264"/>
      <c r="F706" s="264"/>
      <c r="G706" s="264"/>
      <c r="H706" s="264"/>
      <c r="I706" s="264"/>
      <c r="J706" s="264"/>
      <c r="K706" s="264"/>
      <c r="L706" s="264"/>
      <c r="M706" s="264"/>
      <c r="N706" s="264"/>
      <c r="O706" s="264"/>
      <c r="P706" s="264"/>
      <c r="Q706" s="264"/>
      <c r="R706" s="264"/>
      <c r="S706" s="264"/>
      <c r="T706" s="264"/>
      <c r="U706" s="264"/>
    </row>
    <row r="707">
      <c r="A707" s="264"/>
      <c r="B707" s="264"/>
      <c r="C707" s="264"/>
      <c r="D707" s="264"/>
      <c r="E707" s="264"/>
      <c r="F707" s="264"/>
      <c r="G707" s="264"/>
      <c r="H707" s="264"/>
      <c r="I707" s="264"/>
      <c r="J707" s="264"/>
      <c r="K707" s="264"/>
      <c r="L707" s="264"/>
      <c r="M707" s="264"/>
      <c r="N707" s="264"/>
      <c r="O707" s="264"/>
      <c r="P707" s="264"/>
      <c r="Q707" s="264"/>
      <c r="R707" s="264"/>
      <c r="S707" s="264"/>
      <c r="T707" s="264"/>
      <c r="U707" s="264"/>
    </row>
    <row r="708">
      <c r="A708" s="264"/>
      <c r="B708" s="264"/>
      <c r="C708" s="264"/>
      <c r="D708" s="264"/>
      <c r="E708" s="264"/>
      <c r="F708" s="264"/>
      <c r="G708" s="264"/>
      <c r="H708" s="264"/>
      <c r="I708" s="264"/>
      <c r="J708" s="264"/>
      <c r="K708" s="264"/>
      <c r="L708" s="264"/>
      <c r="M708" s="264"/>
      <c r="N708" s="264"/>
      <c r="O708" s="264"/>
      <c r="P708" s="264"/>
      <c r="Q708" s="264"/>
      <c r="R708" s="264"/>
      <c r="S708" s="264"/>
      <c r="T708" s="264"/>
      <c r="U708" s="264"/>
    </row>
    <row r="709">
      <c r="A709" s="264"/>
      <c r="B709" s="264"/>
      <c r="C709" s="264"/>
      <c r="D709" s="264"/>
      <c r="E709" s="264"/>
      <c r="F709" s="264"/>
      <c r="G709" s="264"/>
      <c r="H709" s="264"/>
      <c r="I709" s="264"/>
      <c r="J709" s="264"/>
      <c r="K709" s="264"/>
      <c r="L709" s="264"/>
      <c r="M709" s="264"/>
      <c r="N709" s="264"/>
      <c r="O709" s="264"/>
      <c r="P709" s="264"/>
      <c r="Q709" s="264"/>
      <c r="R709" s="264"/>
      <c r="S709" s="264"/>
      <c r="T709" s="264"/>
      <c r="U709" s="264"/>
    </row>
    <row r="710">
      <c r="A710" s="264"/>
      <c r="B710" s="264"/>
      <c r="C710" s="264"/>
      <c r="D710" s="264"/>
      <c r="E710" s="264"/>
      <c r="F710" s="264"/>
      <c r="G710" s="264"/>
      <c r="H710" s="264"/>
      <c r="I710" s="264"/>
      <c r="J710" s="264"/>
      <c r="K710" s="264"/>
      <c r="L710" s="264"/>
      <c r="M710" s="264"/>
      <c r="N710" s="264"/>
      <c r="O710" s="264"/>
      <c r="P710" s="264"/>
      <c r="Q710" s="264"/>
      <c r="R710" s="264"/>
      <c r="S710" s="264"/>
      <c r="T710" s="264"/>
      <c r="U710" s="264"/>
    </row>
    <row r="711">
      <c r="A711" s="264"/>
      <c r="B711" s="264"/>
      <c r="C711" s="264"/>
      <c r="D711" s="264"/>
      <c r="E711" s="264"/>
      <c r="F711" s="264"/>
      <c r="G711" s="264"/>
      <c r="H711" s="264"/>
      <c r="I711" s="264"/>
      <c r="J711" s="264"/>
      <c r="K711" s="264"/>
      <c r="L711" s="264"/>
      <c r="M711" s="264"/>
      <c r="N711" s="264"/>
      <c r="O711" s="264"/>
      <c r="P711" s="264"/>
      <c r="Q711" s="264"/>
      <c r="R711" s="264"/>
      <c r="S711" s="264"/>
      <c r="T711" s="264"/>
      <c r="U711" s="264"/>
    </row>
    <row r="712">
      <c r="A712" s="264"/>
      <c r="B712" s="264"/>
      <c r="C712" s="264"/>
      <c r="D712" s="264"/>
      <c r="E712" s="264"/>
      <c r="F712" s="264"/>
      <c r="G712" s="264"/>
      <c r="H712" s="264"/>
      <c r="I712" s="264"/>
      <c r="J712" s="264"/>
      <c r="K712" s="264"/>
      <c r="L712" s="264"/>
      <c r="M712" s="264"/>
      <c r="N712" s="264"/>
      <c r="O712" s="264"/>
      <c r="P712" s="264"/>
      <c r="Q712" s="264"/>
      <c r="R712" s="264"/>
      <c r="S712" s="264"/>
      <c r="T712" s="264"/>
      <c r="U712" s="264"/>
    </row>
    <row r="713">
      <c r="A713" s="264"/>
      <c r="B713" s="264"/>
      <c r="C713" s="264"/>
      <c r="D713" s="264"/>
      <c r="E713" s="264"/>
      <c r="F713" s="264"/>
      <c r="G713" s="264"/>
      <c r="H713" s="264"/>
      <c r="I713" s="264"/>
      <c r="J713" s="264"/>
      <c r="K713" s="264"/>
      <c r="L713" s="264"/>
      <c r="M713" s="264"/>
      <c r="N713" s="264"/>
      <c r="O713" s="264"/>
      <c r="P713" s="264"/>
      <c r="Q713" s="264"/>
      <c r="R713" s="264"/>
      <c r="S713" s="264"/>
      <c r="T713" s="264"/>
      <c r="U713" s="264"/>
    </row>
    <row r="714">
      <c r="A714" s="264"/>
      <c r="B714" s="264"/>
      <c r="C714" s="264"/>
      <c r="D714" s="264"/>
      <c r="E714" s="264"/>
      <c r="F714" s="264"/>
      <c r="G714" s="264"/>
      <c r="H714" s="264"/>
      <c r="I714" s="264"/>
      <c r="J714" s="264"/>
      <c r="K714" s="264"/>
      <c r="L714" s="264"/>
      <c r="M714" s="264"/>
      <c r="N714" s="264"/>
      <c r="O714" s="264"/>
      <c r="P714" s="264"/>
      <c r="Q714" s="264"/>
      <c r="R714" s="264"/>
      <c r="S714" s="264"/>
      <c r="T714" s="264"/>
      <c r="U714" s="264"/>
    </row>
    <row r="715">
      <c r="A715" s="264"/>
      <c r="B715" s="264"/>
      <c r="C715" s="264"/>
      <c r="D715" s="264"/>
      <c r="E715" s="264"/>
      <c r="F715" s="264"/>
      <c r="G715" s="264"/>
      <c r="H715" s="264"/>
      <c r="I715" s="264"/>
      <c r="J715" s="264"/>
      <c r="K715" s="264"/>
      <c r="L715" s="264"/>
      <c r="M715" s="264"/>
      <c r="N715" s="264"/>
      <c r="O715" s="264"/>
      <c r="P715" s="264"/>
      <c r="Q715" s="264"/>
      <c r="R715" s="264"/>
      <c r="S715" s="264"/>
      <c r="T715" s="264"/>
      <c r="U715" s="264"/>
    </row>
    <row r="716">
      <c r="A716" s="264"/>
      <c r="B716" s="264"/>
      <c r="C716" s="264"/>
      <c r="D716" s="264"/>
      <c r="E716" s="264"/>
      <c r="F716" s="264"/>
      <c r="G716" s="264"/>
      <c r="H716" s="264"/>
      <c r="I716" s="264"/>
      <c r="J716" s="264"/>
      <c r="K716" s="264"/>
      <c r="L716" s="264"/>
      <c r="M716" s="264"/>
      <c r="N716" s="264"/>
      <c r="O716" s="264"/>
      <c r="P716" s="264"/>
      <c r="Q716" s="264"/>
      <c r="R716" s="264"/>
      <c r="S716" s="264"/>
      <c r="T716" s="264"/>
      <c r="U716" s="264"/>
    </row>
    <row r="717">
      <c r="A717" s="264"/>
      <c r="B717" s="264"/>
      <c r="C717" s="264"/>
      <c r="D717" s="264"/>
      <c r="E717" s="264"/>
      <c r="F717" s="264"/>
      <c r="G717" s="264"/>
      <c r="H717" s="264"/>
      <c r="I717" s="264"/>
      <c r="J717" s="264"/>
      <c r="K717" s="264"/>
      <c r="L717" s="264"/>
      <c r="M717" s="264"/>
      <c r="N717" s="264"/>
      <c r="O717" s="264"/>
      <c r="P717" s="264"/>
      <c r="Q717" s="264"/>
      <c r="R717" s="264"/>
      <c r="S717" s="264"/>
      <c r="T717" s="264"/>
      <c r="U717" s="264"/>
    </row>
    <row r="718">
      <c r="A718" s="264"/>
      <c r="B718" s="264"/>
      <c r="C718" s="264"/>
      <c r="D718" s="264"/>
      <c r="E718" s="264"/>
      <c r="F718" s="264"/>
      <c r="G718" s="264"/>
      <c r="H718" s="264"/>
      <c r="I718" s="264"/>
      <c r="J718" s="264"/>
      <c r="K718" s="264"/>
      <c r="L718" s="264"/>
      <c r="M718" s="264"/>
      <c r="N718" s="264"/>
      <c r="O718" s="264"/>
      <c r="P718" s="264"/>
      <c r="Q718" s="264"/>
      <c r="R718" s="264"/>
      <c r="S718" s="264"/>
      <c r="T718" s="264"/>
      <c r="U718" s="264"/>
    </row>
    <row r="719">
      <c r="A719" s="264"/>
      <c r="B719" s="264"/>
      <c r="C719" s="264"/>
      <c r="D719" s="264"/>
      <c r="E719" s="264"/>
      <c r="F719" s="264"/>
      <c r="G719" s="264"/>
      <c r="H719" s="264"/>
      <c r="I719" s="264"/>
      <c r="J719" s="264"/>
      <c r="K719" s="264"/>
      <c r="L719" s="264"/>
      <c r="M719" s="264"/>
      <c r="N719" s="264"/>
      <c r="O719" s="264"/>
      <c r="P719" s="264"/>
      <c r="Q719" s="264"/>
      <c r="R719" s="264"/>
      <c r="S719" s="264"/>
      <c r="T719" s="264"/>
      <c r="U719" s="264"/>
    </row>
    <row r="720">
      <c r="A720" s="264"/>
      <c r="B720" s="264"/>
      <c r="C720" s="264"/>
      <c r="D720" s="264"/>
      <c r="E720" s="264"/>
      <c r="F720" s="264"/>
      <c r="G720" s="264"/>
      <c r="H720" s="264"/>
      <c r="I720" s="264"/>
      <c r="J720" s="264"/>
      <c r="K720" s="264"/>
      <c r="L720" s="264"/>
      <c r="M720" s="264"/>
      <c r="N720" s="264"/>
      <c r="O720" s="264"/>
      <c r="P720" s="264"/>
      <c r="Q720" s="264"/>
      <c r="R720" s="264"/>
      <c r="S720" s="264"/>
      <c r="T720" s="264"/>
      <c r="U720" s="264"/>
    </row>
    <row r="721">
      <c r="A721" s="264"/>
      <c r="B721" s="264"/>
      <c r="C721" s="264"/>
      <c r="D721" s="264"/>
      <c r="E721" s="264"/>
      <c r="F721" s="264"/>
      <c r="G721" s="264"/>
      <c r="H721" s="264"/>
      <c r="I721" s="264"/>
      <c r="J721" s="264"/>
      <c r="K721" s="264"/>
      <c r="L721" s="264"/>
      <c r="M721" s="264"/>
      <c r="N721" s="264"/>
      <c r="O721" s="264"/>
      <c r="P721" s="264"/>
      <c r="Q721" s="264"/>
      <c r="R721" s="264"/>
      <c r="S721" s="264"/>
      <c r="T721" s="264"/>
      <c r="U721" s="264"/>
    </row>
    <row r="722">
      <c r="A722" s="264"/>
      <c r="B722" s="264"/>
      <c r="C722" s="264"/>
      <c r="D722" s="264"/>
      <c r="E722" s="264"/>
      <c r="F722" s="264"/>
      <c r="G722" s="264"/>
      <c r="H722" s="264"/>
      <c r="I722" s="264"/>
      <c r="J722" s="264"/>
      <c r="K722" s="264"/>
      <c r="L722" s="264"/>
      <c r="M722" s="264"/>
      <c r="N722" s="264"/>
      <c r="O722" s="264"/>
      <c r="P722" s="264"/>
      <c r="Q722" s="264"/>
      <c r="R722" s="264"/>
      <c r="S722" s="264"/>
      <c r="T722" s="264"/>
      <c r="U722" s="264"/>
    </row>
    <row r="723">
      <c r="A723" s="264"/>
      <c r="B723" s="264"/>
      <c r="C723" s="264"/>
      <c r="D723" s="264"/>
      <c r="E723" s="264"/>
      <c r="F723" s="264"/>
      <c r="G723" s="264"/>
      <c r="H723" s="264"/>
      <c r="I723" s="264"/>
      <c r="J723" s="264"/>
      <c r="K723" s="264"/>
      <c r="L723" s="264"/>
      <c r="M723" s="264"/>
      <c r="N723" s="264"/>
      <c r="O723" s="264"/>
      <c r="P723" s="264"/>
      <c r="Q723" s="264"/>
      <c r="R723" s="264"/>
      <c r="S723" s="264"/>
      <c r="T723" s="264"/>
      <c r="U723" s="264"/>
    </row>
    <row r="724">
      <c r="A724" s="264"/>
      <c r="B724" s="264"/>
      <c r="C724" s="264"/>
      <c r="D724" s="264"/>
      <c r="E724" s="264"/>
      <c r="F724" s="264"/>
      <c r="G724" s="264"/>
      <c r="H724" s="264"/>
      <c r="I724" s="264"/>
      <c r="J724" s="264"/>
      <c r="K724" s="264"/>
      <c r="L724" s="264"/>
      <c r="M724" s="264"/>
      <c r="N724" s="264"/>
      <c r="O724" s="264"/>
      <c r="P724" s="264"/>
      <c r="Q724" s="264"/>
      <c r="R724" s="264"/>
      <c r="S724" s="264"/>
      <c r="T724" s="264"/>
      <c r="U724" s="264"/>
    </row>
    <row r="725">
      <c r="A725" s="264"/>
      <c r="B725" s="264"/>
      <c r="C725" s="264"/>
      <c r="D725" s="264"/>
      <c r="E725" s="264"/>
      <c r="F725" s="264"/>
      <c r="G725" s="264"/>
      <c r="H725" s="264"/>
      <c r="I725" s="264"/>
      <c r="J725" s="264"/>
      <c r="K725" s="264"/>
      <c r="L725" s="264"/>
      <c r="M725" s="264"/>
      <c r="N725" s="264"/>
      <c r="O725" s="264"/>
      <c r="P725" s="264"/>
      <c r="Q725" s="264"/>
      <c r="R725" s="264"/>
      <c r="S725" s="264"/>
      <c r="T725" s="264"/>
      <c r="U725" s="264"/>
    </row>
    <row r="726">
      <c r="A726" s="264"/>
      <c r="B726" s="264"/>
      <c r="C726" s="264"/>
      <c r="D726" s="264"/>
      <c r="E726" s="264"/>
      <c r="F726" s="264"/>
      <c r="G726" s="264"/>
      <c r="H726" s="264"/>
      <c r="I726" s="264"/>
      <c r="J726" s="264"/>
      <c r="K726" s="264"/>
      <c r="L726" s="264"/>
      <c r="M726" s="264"/>
      <c r="N726" s="264"/>
      <c r="O726" s="264"/>
      <c r="P726" s="264"/>
      <c r="Q726" s="264"/>
      <c r="R726" s="264"/>
      <c r="S726" s="264"/>
      <c r="T726" s="264"/>
      <c r="U726" s="264"/>
    </row>
    <row r="727">
      <c r="A727" s="264"/>
      <c r="B727" s="264"/>
      <c r="C727" s="264"/>
      <c r="D727" s="264"/>
      <c r="E727" s="264"/>
      <c r="F727" s="264"/>
      <c r="G727" s="264"/>
      <c r="H727" s="264"/>
      <c r="I727" s="264"/>
      <c r="J727" s="264"/>
      <c r="K727" s="264"/>
      <c r="L727" s="264"/>
      <c r="M727" s="264"/>
      <c r="N727" s="264"/>
      <c r="O727" s="264"/>
      <c r="P727" s="264"/>
      <c r="Q727" s="264"/>
      <c r="R727" s="264"/>
      <c r="S727" s="264"/>
      <c r="T727" s="264"/>
      <c r="U727" s="264"/>
    </row>
    <row r="728">
      <c r="A728" s="264"/>
      <c r="B728" s="264"/>
      <c r="C728" s="264"/>
      <c r="D728" s="264"/>
      <c r="E728" s="264"/>
      <c r="F728" s="264"/>
      <c r="G728" s="264"/>
      <c r="H728" s="264"/>
      <c r="I728" s="264"/>
      <c r="J728" s="264"/>
      <c r="K728" s="264"/>
      <c r="L728" s="264"/>
      <c r="M728" s="264"/>
      <c r="N728" s="264"/>
      <c r="O728" s="264"/>
      <c r="P728" s="264"/>
      <c r="Q728" s="264"/>
      <c r="R728" s="264"/>
      <c r="S728" s="264"/>
      <c r="T728" s="264"/>
      <c r="U728" s="264"/>
    </row>
    <row r="729">
      <c r="A729" s="264"/>
      <c r="B729" s="264"/>
      <c r="C729" s="264"/>
      <c r="D729" s="264"/>
      <c r="E729" s="264"/>
      <c r="F729" s="264"/>
      <c r="G729" s="264"/>
      <c r="H729" s="264"/>
      <c r="I729" s="264"/>
      <c r="J729" s="264"/>
      <c r="K729" s="264"/>
      <c r="L729" s="264"/>
      <c r="M729" s="264"/>
      <c r="N729" s="264"/>
      <c r="O729" s="264"/>
      <c r="P729" s="264"/>
      <c r="Q729" s="264"/>
      <c r="R729" s="264"/>
      <c r="S729" s="264"/>
      <c r="T729" s="264"/>
      <c r="U729" s="264"/>
    </row>
    <row r="730">
      <c r="A730" s="264"/>
      <c r="B730" s="264"/>
      <c r="C730" s="264"/>
      <c r="D730" s="264"/>
      <c r="E730" s="264"/>
      <c r="F730" s="264"/>
      <c r="G730" s="264"/>
      <c r="H730" s="264"/>
      <c r="I730" s="264"/>
      <c r="J730" s="264"/>
      <c r="K730" s="264"/>
      <c r="L730" s="264"/>
      <c r="M730" s="264"/>
      <c r="N730" s="264"/>
      <c r="O730" s="264"/>
      <c r="P730" s="264"/>
      <c r="Q730" s="264"/>
      <c r="R730" s="264"/>
      <c r="S730" s="264"/>
      <c r="T730" s="264"/>
      <c r="U730" s="264"/>
    </row>
    <row r="731">
      <c r="A731" s="264"/>
      <c r="B731" s="264"/>
      <c r="C731" s="264"/>
      <c r="D731" s="264"/>
      <c r="E731" s="264"/>
      <c r="F731" s="264"/>
      <c r="G731" s="264"/>
      <c r="H731" s="264"/>
      <c r="I731" s="264"/>
      <c r="J731" s="264"/>
      <c r="K731" s="264"/>
      <c r="L731" s="264"/>
      <c r="M731" s="264"/>
      <c r="N731" s="264"/>
      <c r="O731" s="264"/>
      <c r="P731" s="264"/>
      <c r="Q731" s="264"/>
      <c r="R731" s="264"/>
      <c r="S731" s="264"/>
      <c r="T731" s="264"/>
      <c r="U731" s="264"/>
    </row>
    <row r="732">
      <c r="A732" s="264"/>
      <c r="B732" s="264"/>
      <c r="C732" s="264"/>
      <c r="D732" s="264"/>
      <c r="E732" s="264"/>
      <c r="F732" s="264"/>
      <c r="G732" s="264"/>
      <c r="H732" s="264"/>
      <c r="I732" s="264"/>
      <c r="J732" s="264"/>
      <c r="K732" s="264"/>
      <c r="L732" s="264"/>
      <c r="M732" s="264"/>
      <c r="N732" s="264"/>
      <c r="O732" s="264"/>
      <c r="P732" s="264"/>
      <c r="Q732" s="264"/>
      <c r="R732" s="264"/>
      <c r="S732" s="264"/>
      <c r="T732" s="264"/>
      <c r="U732" s="264"/>
    </row>
    <row r="733">
      <c r="A733" s="264"/>
      <c r="B733" s="264"/>
      <c r="C733" s="264"/>
      <c r="D733" s="264"/>
      <c r="E733" s="264"/>
      <c r="F733" s="264"/>
      <c r="G733" s="264"/>
      <c r="H733" s="264"/>
      <c r="I733" s="264"/>
      <c r="J733" s="264"/>
      <c r="K733" s="264"/>
      <c r="L733" s="264"/>
      <c r="M733" s="264"/>
      <c r="N733" s="264"/>
      <c r="O733" s="264"/>
      <c r="P733" s="264"/>
      <c r="Q733" s="264"/>
      <c r="R733" s="264"/>
      <c r="S733" s="264"/>
      <c r="T733" s="264"/>
      <c r="U733" s="264"/>
    </row>
    <row r="734">
      <c r="A734" s="264"/>
      <c r="B734" s="264"/>
      <c r="C734" s="264"/>
      <c r="D734" s="264"/>
      <c r="E734" s="264"/>
      <c r="F734" s="264"/>
      <c r="G734" s="264"/>
      <c r="H734" s="264"/>
      <c r="I734" s="264"/>
      <c r="J734" s="264"/>
      <c r="K734" s="264"/>
      <c r="L734" s="264"/>
      <c r="M734" s="264"/>
      <c r="N734" s="264"/>
      <c r="O734" s="264"/>
      <c r="P734" s="264"/>
      <c r="Q734" s="264"/>
      <c r="R734" s="264"/>
      <c r="S734" s="264"/>
      <c r="T734" s="264"/>
      <c r="U734" s="264"/>
    </row>
    <row r="735">
      <c r="A735" s="264"/>
      <c r="B735" s="264"/>
      <c r="C735" s="264"/>
      <c r="D735" s="264"/>
      <c r="E735" s="264"/>
      <c r="F735" s="264"/>
      <c r="G735" s="264"/>
      <c r="H735" s="264"/>
      <c r="I735" s="264"/>
      <c r="J735" s="264"/>
      <c r="K735" s="264"/>
      <c r="L735" s="264"/>
      <c r="M735" s="264"/>
      <c r="N735" s="264"/>
      <c r="O735" s="264"/>
      <c r="P735" s="264"/>
      <c r="Q735" s="264"/>
      <c r="R735" s="264"/>
      <c r="S735" s="264"/>
      <c r="T735" s="264"/>
      <c r="U735" s="264"/>
    </row>
    <row r="736">
      <c r="A736" s="264"/>
      <c r="B736" s="264"/>
      <c r="C736" s="264"/>
      <c r="D736" s="264"/>
      <c r="E736" s="264"/>
      <c r="F736" s="264"/>
      <c r="G736" s="264"/>
      <c r="H736" s="264"/>
      <c r="I736" s="264"/>
      <c r="J736" s="264"/>
      <c r="K736" s="264"/>
      <c r="L736" s="264"/>
      <c r="M736" s="264"/>
      <c r="N736" s="264"/>
      <c r="O736" s="264"/>
      <c r="P736" s="264"/>
      <c r="Q736" s="264"/>
      <c r="R736" s="264"/>
      <c r="S736" s="264"/>
      <c r="T736" s="264"/>
      <c r="U736" s="264"/>
    </row>
    <row r="737">
      <c r="A737" s="264"/>
      <c r="B737" s="264"/>
      <c r="C737" s="264"/>
      <c r="D737" s="264"/>
      <c r="E737" s="264"/>
      <c r="F737" s="264"/>
      <c r="G737" s="264"/>
      <c r="H737" s="264"/>
      <c r="I737" s="264"/>
      <c r="J737" s="264"/>
      <c r="K737" s="264"/>
      <c r="L737" s="264"/>
      <c r="M737" s="264"/>
      <c r="N737" s="264"/>
      <c r="O737" s="264"/>
      <c r="P737" s="264"/>
      <c r="Q737" s="264"/>
      <c r="R737" s="264"/>
      <c r="S737" s="264"/>
      <c r="T737" s="264"/>
      <c r="U737" s="264"/>
    </row>
    <row r="738">
      <c r="A738" s="264"/>
      <c r="B738" s="264"/>
      <c r="C738" s="264"/>
      <c r="D738" s="264"/>
      <c r="E738" s="264"/>
      <c r="F738" s="264"/>
      <c r="G738" s="264"/>
      <c r="H738" s="264"/>
      <c r="I738" s="264"/>
      <c r="J738" s="264"/>
      <c r="K738" s="264"/>
      <c r="L738" s="264"/>
      <c r="M738" s="264"/>
      <c r="N738" s="264"/>
      <c r="O738" s="264"/>
      <c r="P738" s="264"/>
      <c r="Q738" s="264"/>
      <c r="R738" s="264"/>
      <c r="S738" s="264"/>
      <c r="T738" s="264"/>
      <c r="U738" s="264"/>
    </row>
    <row r="739">
      <c r="A739" s="264"/>
      <c r="B739" s="264"/>
      <c r="C739" s="264"/>
      <c r="D739" s="264"/>
      <c r="E739" s="264"/>
      <c r="F739" s="264"/>
      <c r="G739" s="264"/>
      <c r="H739" s="264"/>
      <c r="I739" s="264"/>
      <c r="J739" s="264"/>
      <c r="K739" s="264"/>
      <c r="L739" s="264"/>
      <c r="M739" s="264"/>
      <c r="N739" s="264"/>
      <c r="O739" s="264"/>
      <c r="P739" s="264"/>
      <c r="Q739" s="264"/>
      <c r="R739" s="264"/>
      <c r="S739" s="264"/>
      <c r="T739" s="264"/>
      <c r="U739" s="264"/>
    </row>
    <row r="740">
      <c r="A740" s="264"/>
      <c r="B740" s="264"/>
      <c r="C740" s="264"/>
      <c r="D740" s="264"/>
      <c r="E740" s="264"/>
      <c r="F740" s="264"/>
      <c r="G740" s="264"/>
      <c r="H740" s="264"/>
      <c r="I740" s="264"/>
      <c r="J740" s="264"/>
      <c r="K740" s="264"/>
      <c r="L740" s="264"/>
      <c r="M740" s="264"/>
      <c r="N740" s="264"/>
      <c r="O740" s="264"/>
      <c r="P740" s="264"/>
      <c r="Q740" s="264"/>
      <c r="R740" s="264"/>
      <c r="S740" s="264"/>
      <c r="T740" s="264"/>
      <c r="U740" s="264"/>
    </row>
    <row r="741">
      <c r="A741" s="264"/>
      <c r="B741" s="264"/>
      <c r="C741" s="264"/>
      <c r="D741" s="264"/>
      <c r="E741" s="264"/>
      <c r="F741" s="264"/>
      <c r="G741" s="264"/>
      <c r="H741" s="264"/>
      <c r="I741" s="264"/>
      <c r="J741" s="264"/>
      <c r="K741" s="264"/>
      <c r="L741" s="264"/>
      <c r="M741" s="264"/>
      <c r="N741" s="264"/>
      <c r="O741" s="264"/>
      <c r="P741" s="264"/>
      <c r="Q741" s="264"/>
      <c r="R741" s="264"/>
      <c r="S741" s="264"/>
      <c r="T741" s="264"/>
      <c r="U741" s="264"/>
    </row>
    <row r="742">
      <c r="A742" s="264"/>
      <c r="B742" s="264"/>
      <c r="C742" s="264"/>
      <c r="D742" s="264"/>
      <c r="E742" s="264"/>
      <c r="F742" s="264"/>
      <c r="G742" s="264"/>
      <c r="H742" s="264"/>
      <c r="I742" s="264"/>
      <c r="J742" s="264"/>
      <c r="K742" s="264"/>
      <c r="L742" s="264"/>
      <c r="M742" s="264"/>
      <c r="N742" s="264"/>
      <c r="O742" s="264"/>
      <c r="P742" s="264"/>
      <c r="Q742" s="264"/>
      <c r="R742" s="264"/>
      <c r="S742" s="264"/>
      <c r="T742" s="264"/>
      <c r="U742" s="264"/>
    </row>
    <row r="743">
      <c r="A743" s="264"/>
      <c r="B743" s="264"/>
      <c r="C743" s="264"/>
      <c r="D743" s="264"/>
      <c r="E743" s="264"/>
      <c r="F743" s="264"/>
      <c r="G743" s="264"/>
      <c r="H743" s="264"/>
      <c r="I743" s="264"/>
      <c r="J743" s="264"/>
      <c r="K743" s="264"/>
      <c r="L743" s="264"/>
      <c r="M743" s="264"/>
      <c r="N743" s="264"/>
      <c r="O743" s="264"/>
      <c r="P743" s="264"/>
      <c r="Q743" s="264"/>
      <c r="R743" s="264"/>
      <c r="S743" s="264"/>
      <c r="T743" s="264"/>
      <c r="U743" s="264"/>
    </row>
    <row r="744">
      <c r="A744" s="264"/>
      <c r="B744" s="264"/>
      <c r="C744" s="264"/>
      <c r="D744" s="264"/>
      <c r="E744" s="264"/>
      <c r="F744" s="264"/>
      <c r="G744" s="264"/>
      <c r="H744" s="264"/>
      <c r="I744" s="264"/>
      <c r="J744" s="264"/>
      <c r="K744" s="264"/>
      <c r="L744" s="264"/>
      <c r="M744" s="264"/>
      <c r="N744" s="264"/>
      <c r="O744" s="264"/>
      <c r="P744" s="264"/>
      <c r="Q744" s="264"/>
      <c r="R744" s="264"/>
      <c r="S744" s="264"/>
      <c r="T744" s="264"/>
      <c r="U744" s="264"/>
    </row>
    <row r="745">
      <c r="A745" s="264"/>
      <c r="B745" s="264"/>
      <c r="C745" s="264"/>
      <c r="D745" s="264"/>
      <c r="E745" s="264"/>
      <c r="F745" s="264"/>
      <c r="G745" s="264"/>
      <c r="H745" s="264"/>
      <c r="I745" s="264"/>
      <c r="J745" s="264"/>
      <c r="K745" s="264"/>
      <c r="L745" s="264"/>
      <c r="M745" s="264"/>
      <c r="N745" s="264"/>
      <c r="O745" s="264"/>
      <c r="P745" s="264"/>
      <c r="Q745" s="264"/>
      <c r="R745" s="264"/>
      <c r="S745" s="264"/>
      <c r="T745" s="264"/>
      <c r="U745" s="264"/>
    </row>
    <row r="746">
      <c r="A746" s="264"/>
      <c r="B746" s="264"/>
      <c r="C746" s="264"/>
      <c r="D746" s="264"/>
      <c r="E746" s="264"/>
      <c r="F746" s="264"/>
      <c r="G746" s="264"/>
      <c r="H746" s="264"/>
      <c r="I746" s="264"/>
      <c r="J746" s="264"/>
      <c r="K746" s="264"/>
      <c r="L746" s="264"/>
      <c r="M746" s="264"/>
      <c r="N746" s="264"/>
      <c r="O746" s="264"/>
      <c r="P746" s="264"/>
      <c r="Q746" s="264"/>
      <c r="R746" s="264"/>
      <c r="S746" s="264"/>
      <c r="T746" s="264"/>
      <c r="U746" s="264"/>
    </row>
    <row r="747">
      <c r="A747" s="264"/>
      <c r="B747" s="264"/>
      <c r="C747" s="264"/>
      <c r="D747" s="264"/>
      <c r="E747" s="264"/>
      <c r="F747" s="264"/>
      <c r="G747" s="264"/>
      <c r="H747" s="264"/>
      <c r="I747" s="264"/>
      <c r="J747" s="264"/>
      <c r="K747" s="264"/>
      <c r="L747" s="264"/>
      <c r="M747" s="264"/>
      <c r="N747" s="264"/>
      <c r="O747" s="264"/>
      <c r="P747" s="264"/>
      <c r="Q747" s="264"/>
      <c r="R747" s="264"/>
      <c r="S747" s="264"/>
      <c r="T747" s="264"/>
      <c r="U747" s="264"/>
    </row>
    <row r="748">
      <c r="A748" s="264"/>
      <c r="B748" s="264"/>
      <c r="C748" s="264"/>
      <c r="D748" s="264"/>
      <c r="E748" s="264"/>
      <c r="F748" s="264"/>
      <c r="G748" s="264"/>
      <c r="H748" s="264"/>
      <c r="I748" s="264"/>
      <c r="J748" s="264"/>
      <c r="K748" s="264"/>
      <c r="L748" s="264"/>
      <c r="M748" s="264"/>
      <c r="N748" s="264"/>
      <c r="O748" s="264"/>
      <c r="P748" s="264"/>
      <c r="Q748" s="264"/>
      <c r="R748" s="264"/>
      <c r="S748" s="264"/>
      <c r="T748" s="264"/>
      <c r="U748" s="264"/>
    </row>
    <row r="749">
      <c r="A749" s="264"/>
      <c r="B749" s="264"/>
      <c r="C749" s="264"/>
      <c r="D749" s="264"/>
      <c r="E749" s="264"/>
      <c r="F749" s="264"/>
      <c r="G749" s="264"/>
      <c r="H749" s="264"/>
      <c r="I749" s="264"/>
      <c r="J749" s="264"/>
      <c r="K749" s="264"/>
      <c r="L749" s="264"/>
      <c r="M749" s="264"/>
      <c r="N749" s="264"/>
      <c r="O749" s="264"/>
      <c r="P749" s="264"/>
      <c r="Q749" s="264"/>
      <c r="R749" s="264"/>
      <c r="S749" s="264"/>
      <c r="T749" s="264"/>
      <c r="U749" s="264"/>
    </row>
    <row r="750">
      <c r="A750" s="264"/>
      <c r="B750" s="264"/>
      <c r="C750" s="264"/>
      <c r="D750" s="264"/>
      <c r="E750" s="264"/>
      <c r="F750" s="264"/>
      <c r="G750" s="264"/>
      <c r="H750" s="264"/>
      <c r="I750" s="264"/>
      <c r="J750" s="264"/>
      <c r="K750" s="264"/>
      <c r="L750" s="264"/>
      <c r="M750" s="264"/>
      <c r="N750" s="264"/>
      <c r="O750" s="264"/>
      <c r="P750" s="264"/>
      <c r="Q750" s="264"/>
      <c r="R750" s="264"/>
      <c r="S750" s="264"/>
      <c r="T750" s="264"/>
      <c r="U750" s="264"/>
    </row>
    <row r="751">
      <c r="A751" s="264"/>
      <c r="B751" s="264"/>
      <c r="C751" s="264"/>
      <c r="D751" s="264"/>
      <c r="E751" s="264"/>
      <c r="F751" s="264"/>
      <c r="G751" s="264"/>
      <c r="H751" s="264"/>
      <c r="I751" s="264"/>
      <c r="J751" s="264"/>
      <c r="K751" s="264"/>
      <c r="L751" s="264"/>
      <c r="M751" s="264"/>
      <c r="N751" s="264"/>
      <c r="O751" s="264"/>
      <c r="P751" s="264"/>
      <c r="Q751" s="264"/>
      <c r="R751" s="264"/>
      <c r="S751" s="264"/>
      <c r="T751" s="264"/>
      <c r="U751" s="264"/>
    </row>
    <row r="752">
      <c r="A752" s="264"/>
      <c r="B752" s="264"/>
      <c r="C752" s="264"/>
      <c r="D752" s="264"/>
      <c r="E752" s="264"/>
      <c r="F752" s="264"/>
      <c r="G752" s="264"/>
      <c r="H752" s="264"/>
      <c r="I752" s="264"/>
      <c r="J752" s="264"/>
      <c r="K752" s="264"/>
      <c r="L752" s="264"/>
      <c r="M752" s="264"/>
      <c r="N752" s="264"/>
      <c r="O752" s="264"/>
      <c r="P752" s="264"/>
      <c r="Q752" s="264"/>
      <c r="R752" s="264"/>
      <c r="S752" s="264"/>
      <c r="T752" s="264"/>
      <c r="U752" s="264"/>
    </row>
    <row r="753">
      <c r="A753" s="264"/>
      <c r="B753" s="264"/>
      <c r="C753" s="264"/>
      <c r="D753" s="264"/>
      <c r="E753" s="264"/>
      <c r="F753" s="264"/>
      <c r="G753" s="264"/>
      <c r="H753" s="264"/>
      <c r="I753" s="264"/>
      <c r="J753" s="264"/>
      <c r="K753" s="264"/>
      <c r="L753" s="264"/>
      <c r="M753" s="264"/>
      <c r="N753" s="264"/>
      <c r="O753" s="264"/>
      <c r="P753" s="264"/>
      <c r="Q753" s="264"/>
      <c r="R753" s="264"/>
      <c r="S753" s="264"/>
      <c r="T753" s="264"/>
      <c r="U753" s="264"/>
    </row>
    <row r="754">
      <c r="A754" s="264"/>
      <c r="B754" s="264"/>
      <c r="C754" s="264"/>
      <c r="D754" s="264"/>
      <c r="E754" s="264"/>
      <c r="F754" s="264"/>
      <c r="G754" s="264"/>
      <c r="H754" s="264"/>
      <c r="I754" s="264"/>
      <c r="J754" s="264"/>
      <c r="K754" s="264"/>
      <c r="L754" s="264"/>
      <c r="M754" s="264"/>
      <c r="N754" s="264"/>
      <c r="O754" s="264"/>
      <c r="P754" s="264"/>
      <c r="Q754" s="264"/>
      <c r="R754" s="264"/>
      <c r="S754" s="264"/>
      <c r="T754" s="264"/>
      <c r="U754" s="264"/>
    </row>
    <row r="755">
      <c r="A755" s="264"/>
      <c r="B755" s="264"/>
      <c r="C755" s="264"/>
      <c r="D755" s="264"/>
      <c r="E755" s="264"/>
      <c r="F755" s="264"/>
      <c r="G755" s="264"/>
      <c r="H755" s="264"/>
      <c r="I755" s="264"/>
      <c r="J755" s="264"/>
      <c r="K755" s="264"/>
      <c r="L755" s="264"/>
      <c r="M755" s="264"/>
      <c r="N755" s="264"/>
      <c r="O755" s="264"/>
      <c r="P755" s="264"/>
      <c r="Q755" s="264"/>
      <c r="R755" s="264"/>
      <c r="S755" s="264"/>
      <c r="T755" s="264"/>
      <c r="U755" s="264"/>
    </row>
    <row r="756">
      <c r="A756" s="264"/>
      <c r="B756" s="264"/>
      <c r="C756" s="264"/>
      <c r="D756" s="264"/>
      <c r="E756" s="264"/>
      <c r="F756" s="264"/>
      <c r="G756" s="264"/>
      <c r="H756" s="264"/>
      <c r="I756" s="264"/>
      <c r="J756" s="264"/>
      <c r="K756" s="264"/>
      <c r="L756" s="264"/>
      <c r="M756" s="264"/>
      <c r="N756" s="264"/>
      <c r="O756" s="264"/>
      <c r="P756" s="264"/>
      <c r="Q756" s="264"/>
      <c r="R756" s="264"/>
      <c r="S756" s="264"/>
      <c r="T756" s="264"/>
      <c r="U756" s="264"/>
    </row>
    <row r="757">
      <c r="A757" s="264"/>
      <c r="B757" s="264"/>
      <c r="C757" s="264"/>
      <c r="D757" s="264"/>
      <c r="E757" s="264"/>
      <c r="F757" s="264"/>
      <c r="G757" s="264"/>
      <c r="H757" s="264"/>
      <c r="I757" s="264"/>
      <c r="J757" s="264"/>
      <c r="K757" s="264"/>
      <c r="L757" s="264"/>
      <c r="M757" s="264"/>
      <c r="N757" s="264"/>
      <c r="O757" s="264"/>
      <c r="P757" s="264"/>
      <c r="Q757" s="264"/>
      <c r="R757" s="264"/>
      <c r="S757" s="264"/>
      <c r="T757" s="264"/>
      <c r="U757" s="264"/>
    </row>
    <row r="758">
      <c r="A758" s="264"/>
      <c r="B758" s="264"/>
      <c r="C758" s="264"/>
      <c r="D758" s="264"/>
      <c r="E758" s="264"/>
      <c r="F758" s="264"/>
      <c r="G758" s="264"/>
      <c r="H758" s="264"/>
      <c r="I758" s="264"/>
      <c r="J758" s="264"/>
      <c r="K758" s="264"/>
      <c r="L758" s="264"/>
      <c r="M758" s="264"/>
      <c r="N758" s="264"/>
      <c r="O758" s="264"/>
      <c r="P758" s="264"/>
      <c r="Q758" s="264"/>
      <c r="R758" s="264"/>
      <c r="S758" s="264"/>
      <c r="T758" s="264"/>
      <c r="U758" s="264"/>
    </row>
    <row r="759">
      <c r="A759" s="264"/>
      <c r="B759" s="264"/>
      <c r="C759" s="264"/>
      <c r="D759" s="264"/>
      <c r="E759" s="264"/>
      <c r="F759" s="264"/>
      <c r="G759" s="264"/>
      <c r="H759" s="264"/>
      <c r="I759" s="264"/>
      <c r="J759" s="264"/>
      <c r="K759" s="264"/>
      <c r="L759" s="264"/>
      <c r="M759" s="264"/>
      <c r="N759" s="264"/>
      <c r="O759" s="264"/>
      <c r="P759" s="264"/>
      <c r="Q759" s="264"/>
      <c r="R759" s="264"/>
      <c r="S759" s="264"/>
      <c r="T759" s="264"/>
      <c r="U759" s="264"/>
    </row>
    <row r="760">
      <c r="A760" s="264"/>
      <c r="B760" s="264"/>
      <c r="C760" s="264"/>
      <c r="D760" s="264"/>
      <c r="E760" s="264"/>
      <c r="F760" s="264"/>
      <c r="G760" s="264"/>
      <c r="H760" s="264"/>
      <c r="I760" s="264"/>
      <c r="J760" s="264"/>
      <c r="K760" s="264"/>
      <c r="L760" s="264"/>
      <c r="M760" s="264"/>
      <c r="N760" s="264"/>
      <c r="O760" s="264"/>
      <c r="P760" s="264"/>
      <c r="Q760" s="264"/>
      <c r="R760" s="264"/>
      <c r="S760" s="264"/>
      <c r="T760" s="264"/>
      <c r="U760" s="264"/>
    </row>
    <row r="761">
      <c r="A761" s="264"/>
      <c r="B761" s="264"/>
      <c r="C761" s="264"/>
      <c r="D761" s="264"/>
      <c r="E761" s="264"/>
      <c r="F761" s="264"/>
      <c r="G761" s="264"/>
      <c r="H761" s="264"/>
      <c r="I761" s="264"/>
      <c r="J761" s="264"/>
      <c r="K761" s="264"/>
      <c r="L761" s="264"/>
      <c r="M761" s="264"/>
      <c r="N761" s="264"/>
      <c r="O761" s="264"/>
      <c r="P761" s="264"/>
      <c r="Q761" s="264"/>
      <c r="R761" s="264"/>
      <c r="S761" s="264"/>
      <c r="T761" s="264"/>
      <c r="U761" s="264"/>
    </row>
    <row r="762">
      <c r="A762" s="264"/>
      <c r="B762" s="264"/>
      <c r="C762" s="264"/>
      <c r="D762" s="264"/>
      <c r="E762" s="264"/>
      <c r="F762" s="264"/>
      <c r="G762" s="264"/>
      <c r="H762" s="264"/>
      <c r="I762" s="264"/>
      <c r="J762" s="264"/>
      <c r="K762" s="264"/>
      <c r="L762" s="264"/>
      <c r="M762" s="264"/>
      <c r="N762" s="264"/>
      <c r="O762" s="264"/>
      <c r="P762" s="264"/>
      <c r="Q762" s="264"/>
      <c r="R762" s="264"/>
      <c r="S762" s="264"/>
      <c r="T762" s="264"/>
      <c r="U762" s="264"/>
    </row>
    <row r="763">
      <c r="A763" s="264"/>
      <c r="B763" s="264"/>
      <c r="C763" s="264"/>
      <c r="D763" s="264"/>
      <c r="E763" s="264"/>
      <c r="F763" s="264"/>
      <c r="G763" s="264"/>
      <c r="H763" s="264"/>
      <c r="I763" s="264"/>
      <c r="J763" s="264"/>
      <c r="K763" s="264"/>
      <c r="L763" s="264"/>
      <c r="M763" s="264"/>
      <c r="N763" s="264"/>
      <c r="O763" s="264"/>
      <c r="P763" s="264"/>
      <c r="Q763" s="264"/>
      <c r="R763" s="264"/>
      <c r="S763" s="264"/>
      <c r="T763" s="264"/>
      <c r="U763" s="264"/>
    </row>
    <row r="764">
      <c r="A764" s="264"/>
      <c r="B764" s="264"/>
      <c r="C764" s="264"/>
      <c r="D764" s="264"/>
      <c r="E764" s="264"/>
      <c r="F764" s="264"/>
      <c r="G764" s="264"/>
      <c r="H764" s="264"/>
      <c r="I764" s="264"/>
      <c r="J764" s="264"/>
      <c r="K764" s="264"/>
      <c r="L764" s="264"/>
      <c r="M764" s="264"/>
      <c r="N764" s="264"/>
      <c r="O764" s="264"/>
      <c r="P764" s="264"/>
      <c r="Q764" s="264"/>
      <c r="R764" s="264"/>
      <c r="S764" s="264"/>
      <c r="T764" s="264"/>
      <c r="U764" s="264"/>
    </row>
    <row r="765">
      <c r="A765" s="264"/>
      <c r="B765" s="264"/>
      <c r="C765" s="264"/>
      <c r="D765" s="264"/>
      <c r="E765" s="264"/>
      <c r="F765" s="264"/>
      <c r="G765" s="264"/>
      <c r="H765" s="264"/>
      <c r="I765" s="264"/>
      <c r="J765" s="264"/>
      <c r="K765" s="264"/>
      <c r="L765" s="264"/>
      <c r="M765" s="264"/>
      <c r="N765" s="264"/>
      <c r="O765" s="264"/>
      <c r="P765" s="264"/>
      <c r="Q765" s="264"/>
      <c r="R765" s="264"/>
      <c r="S765" s="264"/>
      <c r="T765" s="264"/>
      <c r="U765" s="264"/>
    </row>
    <row r="766">
      <c r="A766" s="264"/>
      <c r="B766" s="264"/>
      <c r="C766" s="264"/>
      <c r="D766" s="264"/>
      <c r="E766" s="264"/>
      <c r="F766" s="264"/>
      <c r="G766" s="264"/>
      <c r="H766" s="264"/>
      <c r="I766" s="264"/>
      <c r="J766" s="264"/>
      <c r="K766" s="264"/>
      <c r="L766" s="264"/>
      <c r="M766" s="264"/>
      <c r="N766" s="264"/>
      <c r="O766" s="264"/>
      <c r="P766" s="264"/>
      <c r="Q766" s="264"/>
      <c r="R766" s="264"/>
      <c r="S766" s="264"/>
      <c r="T766" s="264"/>
      <c r="U766" s="264"/>
    </row>
    <row r="767">
      <c r="A767" s="264"/>
      <c r="B767" s="264"/>
      <c r="C767" s="264"/>
      <c r="D767" s="264"/>
      <c r="E767" s="264"/>
      <c r="F767" s="264"/>
      <c r="G767" s="264"/>
      <c r="H767" s="264"/>
      <c r="I767" s="264"/>
      <c r="J767" s="264"/>
      <c r="K767" s="264"/>
      <c r="L767" s="264"/>
      <c r="M767" s="264"/>
      <c r="N767" s="264"/>
      <c r="O767" s="264"/>
      <c r="P767" s="264"/>
      <c r="Q767" s="264"/>
      <c r="R767" s="264"/>
      <c r="S767" s="264"/>
      <c r="T767" s="264"/>
      <c r="U767" s="264"/>
    </row>
    <row r="768">
      <c r="A768" s="264"/>
      <c r="B768" s="264"/>
      <c r="C768" s="264"/>
      <c r="D768" s="264"/>
      <c r="E768" s="264"/>
      <c r="F768" s="264"/>
      <c r="G768" s="264"/>
      <c r="H768" s="264"/>
      <c r="I768" s="264"/>
      <c r="J768" s="264"/>
      <c r="K768" s="264"/>
      <c r="L768" s="264"/>
      <c r="M768" s="264"/>
      <c r="N768" s="264"/>
      <c r="O768" s="264"/>
      <c r="P768" s="264"/>
      <c r="Q768" s="264"/>
      <c r="R768" s="264"/>
      <c r="S768" s="264"/>
      <c r="T768" s="264"/>
      <c r="U768" s="264"/>
    </row>
    <row r="769">
      <c r="A769" s="264"/>
      <c r="B769" s="264"/>
      <c r="C769" s="264"/>
      <c r="D769" s="264"/>
      <c r="E769" s="264"/>
      <c r="F769" s="264"/>
      <c r="G769" s="264"/>
      <c r="H769" s="264"/>
      <c r="I769" s="264"/>
      <c r="J769" s="264"/>
      <c r="K769" s="264"/>
      <c r="L769" s="264"/>
      <c r="M769" s="264"/>
      <c r="N769" s="264"/>
      <c r="O769" s="264"/>
      <c r="P769" s="264"/>
      <c r="Q769" s="264"/>
      <c r="R769" s="264"/>
      <c r="S769" s="264"/>
      <c r="T769" s="264"/>
      <c r="U769" s="264"/>
    </row>
    <row r="770">
      <c r="A770" s="264"/>
      <c r="B770" s="264"/>
      <c r="C770" s="264"/>
      <c r="D770" s="264"/>
      <c r="E770" s="264"/>
      <c r="F770" s="264"/>
      <c r="G770" s="264"/>
      <c r="H770" s="264"/>
      <c r="I770" s="264"/>
      <c r="J770" s="264"/>
      <c r="K770" s="264"/>
      <c r="L770" s="264"/>
      <c r="M770" s="264"/>
      <c r="N770" s="264"/>
      <c r="O770" s="264"/>
      <c r="P770" s="264"/>
      <c r="Q770" s="264"/>
      <c r="R770" s="264"/>
      <c r="S770" s="264"/>
      <c r="T770" s="264"/>
      <c r="U770" s="264"/>
    </row>
    <row r="771">
      <c r="A771" s="264"/>
      <c r="B771" s="264"/>
      <c r="C771" s="264"/>
      <c r="D771" s="264"/>
      <c r="E771" s="264"/>
      <c r="F771" s="264"/>
      <c r="G771" s="264"/>
      <c r="H771" s="264"/>
      <c r="I771" s="264"/>
      <c r="J771" s="264"/>
      <c r="K771" s="264"/>
      <c r="L771" s="264"/>
      <c r="M771" s="264"/>
      <c r="N771" s="264"/>
      <c r="O771" s="264"/>
      <c r="P771" s="264"/>
      <c r="Q771" s="264"/>
      <c r="R771" s="264"/>
      <c r="S771" s="264"/>
      <c r="T771" s="264"/>
      <c r="U771" s="264"/>
    </row>
    <row r="772">
      <c r="A772" s="264"/>
      <c r="B772" s="264"/>
      <c r="C772" s="264"/>
      <c r="D772" s="264"/>
      <c r="E772" s="264"/>
      <c r="F772" s="264"/>
      <c r="G772" s="264"/>
      <c r="H772" s="264"/>
      <c r="I772" s="264"/>
      <c r="J772" s="264"/>
      <c r="K772" s="264"/>
      <c r="L772" s="264"/>
      <c r="M772" s="264"/>
      <c r="N772" s="264"/>
      <c r="O772" s="264"/>
      <c r="P772" s="264"/>
      <c r="Q772" s="264"/>
      <c r="R772" s="264"/>
      <c r="S772" s="264"/>
      <c r="T772" s="264"/>
      <c r="U772" s="264"/>
    </row>
    <row r="773">
      <c r="A773" s="264"/>
      <c r="B773" s="264"/>
      <c r="C773" s="264"/>
      <c r="D773" s="264"/>
      <c r="E773" s="264"/>
      <c r="F773" s="264"/>
      <c r="G773" s="264"/>
      <c r="H773" s="264"/>
      <c r="I773" s="264"/>
      <c r="J773" s="264"/>
      <c r="K773" s="264"/>
      <c r="L773" s="264"/>
      <c r="M773" s="264"/>
      <c r="N773" s="264"/>
      <c r="O773" s="264"/>
      <c r="P773" s="264"/>
      <c r="Q773" s="264"/>
      <c r="R773" s="264"/>
      <c r="S773" s="264"/>
      <c r="T773" s="264"/>
      <c r="U773" s="264"/>
    </row>
    <row r="774">
      <c r="A774" s="264"/>
      <c r="B774" s="264"/>
      <c r="C774" s="264"/>
      <c r="D774" s="264"/>
      <c r="E774" s="264"/>
      <c r="F774" s="264"/>
      <c r="G774" s="264"/>
      <c r="H774" s="264"/>
      <c r="I774" s="264"/>
      <c r="J774" s="264"/>
      <c r="K774" s="264"/>
      <c r="L774" s="264"/>
      <c r="M774" s="264"/>
      <c r="N774" s="264"/>
      <c r="O774" s="264"/>
      <c r="P774" s="264"/>
      <c r="Q774" s="264"/>
      <c r="R774" s="264"/>
      <c r="S774" s="264"/>
      <c r="T774" s="264"/>
      <c r="U774" s="264"/>
    </row>
    <row r="775">
      <c r="A775" s="264"/>
      <c r="B775" s="264"/>
      <c r="C775" s="264"/>
      <c r="D775" s="264"/>
      <c r="E775" s="264"/>
      <c r="F775" s="264"/>
      <c r="G775" s="264"/>
      <c r="H775" s="264"/>
      <c r="I775" s="264"/>
      <c r="J775" s="264"/>
      <c r="K775" s="264"/>
      <c r="L775" s="264"/>
      <c r="M775" s="264"/>
      <c r="N775" s="264"/>
      <c r="O775" s="264"/>
      <c r="P775" s="264"/>
      <c r="Q775" s="264"/>
      <c r="R775" s="264"/>
      <c r="S775" s="264"/>
      <c r="T775" s="264"/>
      <c r="U775" s="264"/>
    </row>
    <row r="776">
      <c r="A776" s="264"/>
      <c r="B776" s="264"/>
      <c r="C776" s="264"/>
      <c r="D776" s="264"/>
      <c r="E776" s="264"/>
      <c r="F776" s="264"/>
      <c r="G776" s="264"/>
      <c r="H776" s="264"/>
      <c r="I776" s="264"/>
      <c r="J776" s="264"/>
      <c r="K776" s="264"/>
      <c r="L776" s="264"/>
      <c r="M776" s="264"/>
      <c r="N776" s="264"/>
      <c r="O776" s="264"/>
      <c r="P776" s="264"/>
      <c r="Q776" s="264"/>
      <c r="R776" s="264"/>
      <c r="S776" s="264"/>
      <c r="T776" s="264"/>
      <c r="U776" s="264"/>
    </row>
    <row r="777">
      <c r="A777" s="264"/>
      <c r="B777" s="264"/>
      <c r="C777" s="264"/>
      <c r="D777" s="264"/>
      <c r="E777" s="264"/>
      <c r="F777" s="264"/>
      <c r="G777" s="264"/>
      <c r="H777" s="264"/>
      <c r="I777" s="264"/>
      <c r="J777" s="264"/>
      <c r="K777" s="264"/>
      <c r="L777" s="264"/>
      <c r="M777" s="264"/>
      <c r="N777" s="264"/>
      <c r="O777" s="264"/>
      <c r="P777" s="264"/>
      <c r="Q777" s="264"/>
      <c r="R777" s="264"/>
      <c r="S777" s="264"/>
      <c r="T777" s="264"/>
      <c r="U777" s="264"/>
    </row>
    <row r="778">
      <c r="A778" s="264"/>
      <c r="B778" s="264"/>
      <c r="C778" s="264"/>
      <c r="D778" s="264"/>
      <c r="E778" s="264"/>
      <c r="F778" s="264"/>
      <c r="G778" s="264"/>
      <c r="H778" s="264"/>
      <c r="I778" s="264"/>
      <c r="J778" s="264"/>
      <c r="K778" s="264"/>
      <c r="L778" s="264"/>
      <c r="M778" s="264"/>
      <c r="N778" s="264"/>
      <c r="O778" s="264"/>
      <c r="P778" s="264"/>
      <c r="Q778" s="264"/>
      <c r="R778" s="264"/>
      <c r="S778" s="264"/>
      <c r="T778" s="264"/>
      <c r="U778" s="264"/>
    </row>
    <row r="779">
      <c r="A779" s="264"/>
      <c r="B779" s="264"/>
      <c r="C779" s="264"/>
      <c r="D779" s="264"/>
      <c r="E779" s="264"/>
      <c r="F779" s="264"/>
      <c r="G779" s="264"/>
      <c r="H779" s="264"/>
      <c r="I779" s="264"/>
      <c r="J779" s="264"/>
      <c r="K779" s="264"/>
      <c r="L779" s="264"/>
      <c r="M779" s="264"/>
      <c r="N779" s="264"/>
      <c r="O779" s="264"/>
      <c r="P779" s="264"/>
      <c r="Q779" s="264"/>
      <c r="R779" s="264"/>
      <c r="S779" s="264"/>
      <c r="T779" s="264"/>
      <c r="U779" s="264"/>
    </row>
    <row r="780">
      <c r="A780" s="264"/>
      <c r="B780" s="264"/>
      <c r="C780" s="264"/>
      <c r="D780" s="264"/>
      <c r="E780" s="264"/>
      <c r="F780" s="264"/>
      <c r="G780" s="264"/>
      <c r="H780" s="264"/>
      <c r="I780" s="264"/>
      <c r="J780" s="264"/>
      <c r="K780" s="264"/>
      <c r="L780" s="264"/>
      <c r="M780" s="264"/>
      <c r="N780" s="264"/>
      <c r="O780" s="264"/>
      <c r="P780" s="264"/>
      <c r="Q780" s="264"/>
      <c r="R780" s="264"/>
      <c r="S780" s="264"/>
      <c r="T780" s="264"/>
      <c r="U780" s="264"/>
    </row>
    <row r="781">
      <c r="A781" s="264"/>
      <c r="B781" s="264"/>
      <c r="C781" s="264"/>
      <c r="D781" s="264"/>
      <c r="E781" s="264"/>
      <c r="F781" s="264"/>
      <c r="G781" s="264"/>
      <c r="H781" s="264"/>
      <c r="I781" s="264"/>
      <c r="J781" s="264"/>
      <c r="K781" s="264"/>
      <c r="L781" s="264"/>
      <c r="M781" s="264"/>
      <c r="N781" s="264"/>
      <c r="O781" s="264"/>
      <c r="P781" s="264"/>
      <c r="Q781" s="264"/>
      <c r="R781" s="264"/>
      <c r="S781" s="264"/>
      <c r="T781" s="264"/>
      <c r="U781" s="264"/>
    </row>
    <row r="782">
      <c r="A782" s="264"/>
      <c r="B782" s="264"/>
      <c r="C782" s="264"/>
      <c r="D782" s="264"/>
      <c r="E782" s="264"/>
      <c r="F782" s="264"/>
      <c r="G782" s="264"/>
      <c r="H782" s="264"/>
      <c r="I782" s="264"/>
      <c r="J782" s="264"/>
      <c r="K782" s="264"/>
      <c r="L782" s="264"/>
      <c r="M782" s="264"/>
      <c r="N782" s="264"/>
      <c r="O782" s="264"/>
      <c r="P782" s="264"/>
      <c r="Q782" s="264"/>
      <c r="R782" s="264"/>
      <c r="S782" s="264"/>
      <c r="T782" s="264"/>
      <c r="U782" s="264"/>
    </row>
    <row r="783">
      <c r="A783" s="264"/>
      <c r="B783" s="264"/>
      <c r="C783" s="264"/>
      <c r="D783" s="264"/>
      <c r="E783" s="264"/>
      <c r="F783" s="264"/>
      <c r="G783" s="264"/>
      <c r="H783" s="264"/>
      <c r="I783" s="264"/>
      <c r="J783" s="264"/>
      <c r="K783" s="264"/>
      <c r="L783" s="264"/>
      <c r="M783" s="264"/>
      <c r="N783" s="264"/>
      <c r="O783" s="264"/>
      <c r="P783" s="264"/>
      <c r="Q783" s="264"/>
      <c r="R783" s="264"/>
      <c r="S783" s="264"/>
      <c r="T783" s="264"/>
      <c r="U783" s="264"/>
    </row>
    <row r="784">
      <c r="A784" s="264"/>
      <c r="B784" s="264"/>
      <c r="C784" s="264"/>
      <c r="D784" s="264"/>
      <c r="E784" s="264"/>
      <c r="F784" s="264"/>
      <c r="G784" s="264"/>
      <c r="H784" s="264"/>
      <c r="I784" s="264"/>
      <c r="J784" s="264"/>
      <c r="K784" s="264"/>
      <c r="L784" s="264"/>
      <c r="M784" s="264"/>
      <c r="N784" s="264"/>
      <c r="O784" s="264"/>
      <c r="P784" s="264"/>
      <c r="Q784" s="264"/>
      <c r="R784" s="264"/>
      <c r="S784" s="264"/>
      <c r="T784" s="264"/>
      <c r="U784" s="264"/>
    </row>
    <row r="785">
      <c r="A785" s="264"/>
      <c r="B785" s="264"/>
      <c r="C785" s="264"/>
      <c r="D785" s="264"/>
      <c r="E785" s="264"/>
      <c r="F785" s="264"/>
      <c r="G785" s="264"/>
      <c r="H785" s="264"/>
      <c r="I785" s="264"/>
      <c r="J785" s="264"/>
      <c r="K785" s="264"/>
      <c r="L785" s="264"/>
      <c r="M785" s="264"/>
      <c r="N785" s="264"/>
      <c r="O785" s="264"/>
      <c r="P785" s="264"/>
      <c r="Q785" s="264"/>
      <c r="R785" s="264"/>
      <c r="S785" s="264"/>
      <c r="T785" s="264"/>
      <c r="U785" s="264"/>
    </row>
    <row r="786">
      <c r="A786" s="264"/>
      <c r="B786" s="264"/>
      <c r="C786" s="264"/>
      <c r="D786" s="264"/>
      <c r="E786" s="264"/>
      <c r="F786" s="264"/>
      <c r="G786" s="264"/>
      <c r="H786" s="264"/>
      <c r="I786" s="264"/>
      <c r="J786" s="264"/>
      <c r="K786" s="264"/>
      <c r="L786" s="264"/>
      <c r="M786" s="264"/>
      <c r="N786" s="264"/>
      <c r="O786" s="264"/>
      <c r="P786" s="264"/>
      <c r="Q786" s="264"/>
      <c r="R786" s="264"/>
      <c r="S786" s="264"/>
      <c r="T786" s="264"/>
      <c r="U786" s="264"/>
    </row>
    <row r="787">
      <c r="A787" s="264"/>
      <c r="B787" s="264"/>
      <c r="C787" s="264"/>
      <c r="D787" s="264"/>
      <c r="E787" s="264"/>
      <c r="F787" s="264"/>
      <c r="G787" s="264"/>
      <c r="H787" s="264"/>
      <c r="I787" s="264"/>
      <c r="J787" s="264"/>
      <c r="K787" s="264"/>
      <c r="L787" s="264"/>
      <c r="M787" s="264"/>
      <c r="N787" s="264"/>
      <c r="O787" s="264"/>
      <c r="P787" s="264"/>
      <c r="Q787" s="264"/>
      <c r="R787" s="264"/>
      <c r="S787" s="264"/>
      <c r="T787" s="264"/>
      <c r="U787" s="264"/>
    </row>
    <row r="788">
      <c r="A788" s="264"/>
      <c r="B788" s="264"/>
      <c r="C788" s="264"/>
      <c r="D788" s="264"/>
      <c r="E788" s="264"/>
      <c r="F788" s="264"/>
      <c r="G788" s="264"/>
      <c r="H788" s="264"/>
      <c r="I788" s="264"/>
      <c r="J788" s="264"/>
      <c r="K788" s="264"/>
      <c r="L788" s="264"/>
      <c r="M788" s="264"/>
      <c r="N788" s="264"/>
      <c r="O788" s="264"/>
      <c r="P788" s="264"/>
      <c r="Q788" s="264"/>
      <c r="R788" s="264"/>
      <c r="S788" s="264"/>
      <c r="T788" s="264"/>
      <c r="U788" s="264"/>
    </row>
    <row r="789">
      <c r="A789" s="264"/>
      <c r="B789" s="264"/>
      <c r="C789" s="264"/>
      <c r="D789" s="264"/>
      <c r="E789" s="264"/>
      <c r="F789" s="264"/>
      <c r="G789" s="264"/>
      <c r="H789" s="264"/>
      <c r="I789" s="264"/>
      <c r="J789" s="264"/>
      <c r="K789" s="264"/>
      <c r="L789" s="264"/>
      <c r="M789" s="264"/>
      <c r="N789" s="264"/>
      <c r="O789" s="264"/>
      <c r="P789" s="264"/>
      <c r="Q789" s="264"/>
      <c r="R789" s="264"/>
      <c r="S789" s="264"/>
      <c r="T789" s="264"/>
      <c r="U789" s="264"/>
    </row>
    <row r="790">
      <c r="A790" s="264"/>
      <c r="B790" s="264"/>
      <c r="C790" s="264"/>
      <c r="D790" s="264"/>
      <c r="E790" s="264"/>
      <c r="F790" s="264"/>
      <c r="G790" s="264"/>
      <c r="H790" s="264"/>
      <c r="I790" s="264"/>
      <c r="J790" s="264"/>
      <c r="K790" s="264"/>
      <c r="L790" s="264"/>
      <c r="M790" s="264"/>
      <c r="N790" s="264"/>
      <c r="O790" s="264"/>
      <c r="P790" s="264"/>
      <c r="Q790" s="264"/>
      <c r="R790" s="264"/>
      <c r="S790" s="264"/>
      <c r="T790" s="264"/>
      <c r="U790" s="264"/>
    </row>
    <row r="791">
      <c r="A791" s="264"/>
      <c r="B791" s="264"/>
      <c r="C791" s="264"/>
      <c r="D791" s="264"/>
      <c r="E791" s="264"/>
      <c r="F791" s="264"/>
      <c r="G791" s="264"/>
      <c r="H791" s="264"/>
      <c r="I791" s="264"/>
      <c r="J791" s="264"/>
      <c r="K791" s="264"/>
      <c r="L791" s="264"/>
      <c r="M791" s="264"/>
      <c r="N791" s="264"/>
      <c r="O791" s="264"/>
      <c r="P791" s="264"/>
      <c r="Q791" s="264"/>
      <c r="R791" s="264"/>
      <c r="S791" s="264"/>
      <c r="T791" s="264"/>
      <c r="U791" s="264"/>
    </row>
    <row r="792">
      <c r="A792" s="264"/>
      <c r="B792" s="264"/>
      <c r="C792" s="264"/>
      <c r="D792" s="264"/>
      <c r="E792" s="264"/>
      <c r="F792" s="264"/>
      <c r="G792" s="264"/>
      <c r="H792" s="264"/>
      <c r="I792" s="264"/>
      <c r="J792" s="264"/>
      <c r="K792" s="264"/>
      <c r="L792" s="264"/>
      <c r="M792" s="264"/>
      <c r="N792" s="264"/>
      <c r="O792" s="264"/>
      <c r="P792" s="264"/>
      <c r="Q792" s="264"/>
      <c r="R792" s="264"/>
      <c r="S792" s="264"/>
      <c r="T792" s="264"/>
      <c r="U792" s="264"/>
    </row>
    <row r="793">
      <c r="A793" s="264"/>
      <c r="B793" s="264"/>
      <c r="C793" s="264"/>
      <c r="D793" s="264"/>
      <c r="E793" s="264"/>
      <c r="F793" s="264"/>
      <c r="G793" s="264"/>
      <c r="H793" s="264"/>
      <c r="I793" s="264"/>
      <c r="J793" s="264"/>
      <c r="K793" s="264"/>
      <c r="L793" s="264"/>
      <c r="M793" s="264"/>
      <c r="N793" s="264"/>
      <c r="O793" s="264"/>
      <c r="P793" s="264"/>
      <c r="Q793" s="264"/>
      <c r="R793" s="264"/>
      <c r="S793" s="264"/>
      <c r="T793" s="264"/>
      <c r="U793" s="264"/>
    </row>
    <row r="794">
      <c r="A794" s="264"/>
      <c r="B794" s="264"/>
      <c r="C794" s="264"/>
      <c r="D794" s="264"/>
      <c r="E794" s="264"/>
      <c r="F794" s="264"/>
      <c r="G794" s="264"/>
      <c r="H794" s="264"/>
      <c r="I794" s="264"/>
      <c r="J794" s="264"/>
      <c r="K794" s="264"/>
      <c r="L794" s="264"/>
      <c r="M794" s="264"/>
      <c r="N794" s="264"/>
      <c r="O794" s="264"/>
      <c r="P794" s="264"/>
      <c r="Q794" s="264"/>
      <c r="R794" s="264"/>
      <c r="S794" s="264"/>
      <c r="T794" s="264"/>
      <c r="U794" s="264"/>
    </row>
    <row r="795">
      <c r="A795" s="264"/>
      <c r="B795" s="264"/>
      <c r="C795" s="264"/>
      <c r="D795" s="264"/>
      <c r="E795" s="264"/>
      <c r="F795" s="264"/>
      <c r="G795" s="264"/>
      <c r="H795" s="264"/>
      <c r="I795" s="264"/>
      <c r="J795" s="264"/>
      <c r="K795" s="264"/>
      <c r="L795" s="264"/>
      <c r="M795" s="264"/>
      <c r="N795" s="264"/>
      <c r="O795" s="264"/>
      <c r="P795" s="264"/>
      <c r="Q795" s="264"/>
      <c r="R795" s="264"/>
      <c r="S795" s="264"/>
      <c r="T795" s="264"/>
      <c r="U795" s="264"/>
    </row>
    <row r="796">
      <c r="A796" s="264"/>
      <c r="B796" s="264"/>
      <c r="C796" s="264"/>
      <c r="D796" s="264"/>
      <c r="E796" s="264"/>
      <c r="F796" s="264"/>
      <c r="G796" s="264"/>
      <c r="H796" s="264"/>
      <c r="I796" s="264"/>
      <c r="J796" s="264"/>
      <c r="K796" s="264"/>
      <c r="L796" s="264"/>
      <c r="M796" s="264"/>
      <c r="N796" s="264"/>
      <c r="O796" s="264"/>
      <c r="P796" s="264"/>
      <c r="Q796" s="264"/>
      <c r="R796" s="264"/>
      <c r="S796" s="264"/>
      <c r="T796" s="264"/>
      <c r="U796" s="264"/>
    </row>
    <row r="797">
      <c r="A797" s="264"/>
      <c r="B797" s="264"/>
      <c r="C797" s="264"/>
      <c r="D797" s="264"/>
      <c r="E797" s="264"/>
      <c r="F797" s="264"/>
      <c r="G797" s="264"/>
      <c r="H797" s="264"/>
      <c r="I797" s="264"/>
      <c r="J797" s="264"/>
      <c r="K797" s="264"/>
      <c r="L797" s="264"/>
      <c r="M797" s="264"/>
      <c r="N797" s="264"/>
      <c r="O797" s="264"/>
      <c r="P797" s="264"/>
      <c r="Q797" s="264"/>
      <c r="R797" s="264"/>
      <c r="S797" s="264"/>
      <c r="T797" s="264"/>
      <c r="U797" s="264"/>
    </row>
    <row r="798">
      <c r="A798" s="264"/>
      <c r="B798" s="264"/>
      <c r="C798" s="264"/>
      <c r="D798" s="264"/>
      <c r="E798" s="264"/>
      <c r="F798" s="264"/>
      <c r="G798" s="264"/>
      <c r="H798" s="264"/>
      <c r="I798" s="264"/>
      <c r="J798" s="264"/>
      <c r="K798" s="264"/>
      <c r="L798" s="264"/>
      <c r="M798" s="264"/>
      <c r="N798" s="264"/>
      <c r="O798" s="264"/>
      <c r="P798" s="264"/>
      <c r="Q798" s="264"/>
      <c r="R798" s="264"/>
      <c r="S798" s="264"/>
      <c r="T798" s="264"/>
      <c r="U798" s="264"/>
    </row>
    <row r="799">
      <c r="A799" s="264"/>
      <c r="B799" s="264"/>
      <c r="C799" s="264"/>
      <c r="D799" s="264"/>
      <c r="E799" s="264"/>
      <c r="F799" s="264"/>
      <c r="G799" s="264"/>
      <c r="H799" s="264"/>
      <c r="I799" s="264"/>
      <c r="J799" s="264"/>
      <c r="K799" s="264"/>
      <c r="L799" s="264"/>
      <c r="M799" s="264"/>
      <c r="N799" s="264"/>
      <c r="O799" s="264"/>
      <c r="P799" s="264"/>
      <c r="Q799" s="264"/>
      <c r="R799" s="264"/>
      <c r="S799" s="264"/>
      <c r="T799" s="264"/>
      <c r="U799" s="264"/>
    </row>
    <row r="800">
      <c r="A800" s="264"/>
      <c r="B800" s="264"/>
      <c r="C800" s="264"/>
      <c r="D800" s="264"/>
      <c r="E800" s="264"/>
      <c r="F800" s="264"/>
      <c r="G800" s="264"/>
      <c r="H800" s="264"/>
      <c r="I800" s="264"/>
      <c r="J800" s="264"/>
      <c r="K800" s="264"/>
      <c r="L800" s="264"/>
      <c r="M800" s="264"/>
      <c r="N800" s="264"/>
      <c r="O800" s="264"/>
      <c r="P800" s="264"/>
      <c r="Q800" s="264"/>
      <c r="R800" s="264"/>
      <c r="S800" s="264"/>
      <c r="T800" s="264"/>
      <c r="U800" s="264"/>
    </row>
    <row r="801">
      <c r="A801" s="264"/>
      <c r="B801" s="264"/>
      <c r="C801" s="264"/>
      <c r="D801" s="264"/>
      <c r="E801" s="264"/>
      <c r="F801" s="264"/>
      <c r="G801" s="264"/>
      <c r="H801" s="264"/>
      <c r="I801" s="264"/>
      <c r="J801" s="264"/>
      <c r="K801" s="264"/>
      <c r="L801" s="264"/>
      <c r="M801" s="264"/>
      <c r="N801" s="264"/>
      <c r="O801" s="264"/>
      <c r="P801" s="264"/>
      <c r="Q801" s="264"/>
      <c r="R801" s="264"/>
      <c r="S801" s="264"/>
      <c r="T801" s="264"/>
      <c r="U801" s="264"/>
    </row>
    <row r="802">
      <c r="A802" s="264"/>
      <c r="B802" s="264"/>
      <c r="C802" s="264"/>
      <c r="D802" s="264"/>
      <c r="E802" s="264"/>
      <c r="F802" s="264"/>
      <c r="G802" s="264"/>
      <c r="H802" s="264"/>
      <c r="I802" s="264"/>
      <c r="J802" s="264"/>
      <c r="K802" s="264"/>
      <c r="L802" s="264"/>
      <c r="M802" s="264"/>
      <c r="N802" s="264"/>
      <c r="O802" s="264"/>
      <c r="P802" s="264"/>
      <c r="Q802" s="264"/>
      <c r="R802" s="264"/>
      <c r="S802" s="264"/>
      <c r="T802" s="264"/>
      <c r="U802" s="264"/>
    </row>
    <row r="803">
      <c r="A803" s="264"/>
      <c r="B803" s="264"/>
      <c r="C803" s="264"/>
      <c r="D803" s="264"/>
      <c r="E803" s="264"/>
      <c r="F803" s="264"/>
      <c r="G803" s="264"/>
      <c r="H803" s="264"/>
      <c r="I803" s="264"/>
      <c r="J803" s="264"/>
      <c r="K803" s="264"/>
      <c r="L803" s="264"/>
      <c r="M803" s="264"/>
      <c r="N803" s="264"/>
      <c r="O803" s="264"/>
      <c r="P803" s="264"/>
      <c r="Q803" s="264"/>
      <c r="R803" s="264"/>
      <c r="S803" s="264"/>
      <c r="T803" s="264"/>
      <c r="U803" s="264"/>
    </row>
    <row r="804">
      <c r="A804" s="264"/>
      <c r="B804" s="264"/>
      <c r="C804" s="264"/>
      <c r="D804" s="264"/>
      <c r="E804" s="264"/>
      <c r="F804" s="264"/>
      <c r="G804" s="264"/>
      <c r="H804" s="264"/>
      <c r="I804" s="264"/>
      <c r="J804" s="264"/>
      <c r="K804" s="264"/>
      <c r="L804" s="264"/>
      <c r="M804" s="264"/>
      <c r="N804" s="264"/>
      <c r="O804" s="264"/>
      <c r="P804" s="264"/>
      <c r="Q804" s="264"/>
      <c r="R804" s="264"/>
      <c r="S804" s="264"/>
      <c r="T804" s="264"/>
      <c r="U804" s="264"/>
    </row>
    <row r="805">
      <c r="A805" s="264"/>
      <c r="B805" s="264"/>
      <c r="C805" s="264"/>
      <c r="D805" s="264"/>
      <c r="E805" s="264"/>
      <c r="F805" s="264"/>
      <c r="G805" s="264"/>
      <c r="H805" s="264"/>
      <c r="I805" s="264"/>
      <c r="J805" s="264"/>
      <c r="K805" s="264"/>
      <c r="L805" s="264"/>
      <c r="M805" s="264"/>
      <c r="N805" s="264"/>
      <c r="O805" s="264"/>
      <c r="P805" s="264"/>
      <c r="Q805" s="264"/>
      <c r="R805" s="264"/>
      <c r="S805" s="264"/>
      <c r="T805" s="264"/>
      <c r="U805" s="264"/>
    </row>
    <row r="806">
      <c r="A806" s="264"/>
      <c r="B806" s="264"/>
      <c r="C806" s="264"/>
      <c r="D806" s="264"/>
      <c r="E806" s="264"/>
      <c r="F806" s="264"/>
      <c r="G806" s="264"/>
      <c r="H806" s="264"/>
      <c r="I806" s="264"/>
      <c r="J806" s="264"/>
      <c r="K806" s="264"/>
      <c r="L806" s="264"/>
      <c r="M806" s="264"/>
      <c r="N806" s="264"/>
      <c r="O806" s="264"/>
      <c r="P806" s="264"/>
      <c r="Q806" s="264"/>
      <c r="R806" s="264"/>
      <c r="S806" s="264"/>
      <c r="T806" s="264"/>
      <c r="U806" s="264"/>
    </row>
    <row r="807">
      <c r="A807" s="264"/>
      <c r="B807" s="264"/>
      <c r="C807" s="264"/>
      <c r="D807" s="264"/>
      <c r="E807" s="264"/>
      <c r="F807" s="264"/>
      <c r="G807" s="264"/>
      <c r="H807" s="264"/>
      <c r="I807" s="264"/>
      <c r="J807" s="264"/>
      <c r="K807" s="264"/>
      <c r="L807" s="264"/>
      <c r="M807" s="264"/>
      <c r="N807" s="264"/>
      <c r="O807" s="264"/>
      <c r="P807" s="264"/>
      <c r="Q807" s="264"/>
      <c r="R807" s="264"/>
      <c r="S807" s="264"/>
      <c r="T807" s="264"/>
      <c r="U807" s="264"/>
    </row>
    <row r="808">
      <c r="A808" s="264"/>
      <c r="B808" s="264"/>
      <c r="C808" s="264"/>
      <c r="D808" s="264"/>
      <c r="E808" s="264"/>
      <c r="F808" s="264"/>
      <c r="G808" s="264"/>
      <c r="H808" s="264"/>
      <c r="I808" s="264"/>
      <c r="J808" s="264"/>
      <c r="K808" s="264"/>
      <c r="L808" s="264"/>
      <c r="M808" s="264"/>
      <c r="N808" s="264"/>
      <c r="O808" s="264"/>
      <c r="P808" s="264"/>
      <c r="Q808" s="264"/>
      <c r="R808" s="264"/>
      <c r="S808" s="264"/>
      <c r="T808" s="264"/>
      <c r="U808" s="264"/>
    </row>
    <row r="809">
      <c r="A809" s="264"/>
      <c r="B809" s="264"/>
      <c r="C809" s="264"/>
      <c r="D809" s="264"/>
      <c r="E809" s="264"/>
      <c r="F809" s="264"/>
      <c r="G809" s="264"/>
      <c r="H809" s="264"/>
      <c r="I809" s="264"/>
      <c r="J809" s="264"/>
      <c r="K809" s="264"/>
      <c r="L809" s="264"/>
      <c r="M809" s="264"/>
      <c r="N809" s="264"/>
      <c r="O809" s="264"/>
      <c r="P809" s="264"/>
      <c r="Q809" s="264"/>
      <c r="R809" s="264"/>
      <c r="S809" s="264"/>
      <c r="T809" s="264"/>
      <c r="U809" s="264"/>
    </row>
    <row r="810">
      <c r="A810" s="264"/>
      <c r="B810" s="264"/>
      <c r="C810" s="264"/>
      <c r="D810" s="264"/>
      <c r="E810" s="264"/>
      <c r="F810" s="264"/>
      <c r="G810" s="264"/>
      <c r="H810" s="264"/>
      <c r="I810" s="264"/>
      <c r="J810" s="264"/>
      <c r="K810" s="264"/>
      <c r="L810" s="264"/>
      <c r="M810" s="264"/>
      <c r="N810" s="264"/>
      <c r="O810" s="264"/>
      <c r="P810" s="264"/>
      <c r="Q810" s="264"/>
      <c r="R810" s="264"/>
      <c r="S810" s="264"/>
      <c r="T810" s="264"/>
      <c r="U810" s="264"/>
    </row>
    <row r="811">
      <c r="A811" s="264"/>
      <c r="B811" s="264"/>
      <c r="C811" s="264"/>
      <c r="D811" s="264"/>
      <c r="E811" s="264"/>
      <c r="F811" s="264"/>
      <c r="G811" s="264"/>
      <c r="H811" s="264"/>
      <c r="I811" s="264"/>
      <c r="J811" s="264"/>
      <c r="K811" s="264"/>
      <c r="L811" s="264"/>
      <c r="M811" s="264"/>
      <c r="N811" s="264"/>
      <c r="O811" s="264"/>
      <c r="P811" s="264"/>
      <c r="Q811" s="264"/>
      <c r="R811" s="264"/>
      <c r="S811" s="264"/>
      <c r="T811" s="264"/>
      <c r="U811" s="264"/>
    </row>
    <row r="812">
      <c r="A812" s="264"/>
      <c r="B812" s="264"/>
      <c r="C812" s="264"/>
      <c r="D812" s="264"/>
      <c r="E812" s="264"/>
      <c r="F812" s="264"/>
      <c r="G812" s="264"/>
      <c r="H812" s="264"/>
      <c r="I812" s="264"/>
      <c r="J812" s="264"/>
      <c r="K812" s="264"/>
      <c r="L812" s="264"/>
      <c r="M812" s="264"/>
      <c r="N812" s="264"/>
      <c r="O812" s="264"/>
      <c r="P812" s="264"/>
      <c r="Q812" s="264"/>
      <c r="R812" s="264"/>
      <c r="S812" s="264"/>
      <c r="T812" s="264"/>
      <c r="U812" s="264"/>
    </row>
    <row r="813">
      <c r="A813" s="264"/>
      <c r="B813" s="264"/>
      <c r="C813" s="264"/>
      <c r="D813" s="264"/>
      <c r="E813" s="264"/>
      <c r="F813" s="264"/>
      <c r="G813" s="264"/>
      <c r="H813" s="264"/>
      <c r="I813" s="264"/>
      <c r="J813" s="264"/>
      <c r="K813" s="264"/>
      <c r="L813" s="264"/>
      <c r="M813" s="264"/>
      <c r="N813" s="264"/>
      <c r="O813" s="264"/>
      <c r="P813" s="264"/>
      <c r="Q813" s="264"/>
      <c r="R813" s="264"/>
      <c r="S813" s="264"/>
      <c r="T813" s="264"/>
      <c r="U813" s="264"/>
    </row>
    <row r="814">
      <c r="A814" s="264"/>
      <c r="B814" s="264"/>
      <c r="C814" s="264"/>
      <c r="D814" s="264"/>
      <c r="E814" s="264"/>
      <c r="F814" s="264"/>
      <c r="G814" s="264"/>
      <c r="H814" s="264"/>
      <c r="I814" s="264"/>
      <c r="J814" s="264"/>
      <c r="K814" s="264"/>
      <c r="L814" s="264"/>
      <c r="M814" s="264"/>
      <c r="N814" s="264"/>
      <c r="O814" s="264"/>
      <c r="P814" s="264"/>
      <c r="Q814" s="264"/>
      <c r="R814" s="264"/>
      <c r="S814" s="264"/>
      <c r="T814" s="264"/>
      <c r="U814" s="264"/>
    </row>
    <row r="815">
      <c r="A815" s="264"/>
      <c r="B815" s="264"/>
      <c r="C815" s="264"/>
      <c r="D815" s="264"/>
      <c r="E815" s="264"/>
      <c r="F815" s="264"/>
      <c r="G815" s="264"/>
      <c r="H815" s="264"/>
      <c r="I815" s="264"/>
      <c r="J815" s="264"/>
      <c r="K815" s="264"/>
      <c r="L815" s="264"/>
      <c r="M815" s="264"/>
      <c r="N815" s="264"/>
      <c r="O815" s="264"/>
      <c r="P815" s="264"/>
      <c r="Q815" s="264"/>
      <c r="R815" s="264"/>
      <c r="S815" s="264"/>
      <c r="T815" s="264"/>
      <c r="U815" s="264"/>
    </row>
    <row r="816">
      <c r="A816" s="264"/>
      <c r="B816" s="264"/>
      <c r="C816" s="264"/>
      <c r="D816" s="264"/>
      <c r="E816" s="264"/>
      <c r="F816" s="264"/>
      <c r="G816" s="264"/>
      <c r="H816" s="264"/>
      <c r="I816" s="264"/>
      <c r="J816" s="264"/>
      <c r="K816" s="264"/>
      <c r="L816" s="264"/>
      <c r="M816" s="264"/>
      <c r="N816" s="264"/>
      <c r="O816" s="264"/>
      <c r="P816" s="264"/>
      <c r="Q816" s="264"/>
      <c r="R816" s="264"/>
      <c r="S816" s="264"/>
      <c r="T816" s="264"/>
      <c r="U816" s="264"/>
    </row>
    <row r="817">
      <c r="A817" s="264"/>
      <c r="B817" s="264"/>
      <c r="C817" s="264"/>
      <c r="D817" s="264"/>
      <c r="E817" s="264"/>
      <c r="F817" s="264"/>
      <c r="G817" s="264"/>
      <c r="H817" s="264"/>
      <c r="I817" s="264"/>
      <c r="J817" s="264"/>
      <c r="K817" s="264"/>
      <c r="L817" s="264"/>
      <c r="M817" s="264"/>
      <c r="N817" s="264"/>
      <c r="O817" s="264"/>
      <c r="P817" s="264"/>
      <c r="Q817" s="264"/>
      <c r="R817" s="264"/>
      <c r="S817" s="264"/>
      <c r="T817" s="264"/>
      <c r="U817" s="264"/>
    </row>
    <row r="818">
      <c r="A818" s="264"/>
      <c r="B818" s="264"/>
      <c r="C818" s="264"/>
      <c r="D818" s="264"/>
      <c r="E818" s="264"/>
      <c r="F818" s="264"/>
      <c r="G818" s="264"/>
      <c r="H818" s="264"/>
      <c r="I818" s="264"/>
      <c r="J818" s="264"/>
      <c r="K818" s="264"/>
      <c r="L818" s="264"/>
      <c r="M818" s="264"/>
      <c r="N818" s="264"/>
      <c r="O818" s="264"/>
      <c r="P818" s="264"/>
      <c r="Q818" s="264"/>
      <c r="R818" s="264"/>
      <c r="S818" s="264"/>
      <c r="T818" s="264"/>
      <c r="U818" s="264"/>
    </row>
    <row r="819">
      <c r="A819" s="264"/>
      <c r="B819" s="264"/>
      <c r="C819" s="264"/>
      <c r="D819" s="264"/>
      <c r="E819" s="264"/>
      <c r="F819" s="264"/>
      <c r="G819" s="264"/>
      <c r="H819" s="264"/>
      <c r="I819" s="264"/>
      <c r="J819" s="264"/>
      <c r="K819" s="264"/>
      <c r="L819" s="264"/>
      <c r="M819" s="264"/>
      <c r="N819" s="264"/>
      <c r="O819" s="264"/>
      <c r="P819" s="264"/>
      <c r="Q819" s="264"/>
      <c r="R819" s="264"/>
      <c r="S819" s="264"/>
      <c r="T819" s="264"/>
      <c r="U819" s="264"/>
    </row>
    <row r="820">
      <c r="A820" s="264"/>
      <c r="B820" s="264"/>
      <c r="C820" s="264"/>
      <c r="D820" s="264"/>
      <c r="E820" s="264"/>
      <c r="F820" s="264"/>
      <c r="G820" s="264"/>
      <c r="H820" s="264"/>
      <c r="I820" s="264"/>
      <c r="J820" s="264"/>
      <c r="K820" s="264"/>
      <c r="L820" s="264"/>
      <c r="M820" s="264"/>
      <c r="N820" s="264"/>
      <c r="O820" s="264"/>
      <c r="P820" s="264"/>
      <c r="Q820" s="264"/>
      <c r="R820" s="264"/>
      <c r="S820" s="264"/>
      <c r="T820" s="264"/>
      <c r="U820" s="264"/>
    </row>
    <row r="821">
      <c r="A821" s="264"/>
      <c r="B821" s="264"/>
      <c r="C821" s="264"/>
      <c r="D821" s="264"/>
      <c r="E821" s="264"/>
      <c r="F821" s="264"/>
      <c r="G821" s="264"/>
      <c r="H821" s="264"/>
      <c r="I821" s="264"/>
      <c r="J821" s="264"/>
      <c r="K821" s="264"/>
      <c r="L821" s="264"/>
      <c r="M821" s="264"/>
      <c r="N821" s="264"/>
      <c r="O821" s="264"/>
      <c r="P821" s="264"/>
      <c r="Q821" s="264"/>
      <c r="R821" s="264"/>
      <c r="S821" s="264"/>
      <c r="T821" s="264"/>
      <c r="U821" s="264"/>
    </row>
    <row r="822">
      <c r="A822" s="264"/>
      <c r="B822" s="264"/>
      <c r="C822" s="264"/>
      <c r="D822" s="264"/>
      <c r="E822" s="264"/>
      <c r="F822" s="264"/>
      <c r="G822" s="264"/>
      <c r="H822" s="264"/>
      <c r="I822" s="264"/>
      <c r="J822" s="264"/>
      <c r="K822" s="264"/>
      <c r="L822" s="264"/>
      <c r="M822" s="264"/>
      <c r="N822" s="264"/>
      <c r="O822" s="264"/>
      <c r="P822" s="264"/>
      <c r="Q822" s="264"/>
      <c r="R822" s="264"/>
      <c r="S822" s="264"/>
      <c r="T822" s="264"/>
      <c r="U822" s="264"/>
    </row>
    <row r="823">
      <c r="A823" s="264"/>
      <c r="B823" s="264"/>
      <c r="C823" s="264"/>
      <c r="D823" s="264"/>
      <c r="E823" s="264"/>
      <c r="F823" s="264"/>
      <c r="G823" s="264"/>
      <c r="H823" s="264"/>
      <c r="I823" s="264"/>
      <c r="J823" s="264"/>
      <c r="K823" s="264"/>
      <c r="L823" s="264"/>
      <c r="M823" s="264"/>
      <c r="N823" s="264"/>
      <c r="O823" s="264"/>
      <c r="P823" s="264"/>
      <c r="Q823" s="264"/>
      <c r="R823" s="264"/>
      <c r="S823" s="264"/>
      <c r="T823" s="264"/>
      <c r="U823" s="264"/>
    </row>
    <row r="824">
      <c r="A824" s="264"/>
      <c r="B824" s="264"/>
      <c r="C824" s="264"/>
      <c r="D824" s="264"/>
      <c r="E824" s="264"/>
      <c r="F824" s="264"/>
      <c r="G824" s="264"/>
      <c r="H824" s="264"/>
      <c r="I824" s="264"/>
      <c r="J824" s="264"/>
      <c r="K824" s="264"/>
      <c r="L824" s="264"/>
      <c r="M824" s="264"/>
      <c r="N824" s="264"/>
      <c r="O824" s="264"/>
      <c r="P824" s="264"/>
      <c r="Q824" s="264"/>
      <c r="R824" s="264"/>
      <c r="S824" s="264"/>
      <c r="T824" s="264"/>
      <c r="U824" s="264"/>
    </row>
    <row r="825">
      <c r="A825" s="264"/>
      <c r="B825" s="264"/>
      <c r="C825" s="264"/>
      <c r="D825" s="264"/>
      <c r="E825" s="264"/>
      <c r="F825" s="264"/>
      <c r="G825" s="264"/>
      <c r="H825" s="264"/>
      <c r="I825" s="264"/>
      <c r="J825" s="264"/>
      <c r="K825" s="264"/>
      <c r="L825" s="264"/>
      <c r="M825" s="264"/>
      <c r="N825" s="264"/>
      <c r="O825" s="264"/>
      <c r="P825" s="264"/>
      <c r="Q825" s="264"/>
      <c r="R825" s="264"/>
      <c r="S825" s="264"/>
      <c r="T825" s="264"/>
      <c r="U825" s="264"/>
    </row>
    <row r="826">
      <c r="A826" s="264"/>
      <c r="B826" s="264"/>
      <c r="C826" s="264"/>
      <c r="D826" s="264"/>
      <c r="E826" s="264"/>
      <c r="F826" s="264"/>
      <c r="G826" s="264"/>
      <c r="H826" s="264"/>
      <c r="I826" s="264"/>
      <c r="J826" s="264"/>
      <c r="K826" s="264"/>
      <c r="L826" s="264"/>
      <c r="M826" s="264"/>
      <c r="N826" s="264"/>
      <c r="O826" s="264"/>
      <c r="P826" s="264"/>
      <c r="Q826" s="264"/>
      <c r="R826" s="264"/>
      <c r="S826" s="264"/>
      <c r="T826" s="264"/>
      <c r="U826" s="264"/>
    </row>
    <row r="827">
      <c r="A827" s="264"/>
      <c r="B827" s="264"/>
      <c r="C827" s="264"/>
      <c r="D827" s="264"/>
      <c r="E827" s="264"/>
      <c r="F827" s="264"/>
      <c r="G827" s="264"/>
      <c r="H827" s="264"/>
      <c r="I827" s="264"/>
      <c r="J827" s="264"/>
      <c r="K827" s="264"/>
      <c r="L827" s="264"/>
      <c r="M827" s="264"/>
      <c r="N827" s="264"/>
      <c r="O827" s="264"/>
      <c r="P827" s="264"/>
      <c r="Q827" s="264"/>
      <c r="R827" s="264"/>
      <c r="S827" s="264"/>
      <c r="T827" s="264"/>
      <c r="U827" s="264"/>
    </row>
    <row r="828">
      <c r="A828" s="264"/>
      <c r="B828" s="264"/>
      <c r="C828" s="264"/>
      <c r="D828" s="264"/>
      <c r="E828" s="264"/>
      <c r="F828" s="264"/>
      <c r="G828" s="264"/>
      <c r="H828" s="264"/>
      <c r="I828" s="264"/>
      <c r="J828" s="264"/>
      <c r="K828" s="264"/>
      <c r="L828" s="264"/>
      <c r="M828" s="264"/>
      <c r="N828" s="264"/>
      <c r="O828" s="264"/>
      <c r="P828" s="264"/>
      <c r="Q828" s="264"/>
      <c r="R828" s="264"/>
      <c r="S828" s="264"/>
      <c r="T828" s="264"/>
      <c r="U828" s="264"/>
    </row>
    <row r="829">
      <c r="A829" s="264"/>
      <c r="B829" s="264"/>
      <c r="C829" s="264"/>
      <c r="D829" s="264"/>
      <c r="E829" s="264"/>
      <c r="F829" s="264"/>
      <c r="G829" s="264"/>
      <c r="H829" s="264"/>
      <c r="I829" s="264"/>
      <c r="J829" s="264"/>
      <c r="K829" s="264"/>
      <c r="L829" s="264"/>
      <c r="M829" s="264"/>
      <c r="N829" s="264"/>
      <c r="O829" s="264"/>
      <c r="P829" s="264"/>
      <c r="Q829" s="264"/>
      <c r="R829" s="264"/>
      <c r="S829" s="264"/>
      <c r="T829" s="264"/>
      <c r="U829" s="264"/>
    </row>
    <row r="830">
      <c r="A830" s="264"/>
      <c r="B830" s="264"/>
      <c r="C830" s="264"/>
      <c r="D830" s="264"/>
      <c r="E830" s="264"/>
      <c r="F830" s="264"/>
      <c r="G830" s="264"/>
      <c r="H830" s="264"/>
      <c r="I830" s="264"/>
      <c r="J830" s="264"/>
      <c r="K830" s="264"/>
      <c r="L830" s="264"/>
      <c r="M830" s="264"/>
      <c r="N830" s="264"/>
      <c r="O830" s="264"/>
      <c r="P830" s="264"/>
      <c r="Q830" s="264"/>
      <c r="R830" s="264"/>
      <c r="S830" s="264"/>
      <c r="T830" s="264"/>
      <c r="U830" s="264"/>
    </row>
    <row r="831">
      <c r="A831" s="264"/>
      <c r="B831" s="264"/>
      <c r="C831" s="264"/>
      <c r="D831" s="264"/>
      <c r="E831" s="264"/>
      <c r="F831" s="264"/>
      <c r="G831" s="264"/>
      <c r="H831" s="264"/>
      <c r="I831" s="264"/>
      <c r="J831" s="264"/>
      <c r="K831" s="264"/>
      <c r="L831" s="264"/>
      <c r="M831" s="264"/>
      <c r="N831" s="264"/>
      <c r="O831" s="264"/>
      <c r="P831" s="264"/>
      <c r="Q831" s="264"/>
      <c r="R831" s="264"/>
      <c r="S831" s="264"/>
      <c r="T831" s="264"/>
      <c r="U831" s="264"/>
    </row>
    <row r="832">
      <c r="A832" s="264"/>
      <c r="B832" s="264"/>
      <c r="C832" s="264"/>
      <c r="D832" s="264"/>
      <c r="E832" s="264"/>
      <c r="F832" s="264"/>
      <c r="G832" s="264"/>
      <c r="H832" s="264"/>
      <c r="I832" s="264"/>
      <c r="J832" s="264"/>
      <c r="K832" s="264"/>
      <c r="L832" s="264"/>
      <c r="M832" s="264"/>
      <c r="N832" s="264"/>
      <c r="O832" s="264"/>
      <c r="P832" s="264"/>
      <c r="Q832" s="264"/>
      <c r="R832" s="264"/>
      <c r="S832" s="264"/>
      <c r="T832" s="264"/>
      <c r="U832" s="264"/>
    </row>
    <row r="833">
      <c r="A833" s="264"/>
      <c r="B833" s="264"/>
      <c r="C833" s="264"/>
      <c r="D833" s="264"/>
      <c r="E833" s="264"/>
      <c r="F833" s="264"/>
      <c r="G833" s="264"/>
      <c r="H833" s="264"/>
      <c r="I833" s="264"/>
      <c r="J833" s="264"/>
      <c r="K833" s="264"/>
      <c r="L833" s="264"/>
      <c r="M833" s="264"/>
      <c r="N833" s="264"/>
      <c r="O833" s="264"/>
      <c r="P833" s="264"/>
      <c r="Q833" s="264"/>
      <c r="R833" s="264"/>
      <c r="S833" s="264"/>
      <c r="T833" s="264"/>
      <c r="U833" s="264"/>
    </row>
    <row r="834">
      <c r="A834" s="264"/>
      <c r="B834" s="264"/>
      <c r="C834" s="264"/>
      <c r="D834" s="264"/>
      <c r="E834" s="264"/>
      <c r="F834" s="264"/>
      <c r="G834" s="264"/>
      <c r="H834" s="264"/>
      <c r="I834" s="264"/>
      <c r="J834" s="264"/>
      <c r="K834" s="264"/>
      <c r="L834" s="264"/>
      <c r="M834" s="264"/>
      <c r="N834" s="264"/>
      <c r="O834" s="264"/>
      <c r="P834" s="264"/>
      <c r="Q834" s="264"/>
      <c r="R834" s="264"/>
      <c r="S834" s="264"/>
      <c r="T834" s="264"/>
      <c r="U834" s="264"/>
    </row>
    <row r="835">
      <c r="A835" s="264"/>
      <c r="B835" s="264"/>
      <c r="C835" s="264"/>
      <c r="D835" s="264"/>
      <c r="E835" s="264"/>
      <c r="F835" s="264"/>
      <c r="G835" s="264"/>
      <c r="H835" s="264"/>
      <c r="I835" s="264"/>
      <c r="J835" s="264"/>
      <c r="K835" s="264"/>
      <c r="L835" s="264"/>
      <c r="M835" s="264"/>
      <c r="N835" s="264"/>
      <c r="O835" s="264"/>
      <c r="P835" s="264"/>
      <c r="Q835" s="264"/>
      <c r="R835" s="264"/>
      <c r="S835" s="264"/>
      <c r="T835" s="264"/>
      <c r="U835" s="264"/>
    </row>
    <row r="836">
      <c r="A836" s="264"/>
      <c r="B836" s="264"/>
      <c r="C836" s="264"/>
      <c r="D836" s="264"/>
      <c r="E836" s="264"/>
      <c r="F836" s="264"/>
      <c r="G836" s="264"/>
      <c r="H836" s="264"/>
      <c r="I836" s="264"/>
      <c r="J836" s="264"/>
      <c r="K836" s="264"/>
      <c r="L836" s="264"/>
      <c r="M836" s="264"/>
      <c r="N836" s="264"/>
      <c r="O836" s="264"/>
      <c r="P836" s="264"/>
      <c r="Q836" s="264"/>
      <c r="R836" s="264"/>
      <c r="S836" s="264"/>
      <c r="T836" s="264"/>
      <c r="U836" s="264"/>
    </row>
    <row r="837">
      <c r="A837" s="264"/>
      <c r="B837" s="264"/>
      <c r="C837" s="264"/>
      <c r="D837" s="264"/>
      <c r="E837" s="264"/>
      <c r="F837" s="264"/>
      <c r="G837" s="264"/>
      <c r="H837" s="264"/>
      <c r="I837" s="264"/>
      <c r="J837" s="264"/>
      <c r="K837" s="264"/>
      <c r="L837" s="264"/>
      <c r="M837" s="264"/>
      <c r="N837" s="264"/>
      <c r="O837" s="264"/>
      <c r="P837" s="264"/>
      <c r="Q837" s="264"/>
      <c r="R837" s="264"/>
      <c r="S837" s="264"/>
      <c r="T837" s="264"/>
      <c r="U837" s="264"/>
    </row>
    <row r="838">
      <c r="A838" s="264"/>
      <c r="B838" s="264"/>
      <c r="C838" s="264"/>
      <c r="D838" s="264"/>
      <c r="E838" s="264"/>
      <c r="F838" s="264"/>
      <c r="G838" s="264"/>
      <c r="H838" s="264"/>
      <c r="I838" s="264"/>
      <c r="J838" s="264"/>
      <c r="K838" s="264"/>
      <c r="L838" s="264"/>
      <c r="M838" s="264"/>
      <c r="N838" s="264"/>
      <c r="O838" s="264"/>
      <c r="P838" s="264"/>
      <c r="Q838" s="264"/>
      <c r="R838" s="264"/>
      <c r="S838" s="264"/>
      <c r="T838" s="264"/>
      <c r="U838" s="264"/>
    </row>
    <row r="839">
      <c r="A839" s="264"/>
      <c r="B839" s="264"/>
      <c r="C839" s="264"/>
      <c r="D839" s="264"/>
      <c r="E839" s="264"/>
      <c r="F839" s="264"/>
      <c r="G839" s="264"/>
      <c r="H839" s="264"/>
      <c r="I839" s="264"/>
      <c r="J839" s="264"/>
      <c r="K839" s="264"/>
      <c r="L839" s="264"/>
      <c r="M839" s="264"/>
      <c r="N839" s="264"/>
      <c r="O839" s="264"/>
      <c r="P839" s="264"/>
      <c r="Q839" s="264"/>
      <c r="R839" s="264"/>
      <c r="S839" s="264"/>
      <c r="T839" s="264"/>
      <c r="U839" s="264"/>
    </row>
    <row r="840">
      <c r="A840" s="264"/>
      <c r="B840" s="264"/>
      <c r="C840" s="264"/>
      <c r="D840" s="264"/>
      <c r="E840" s="264"/>
      <c r="F840" s="264"/>
      <c r="G840" s="264"/>
      <c r="H840" s="264"/>
      <c r="I840" s="264"/>
      <c r="J840" s="264"/>
      <c r="K840" s="264"/>
      <c r="L840" s="264"/>
      <c r="M840" s="264"/>
      <c r="N840" s="264"/>
      <c r="O840" s="264"/>
      <c r="P840" s="264"/>
      <c r="Q840" s="264"/>
      <c r="R840" s="264"/>
      <c r="S840" s="264"/>
      <c r="T840" s="264"/>
      <c r="U840" s="264"/>
    </row>
    <row r="841">
      <c r="A841" s="264"/>
      <c r="B841" s="264"/>
      <c r="C841" s="264"/>
      <c r="D841" s="264"/>
      <c r="E841" s="264"/>
      <c r="F841" s="264"/>
      <c r="G841" s="264"/>
      <c r="H841" s="264"/>
      <c r="I841" s="264"/>
      <c r="J841" s="264"/>
      <c r="K841" s="264"/>
      <c r="L841" s="264"/>
      <c r="M841" s="264"/>
      <c r="N841" s="264"/>
      <c r="O841" s="264"/>
      <c r="P841" s="264"/>
      <c r="Q841" s="264"/>
      <c r="R841" s="264"/>
      <c r="S841" s="264"/>
      <c r="T841" s="264"/>
      <c r="U841" s="264"/>
    </row>
    <row r="842">
      <c r="A842" s="264"/>
      <c r="B842" s="264"/>
      <c r="C842" s="264"/>
      <c r="D842" s="264"/>
      <c r="E842" s="264"/>
      <c r="F842" s="264"/>
      <c r="G842" s="264"/>
      <c r="H842" s="264"/>
      <c r="I842" s="264"/>
      <c r="J842" s="264"/>
      <c r="K842" s="264"/>
      <c r="L842" s="264"/>
      <c r="M842" s="264"/>
      <c r="N842" s="264"/>
      <c r="O842" s="264"/>
      <c r="P842" s="264"/>
      <c r="Q842" s="264"/>
      <c r="R842" s="264"/>
      <c r="S842" s="264"/>
      <c r="T842" s="264"/>
      <c r="U842" s="264"/>
    </row>
    <row r="843">
      <c r="A843" s="264"/>
      <c r="B843" s="264"/>
      <c r="C843" s="264"/>
      <c r="D843" s="264"/>
      <c r="E843" s="264"/>
      <c r="F843" s="264"/>
      <c r="G843" s="264"/>
      <c r="H843" s="264"/>
      <c r="I843" s="264"/>
      <c r="J843" s="264"/>
      <c r="K843" s="264"/>
      <c r="L843" s="264"/>
      <c r="M843" s="264"/>
      <c r="N843" s="264"/>
      <c r="O843" s="264"/>
      <c r="P843" s="264"/>
      <c r="Q843" s="264"/>
      <c r="R843" s="264"/>
      <c r="S843" s="264"/>
      <c r="T843" s="264"/>
      <c r="U843" s="264"/>
    </row>
    <row r="844">
      <c r="A844" s="264"/>
      <c r="B844" s="264"/>
      <c r="C844" s="264"/>
      <c r="D844" s="264"/>
      <c r="E844" s="264"/>
      <c r="F844" s="264"/>
      <c r="G844" s="264"/>
      <c r="H844" s="264"/>
      <c r="I844" s="264"/>
      <c r="J844" s="264"/>
      <c r="K844" s="264"/>
      <c r="L844" s="264"/>
      <c r="M844" s="264"/>
      <c r="N844" s="264"/>
      <c r="O844" s="264"/>
      <c r="P844" s="264"/>
      <c r="Q844" s="264"/>
      <c r="R844" s="264"/>
      <c r="S844" s="264"/>
      <c r="T844" s="264"/>
      <c r="U844" s="264"/>
    </row>
    <row r="845">
      <c r="A845" s="264"/>
      <c r="B845" s="264"/>
      <c r="C845" s="264"/>
      <c r="D845" s="264"/>
      <c r="E845" s="264"/>
      <c r="F845" s="264"/>
      <c r="G845" s="264"/>
      <c r="H845" s="264"/>
      <c r="I845" s="264"/>
      <c r="J845" s="264"/>
      <c r="K845" s="264"/>
      <c r="L845" s="264"/>
      <c r="M845" s="264"/>
      <c r="N845" s="264"/>
      <c r="O845" s="264"/>
      <c r="P845" s="264"/>
      <c r="Q845" s="264"/>
      <c r="R845" s="264"/>
      <c r="S845" s="264"/>
      <c r="T845" s="264"/>
      <c r="U845" s="264"/>
    </row>
    <row r="846">
      <c r="A846" s="264"/>
      <c r="B846" s="264"/>
      <c r="C846" s="264"/>
      <c r="D846" s="264"/>
      <c r="E846" s="264"/>
      <c r="F846" s="264"/>
      <c r="G846" s="264"/>
      <c r="H846" s="264"/>
      <c r="I846" s="264"/>
      <c r="J846" s="264"/>
      <c r="K846" s="264"/>
      <c r="L846" s="264"/>
      <c r="M846" s="264"/>
      <c r="N846" s="264"/>
      <c r="O846" s="264"/>
      <c r="P846" s="264"/>
      <c r="Q846" s="264"/>
      <c r="R846" s="264"/>
      <c r="S846" s="264"/>
      <c r="T846" s="264"/>
      <c r="U846" s="264"/>
    </row>
    <row r="847">
      <c r="A847" s="264"/>
      <c r="B847" s="264"/>
      <c r="C847" s="264"/>
      <c r="D847" s="264"/>
      <c r="E847" s="264"/>
      <c r="F847" s="264"/>
      <c r="G847" s="264"/>
      <c r="H847" s="264"/>
      <c r="I847" s="264"/>
      <c r="J847" s="264"/>
      <c r="K847" s="264"/>
      <c r="L847" s="264"/>
      <c r="M847" s="264"/>
      <c r="N847" s="264"/>
      <c r="O847" s="264"/>
      <c r="P847" s="264"/>
      <c r="Q847" s="264"/>
      <c r="R847" s="264"/>
      <c r="S847" s="264"/>
      <c r="T847" s="264"/>
      <c r="U847" s="264"/>
    </row>
    <row r="848">
      <c r="A848" s="264"/>
      <c r="B848" s="264"/>
      <c r="C848" s="264"/>
      <c r="D848" s="264"/>
      <c r="E848" s="264"/>
      <c r="F848" s="264"/>
      <c r="G848" s="264"/>
      <c r="H848" s="264"/>
      <c r="I848" s="264"/>
      <c r="J848" s="264"/>
      <c r="K848" s="264"/>
      <c r="L848" s="264"/>
      <c r="M848" s="264"/>
      <c r="N848" s="264"/>
      <c r="O848" s="264"/>
      <c r="P848" s="264"/>
      <c r="Q848" s="264"/>
      <c r="R848" s="264"/>
      <c r="S848" s="264"/>
      <c r="T848" s="264"/>
      <c r="U848" s="264"/>
    </row>
    <row r="849">
      <c r="A849" s="264"/>
      <c r="B849" s="264"/>
      <c r="C849" s="264"/>
      <c r="D849" s="264"/>
      <c r="E849" s="264"/>
      <c r="F849" s="264"/>
      <c r="G849" s="264"/>
      <c r="H849" s="264"/>
      <c r="I849" s="264"/>
      <c r="J849" s="264"/>
      <c r="K849" s="264"/>
      <c r="L849" s="264"/>
      <c r="M849" s="264"/>
      <c r="N849" s="264"/>
      <c r="O849" s="264"/>
      <c r="P849" s="264"/>
      <c r="Q849" s="264"/>
      <c r="R849" s="264"/>
      <c r="S849" s="264"/>
      <c r="T849" s="264"/>
      <c r="U849" s="264"/>
    </row>
    <row r="850">
      <c r="A850" s="264"/>
      <c r="B850" s="264"/>
      <c r="C850" s="264"/>
      <c r="D850" s="264"/>
      <c r="E850" s="264"/>
      <c r="F850" s="264"/>
      <c r="G850" s="264"/>
      <c r="H850" s="264"/>
      <c r="I850" s="264"/>
      <c r="J850" s="264"/>
      <c r="K850" s="264"/>
      <c r="L850" s="264"/>
      <c r="M850" s="264"/>
      <c r="N850" s="264"/>
      <c r="O850" s="264"/>
      <c r="P850" s="264"/>
      <c r="Q850" s="264"/>
      <c r="R850" s="264"/>
      <c r="S850" s="264"/>
      <c r="T850" s="264"/>
      <c r="U850" s="264"/>
    </row>
    <row r="851">
      <c r="A851" s="264"/>
      <c r="B851" s="264"/>
      <c r="C851" s="264"/>
      <c r="D851" s="264"/>
      <c r="E851" s="264"/>
      <c r="F851" s="264"/>
      <c r="G851" s="264"/>
      <c r="H851" s="264"/>
      <c r="I851" s="264"/>
      <c r="J851" s="264"/>
      <c r="K851" s="264"/>
      <c r="L851" s="264"/>
      <c r="M851" s="264"/>
      <c r="N851" s="264"/>
      <c r="O851" s="264"/>
      <c r="P851" s="264"/>
      <c r="Q851" s="264"/>
      <c r="R851" s="264"/>
      <c r="S851" s="264"/>
      <c r="T851" s="264"/>
      <c r="U851" s="264"/>
    </row>
    <row r="852">
      <c r="A852" s="264"/>
      <c r="B852" s="264"/>
      <c r="C852" s="264"/>
      <c r="D852" s="264"/>
      <c r="E852" s="264"/>
      <c r="F852" s="264"/>
      <c r="G852" s="264"/>
      <c r="H852" s="264"/>
      <c r="I852" s="264"/>
      <c r="J852" s="264"/>
      <c r="K852" s="264"/>
      <c r="L852" s="264"/>
      <c r="M852" s="264"/>
      <c r="N852" s="264"/>
      <c r="O852" s="264"/>
      <c r="P852" s="264"/>
      <c r="Q852" s="264"/>
      <c r="R852" s="264"/>
      <c r="S852" s="264"/>
      <c r="T852" s="264"/>
      <c r="U852" s="264"/>
    </row>
    <row r="853">
      <c r="A853" s="264"/>
      <c r="B853" s="264"/>
      <c r="C853" s="264"/>
      <c r="D853" s="264"/>
      <c r="E853" s="264"/>
      <c r="F853" s="264"/>
      <c r="G853" s="264"/>
      <c r="H853" s="264"/>
      <c r="I853" s="264"/>
      <c r="J853" s="264"/>
      <c r="K853" s="264"/>
      <c r="L853" s="264"/>
      <c r="M853" s="264"/>
      <c r="N853" s="264"/>
      <c r="O853" s="264"/>
      <c r="P853" s="264"/>
      <c r="Q853" s="264"/>
      <c r="R853" s="264"/>
      <c r="S853" s="264"/>
      <c r="T853" s="264"/>
      <c r="U853" s="264"/>
    </row>
    <row r="854">
      <c r="A854" s="264"/>
      <c r="B854" s="264"/>
      <c r="C854" s="264"/>
      <c r="D854" s="264"/>
      <c r="E854" s="264"/>
      <c r="F854" s="264"/>
      <c r="G854" s="264"/>
      <c r="H854" s="264"/>
      <c r="I854" s="264"/>
      <c r="J854" s="264"/>
      <c r="K854" s="264"/>
      <c r="L854" s="264"/>
      <c r="M854" s="264"/>
      <c r="N854" s="264"/>
      <c r="O854" s="264"/>
      <c r="P854" s="264"/>
      <c r="Q854" s="264"/>
      <c r="R854" s="264"/>
      <c r="S854" s="264"/>
      <c r="T854" s="264"/>
      <c r="U854" s="264"/>
    </row>
    <row r="855">
      <c r="A855" s="264"/>
      <c r="B855" s="264"/>
      <c r="C855" s="264"/>
      <c r="D855" s="264"/>
      <c r="E855" s="264"/>
      <c r="F855" s="264"/>
      <c r="G855" s="264"/>
      <c r="H855" s="264"/>
      <c r="I855" s="264"/>
      <c r="J855" s="264"/>
      <c r="K855" s="264"/>
      <c r="L855" s="264"/>
      <c r="M855" s="264"/>
      <c r="N855" s="264"/>
      <c r="O855" s="264"/>
      <c r="P855" s="264"/>
      <c r="Q855" s="264"/>
      <c r="R855" s="264"/>
      <c r="S855" s="264"/>
      <c r="T855" s="264"/>
      <c r="U855" s="264"/>
    </row>
    <row r="856">
      <c r="A856" s="264"/>
      <c r="B856" s="264"/>
      <c r="C856" s="264"/>
      <c r="D856" s="264"/>
      <c r="E856" s="264"/>
      <c r="F856" s="264"/>
      <c r="G856" s="264"/>
      <c r="H856" s="264"/>
      <c r="I856" s="264"/>
      <c r="J856" s="264"/>
      <c r="K856" s="264"/>
      <c r="L856" s="264"/>
      <c r="M856" s="264"/>
      <c r="N856" s="264"/>
      <c r="O856" s="264"/>
      <c r="P856" s="264"/>
      <c r="Q856" s="264"/>
      <c r="R856" s="264"/>
      <c r="S856" s="264"/>
      <c r="T856" s="264"/>
      <c r="U856" s="264"/>
    </row>
    <row r="857">
      <c r="A857" s="264"/>
      <c r="B857" s="264"/>
      <c r="C857" s="264"/>
      <c r="D857" s="264"/>
      <c r="E857" s="264"/>
      <c r="F857" s="264"/>
      <c r="G857" s="264"/>
      <c r="H857" s="264"/>
      <c r="I857" s="264"/>
      <c r="J857" s="264"/>
      <c r="K857" s="264"/>
      <c r="L857" s="264"/>
      <c r="M857" s="264"/>
      <c r="N857" s="264"/>
      <c r="O857" s="264"/>
      <c r="P857" s="264"/>
      <c r="Q857" s="264"/>
      <c r="R857" s="264"/>
      <c r="S857" s="264"/>
      <c r="T857" s="264"/>
      <c r="U857" s="264"/>
    </row>
    <row r="858">
      <c r="A858" s="264"/>
      <c r="B858" s="264"/>
      <c r="C858" s="264"/>
      <c r="D858" s="264"/>
      <c r="E858" s="264"/>
      <c r="F858" s="264"/>
      <c r="G858" s="264"/>
      <c r="H858" s="264"/>
      <c r="I858" s="264"/>
      <c r="J858" s="264"/>
      <c r="K858" s="264"/>
      <c r="L858" s="264"/>
      <c r="M858" s="264"/>
      <c r="N858" s="264"/>
      <c r="O858" s="264"/>
      <c r="P858" s="264"/>
      <c r="Q858" s="264"/>
      <c r="R858" s="264"/>
      <c r="S858" s="264"/>
      <c r="T858" s="264"/>
      <c r="U858" s="264"/>
    </row>
    <row r="859">
      <c r="A859" s="264"/>
      <c r="B859" s="264"/>
      <c r="C859" s="264"/>
      <c r="D859" s="264"/>
      <c r="E859" s="264"/>
      <c r="F859" s="264"/>
      <c r="G859" s="264"/>
      <c r="H859" s="264"/>
      <c r="I859" s="264"/>
      <c r="J859" s="264"/>
      <c r="K859" s="264"/>
      <c r="L859" s="264"/>
      <c r="M859" s="264"/>
      <c r="N859" s="264"/>
      <c r="O859" s="264"/>
      <c r="P859" s="264"/>
      <c r="Q859" s="264"/>
      <c r="R859" s="264"/>
      <c r="S859" s="264"/>
      <c r="T859" s="264"/>
      <c r="U859" s="264"/>
    </row>
    <row r="860">
      <c r="A860" s="264"/>
      <c r="B860" s="264"/>
      <c r="C860" s="264"/>
      <c r="D860" s="264"/>
      <c r="E860" s="264"/>
      <c r="F860" s="264"/>
      <c r="G860" s="264"/>
      <c r="H860" s="264"/>
      <c r="I860" s="264"/>
      <c r="J860" s="264"/>
      <c r="K860" s="264"/>
      <c r="L860" s="264"/>
      <c r="M860" s="264"/>
      <c r="N860" s="264"/>
      <c r="O860" s="264"/>
      <c r="P860" s="264"/>
      <c r="Q860" s="264"/>
      <c r="R860" s="264"/>
      <c r="S860" s="264"/>
      <c r="T860" s="264"/>
      <c r="U860" s="264"/>
    </row>
    <row r="861">
      <c r="A861" s="264"/>
      <c r="B861" s="264"/>
      <c r="C861" s="264"/>
      <c r="D861" s="264"/>
      <c r="E861" s="264"/>
      <c r="F861" s="264"/>
      <c r="G861" s="264"/>
      <c r="H861" s="264"/>
      <c r="I861" s="264"/>
      <c r="J861" s="264"/>
      <c r="K861" s="264"/>
      <c r="L861" s="264"/>
      <c r="M861" s="264"/>
      <c r="N861" s="264"/>
      <c r="O861" s="264"/>
      <c r="P861" s="264"/>
      <c r="Q861" s="264"/>
      <c r="R861" s="264"/>
      <c r="S861" s="264"/>
      <c r="T861" s="264"/>
      <c r="U861" s="264"/>
    </row>
    <row r="862">
      <c r="A862" s="264"/>
      <c r="B862" s="264"/>
      <c r="C862" s="264"/>
      <c r="D862" s="264"/>
      <c r="E862" s="264"/>
      <c r="F862" s="264"/>
      <c r="G862" s="264"/>
      <c r="H862" s="264"/>
      <c r="I862" s="264"/>
      <c r="J862" s="264"/>
      <c r="K862" s="264"/>
      <c r="L862" s="264"/>
      <c r="M862" s="264"/>
      <c r="N862" s="264"/>
      <c r="O862" s="264"/>
      <c r="P862" s="264"/>
      <c r="Q862" s="264"/>
      <c r="R862" s="264"/>
      <c r="S862" s="264"/>
      <c r="T862" s="264"/>
      <c r="U862" s="264"/>
    </row>
    <row r="863">
      <c r="A863" s="264"/>
      <c r="B863" s="264"/>
      <c r="C863" s="264"/>
      <c r="D863" s="264"/>
      <c r="E863" s="264"/>
      <c r="F863" s="264"/>
      <c r="G863" s="264"/>
      <c r="H863" s="264"/>
      <c r="I863" s="264"/>
      <c r="J863" s="264"/>
      <c r="K863" s="264"/>
      <c r="L863" s="264"/>
      <c r="M863" s="264"/>
      <c r="N863" s="264"/>
      <c r="O863" s="264"/>
      <c r="P863" s="264"/>
      <c r="Q863" s="264"/>
      <c r="R863" s="264"/>
      <c r="S863" s="264"/>
      <c r="T863" s="264"/>
      <c r="U863" s="264"/>
    </row>
    <row r="864">
      <c r="A864" s="264"/>
      <c r="B864" s="264"/>
      <c r="C864" s="264"/>
      <c r="D864" s="264"/>
      <c r="E864" s="264"/>
      <c r="F864" s="264"/>
      <c r="G864" s="264"/>
      <c r="H864" s="264"/>
      <c r="I864" s="264"/>
      <c r="J864" s="264"/>
      <c r="K864" s="264"/>
      <c r="L864" s="264"/>
      <c r="M864" s="264"/>
      <c r="N864" s="264"/>
      <c r="O864" s="264"/>
      <c r="P864" s="264"/>
      <c r="Q864" s="264"/>
      <c r="R864" s="264"/>
      <c r="S864" s="264"/>
      <c r="T864" s="264"/>
      <c r="U864" s="264"/>
    </row>
    <row r="865">
      <c r="A865" s="264"/>
      <c r="B865" s="264"/>
      <c r="C865" s="264"/>
      <c r="D865" s="264"/>
      <c r="E865" s="264"/>
      <c r="F865" s="264"/>
      <c r="G865" s="264"/>
      <c r="H865" s="264"/>
      <c r="I865" s="264"/>
      <c r="J865" s="264"/>
      <c r="K865" s="264"/>
      <c r="L865" s="264"/>
      <c r="M865" s="264"/>
      <c r="N865" s="264"/>
      <c r="O865" s="264"/>
      <c r="P865" s="264"/>
      <c r="Q865" s="264"/>
      <c r="R865" s="264"/>
      <c r="S865" s="264"/>
      <c r="T865" s="264"/>
      <c r="U865" s="264"/>
    </row>
    <row r="866">
      <c r="A866" s="264"/>
      <c r="B866" s="264"/>
      <c r="C866" s="264"/>
      <c r="D866" s="264"/>
      <c r="E866" s="264"/>
      <c r="F866" s="264"/>
      <c r="G866" s="264"/>
      <c r="H866" s="264"/>
      <c r="I866" s="264"/>
      <c r="J866" s="264"/>
      <c r="K866" s="264"/>
      <c r="L866" s="264"/>
      <c r="M866" s="264"/>
      <c r="N866" s="264"/>
      <c r="O866" s="264"/>
      <c r="P866" s="264"/>
      <c r="Q866" s="264"/>
      <c r="R866" s="264"/>
      <c r="S866" s="264"/>
      <c r="T866" s="264"/>
      <c r="U866" s="264"/>
    </row>
    <row r="867">
      <c r="A867" s="264"/>
      <c r="B867" s="264"/>
      <c r="C867" s="264"/>
      <c r="D867" s="264"/>
      <c r="E867" s="264"/>
      <c r="F867" s="264"/>
      <c r="G867" s="264"/>
      <c r="H867" s="264"/>
      <c r="I867" s="264"/>
      <c r="J867" s="264"/>
      <c r="K867" s="264"/>
      <c r="L867" s="264"/>
      <c r="M867" s="264"/>
      <c r="N867" s="264"/>
      <c r="O867" s="264"/>
      <c r="P867" s="264"/>
      <c r="Q867" s="264"/>
      <c r="R867" s="264"/>
      <c r="S867" s="264"/>
      <c r="T867" s="264"/>
      <c r="U867" s="264"/>
    </row>
    <row r="868">
      <c r="A868" s="264"/>
      <c r="B868" s="264"/>
      <c r="C868" s="264"/>
      <c r="D868" s="264"/>
      <c r="E868" s="264"/>
      <c r="F868" s="264"/>
      <c r="G868" s="264"/>
      <c r="H868" s="264"/>
      <c r="I868" s="264"/>
      <c r="J868" s="264"/>
      <c r="K868" s="264"/>
      <c r="L868" s="264"/>
      <c r="M868" s="264"/>
      <c r="N868" s="264"/>
      <c r="O868" s="264"/>
      <c r="P868" s="264"/>
      <c r="Q868" s="264"/>
      <c r="R868" s="264"/>
      <c r="S868" s="264"/>
      <c r="T868" s="264"/>
      <c r="U868" s="264"/>
    </row>
    <row r="869">
      <c r="A869" s="264"/>
      <c r="B869" s="264"/>
      <c r="C869" s="264"/>
      <c r="D869" s="264"/>
      <c r="E869" s="264"/>
      <c r="F869" s="264"/>
      <c r="G869" s="264"/>
      <c r="H869" s="264"/>
      <c r="I869" s="264"/>
      <c r="J869" s="264"/>
      <c r="K869" s="264"/>
      <c r="L869" s="264"/>
      <c r="M869" s="264"/>
      <c r="N869" s="264"/>
      <c r="O869" s="264"/>
      <c r="P869" s="264"/>
      <c r="Q869" s="264"/>
      <c r="R869" s="264"/>
      <c r="S869" s="264"/>
      <c r="T869" s="264"/>
      <c r="U869" s="264"/>
    </row>
    <row r="870">
      <c r="A870" s="264"/>
      <c r="B870" s="264"/>
      <c r="C870" s="264"/>
      <c r="D870" s="264"/>
      <c r="E870" s="264"/>
      <c r="F870" s="264"/>
      <c r="G870" s="264"/>
      <c r="H870" s="264"/>
      <c r="I870" s="264"/>
      <c r="J870" s="264"/>
      <c r="K870" s="264"/>
      <c r="L870" s="264"/>
      <c r="M870" s="264"/>
      <c r="N870" s="264"/>
      <c r="O870" s="264"/>
      <c r="P870" s="264"/>
      <c r="Q870" s="264"/>
      <c r="R870" s="264"/>
      <c r="S870" s="264"/>
      <c r="T870" s="264"/>
      <c r="U870" s="264"/>
    </row>
    <row r="871">
      <c r="A871" s="264"/>
      <c r="B871" s="264"/>
      <c r="C871" s="264"/>
      <c r="D871" s="264"/>
      <c r="E871" s="264"/>
      <c r="F871" s="264"/>
      <c r="G871" s="264"/>
      <c r="H871" s="264"/>
      <c r="I871" s="264"/>
      <c r="J871" s="264"/>
      <c r="K871" s="264"/>
      <c r="L871" s="264"/>
      <c r="M871" s="264"/>
      <c r="N871" s="264"/>
      <c r="O871" s="264"/>
      <c r="P871" s="264"/>
      <c r="Q871" s="264"/>
      <c r="R871" s="264"/>
      <c r="S871" s="264"/>
      <c r="T871" s="264"/>
      <c r="U871" s="264"/>
    </row>
    <row r="872">
      <c r="A872" s="264"/>
      <c r="B872" s="264"/>
      <c r="C872" s="264"/>
      <c r="D872" s="264"/>
      <c r="E872" s="264"/>
      <c r="F872" s="264"/>
      <c r="G872" s="264"/>
      <c r="H872" s="264"/>
      <c r="I872" s="264"/>
      <c r="J872" s="264"/>
      <c r="K872" s="264"/>
      <c r="L872" s="264"/>
      <c r="M872" s="264"/>
      <c r="N872" s="264"/>
      <c r="O872" s="264"/>
      <c r="P872" s="264"/>
      <c r="Q872" s="264"/>
      <c r="R872" s="264"/>
      <c r="S872" s="264"/>
      <c r="T872" s="264"/>
      <c r="U872" s="264"/>
    </row>
    <row r="873">
      <c r="A873" s="264"/>
      <c r="B873" s="264"/>
      <c r="C873" s="264"/>
      <c r="D873" s="264"/>
      <c r="E873" s="264"/>
      <c r="F873" s="264"/>
      <c r="G873" s="264"/>
      <c r="H873" s="264"/>
      <c r="I873" s="264"/>
      <c r="J873" s="264"/>
      <c r="K873" s="264"/>
      <c r="L873" s="264"/>
      <c r="M873" s="264"/>
      <c r="N873" s="264"/>
      <c r="O873" s="264"/>
      <c r="P873" s="264"/>
      <c r="Q873" s="264"/>
      <c r="R873" s="264"/>
      <c r="S873" s="264"/>
      <c r="T873" s="264"/>
      <c r="U873" s="264"/>
    </row>
    <row r="874">
      <c r="A874" s="264"/>
      <c r="B874" s="264"/>
      <c r="C874" s="264"/>
      <c r="D874" s="264"/>
      <c r="E874" s="264"/>
      <c r="F874" s="264"/>
      <c r="G874" s="264"/>
      <c r="H874" s="264"/>
      <c r="I874" s="264"/>
      <c r="J874" s="264"/>
      <c r="K874" s="264"/>
      <c r="L874" s="264"/>
      <c r="M874" s="264"/>
      <c r="N874" s="264"/>
      <c r="O874" s="264"/>
      <c r="P874" s="264"/>
      <c r="Q874" s="264"/>
      <c r="R874" s="264"/>
      <c r="S874" s="264"/>
      <c r="T874" s="264"/>
      <c r="U874" s="264"/>
    </row>
    <row r="875">
      <c r="A875" s="264"/>
      <c r="B875" s="264"/>
      <c r="C875" s="264"/>
      <c r="D875" s="264"/>
      <c r="E875" s="264"/>
      <c r="F875" s="264"/>
      <c r="G875" s="264"/>
      <c r="H875" s="264"/>
      <c r="I875" s="264"/>
      <c r="J875" s="264"/>
      <c r="K875" s="264"/>
      <c r="L875" s="264"/>
      <c r="M875" s="264"/>
      <c r="N875" s="264"/>
      <c r="O875" s="264"/>
      <c r="P875" s="264"/>
      <c r="Q875" s="264"/>
      <c r="R875" s="264"/>
      <c r="S875" s="264"/>
      <c r="T875" s="264"/>
      <c r="U875" s="264"/>
    </row>
    <row r="876">
      <c r="A876" s="264"/>
      <c r="B876" s="264"/>
      <c r="C876" s="264"/>
      <c r="D876" s="264"/>
      <c r="E876" s="264"/>
      <c r="F876" s="264"/>
      <c r="G876" s="264"/>
      <c r="H876" s="264"/>
      <c r="I876" s="264"/>
      <c r="J876" s="264"/>
      <c r="K876" s="264"/>
      <c r="L876" s="264"/>
      <c r="M876" s="264"/>
      <c r="N876" s="264"/>
      <c r="O876" s="264"/>
      <c r="P876" s="264"/>
      <c r="Q876" s="264"/>
      <c r="R876" s="264"/>
      <c r="S876" s="264"/>
      <c r="T876" s="264"/>
      <c r="U876" s="264"/>
    </row>
    <row r="877">
      <c r="A877" s="264"/>
      <c r="B877" s="264"/>
      <c r="C877" s="264"/>
      <c r="D877" s="264"/>
      <c r="E877" s="264"/>
      <c r="F877" s="264"/>
      <c r="G877" s="264"/>
      <c r="H877" s="264"/>
      <c r="I877" s="264"/>
      <c r="J877" s="264"/>
      <c r="K877" s="264"/>
      <c r="L877" s="264"/>
      <c r="M877" s="264"/>
      <c r="N877" s="264"/>
      <c r="O877" s="264"/>
      <c r="P877" s="264"/>
      <c r="Q877" s="264"/>
      <c r="R877" s="264"/>
      <c r="S877" s="264"/>
      <c r="T877" s="264"/>
      <c r="U877" s="264"/>
    </row>
    <row r="878">
      <c r="A878" s="264"/>
      <c r="B878" s="264"/>
      <c r="C878" s="264"/>
      <c r="D878" s="264"/>
      <c r="E878" s="264"/>
      <c r="F878" s="264"/>
      <c r="G878" s="264"/>
      <c r="H878" s="264"/>
      <c r="I878" s="264"/>
      <c r="J878" s="264"/>
      <c r="K878" s="264"/>
      <c r="L878" s="264"/>
      <c r="M878" s="264"/>
      <c r="N878" s="264"/>
      <c r="O878" s="264"/>
      <c r="P878" s="264"/>
      <c r="Q878" s="264"/>
      <c r="R878" s="264"/>
      <c r="S878" s="264"/>
      <c r="T878" s="264"/>
      <c r="U878" s="264"/>
    </row>
    <row r="879">
      <c r="A879" s="264"/>
      <c r="B879" s="264"/>
      <c r="C879" s="264"/>
      <c r="D879" s="264"/>
      <c r="E879" s="264"/>
      <c r="F879" s="264"/>
      <c r="G879" s="264"/>
      <c r="H879" s="264"/>
      <c r="I879" s="264"/>
      <c r="J879" s="264"/>
      <c r="K879" s="264"/>
      <c r="L879" s="264"/>
      <c r="M879" s="264"/>
      <c r="N879" s="264"/>
      <c r="O879" s="264"/>
      <c r="P879" s="264"/>
      <c r="Q879" s="264"/>
      <c r="R879" s="264"/>
      <c r="S879" s="264"/>
      <c r="T879" s="264"/>
      <c r="U879" s="264"/>
    </row>
    <row r="880">
      <c r="A880" s="264"/>
      <c r="B880" s="264"/>
      <c r="C880" s="264"/>
      <c r="D880" s="264"/>
      <c r="E880" s="264"/>
      <c r="F880" s="264"/>
      <c r="G880" s="264"/>
      <c r="H880" s="264"/>
      <c r="I880" s="264"/>
      <c r="J880" s="264"/>
      <c r="K880" s="264"/>
      <c r="L880" s="264"/>
      <c r="M880" s="264"/>
      <c r="N880" s="264"/>
      <c r="O880" s="264"/>
      <c r="P880" s="264"/>
      <c r="Q880" s="264"/>
      <c r="R880" s="264"/>
      <c r="S880" s="264"/>
      <c r="T880" s="264"/>
      <c r="U880" s="264"/>
    </row>
    <row r="881">
      <c r="A881" s="264"/>
      <c r="B881" s="264"/>
      <c r="C881" s="264"/>
      <c r="D881" s="264"/>
      <c r="E881" s="264"/>
      <c r="F881" s="264"/>
      <c r="G881" s="264"/>
      <c r="H881" s="264"/>
      <c r="I881" s="264"/>
      <c r="J881" s="264"/>
      <c r="K881" s="264"/>
      <c r="L881" s="264"/>
      <c r="M881" s="264"/>
      <c r="N881" s="264"/>
      <c r="O881" s="264"/>
      <c r="P881" s="264"/>
      <c r="Q881" s="264"/>
      <c r="R881" s="264"/>
      <c r="S881" s="264"/>
      <c r="T881" s="264"/>
      <c r="U881" s="264"/>
    </row>
    <row r="882">
      <c r="A882" s="264"/>
      <c r="B882" s="264"/>
      <c r="C882" s="264"/>
      <c r="D882" s="264"/>
      <c r="E882" s="264"/>
      <c r="F882" s="264"/>
      <c r="G882" s="264"/>
      <c r="H882" s="264"/>
      <c r="I882" s="264"/>
      <c r="J882" s="264"/>
      <c r="K882" s="264"/>
      <c r="L882" s="264"/>
      <c r="M882" s="264"/>
      <c r="N882" s="264"/>
      <c r="O882" s="264"/>
      <c r="P882" s="264"/>
      <c r="Q882" s="264"/>
      <c r="R882" s="264"/>
      <c r="S882" s="264"/>
      <c r="T882" s="264"/>
      <c r="U882" s="264"/>
    </row>
    <row r="883">
      <c r="A883" s="264"/>
      <c r="B883" s="264"/>
      <c r="C883" s="264"/>
      <c r="D883" s="264"/>
      <c r="E883" s="264"/>
      <c r="F883" s="264"/>
      <c r="G883" s="264"/>
      <c r="H883" s="264"/>
      <c r="I883" s="264"/>
      <c r="J883" s="264"/>
      <c r="K883" s="264"/>
      <c r="L883" s="264"/>
      <c r="M883" s="264"/>
      <c r="N883" s="264"/>
      <c r="O883" s="264"/>
      <c r="P883" s="264"/>
      <c r="Q883" s="264"/>
      <c r="R883" s="264"/>
      <c r="S883" s="264"/>
      <c r="T883" s="264"/>
      <c r="U883" s="264"/>
    </row>
    <row r="884">
      <c r="A884" s="264"/>
      <c r="B884" s="264"/>
      <c r="C884" s="264"/>
      <c r="D884" s="264"/>
      <c r="E884" s="264"/>
      <c r="F884" s="264"/>
      <c r="G884" s="264"/>
      <c r="H884" s="264"/>
      <c r="I884" s="264"/>
      <c r="J884" s="264"/>
      <c r="K884" s="264"/>
      <c r="L884" s="264"/>
      <c r="M884" s="264"/>
      <c r="N884" s="264"/>
      <c r="O884" s="264"/>
      <c r="P884" s="264"/>
      <c r="Q884" s="264"/>
      <c r="R884" s="264"/>
      <c r="S884" s="264"/>
      <c r="T884" s="264"/>
      <c r="U884" s="264"/>
    </row>
    <row r="885">
      <c r="A885" s="264"/>
      <c r="B885" s="264"/>
      <c r="C885" s="264"/>
      <c r="D885" s="264"/>
      <c r="E885" s="264"/>
      <c r="F885" s="264"/>
      <c r="G885" s="264"/>
      <c r="H885" s="264"/>
      <c r="I885" s="264"/>
      <c r="J885" s="264"/>
      <c r="K885" s="264"/>
      <c r="L885" s="264"/>
      <c r="M885" s="264"/>
      <c r="N885" s="264"/>
      <c r="O885" s="264"/>
      <c r="P885" s="264"/>
      <c r="Q885" s="264"/>
      <c r="R885" s="264"/>
      <c r="S885" s="264"/>
      <c r="T885" s="264"/>
      <c r="U885" s="264"/>
    </row>
    <row r="886">
      <c r="A886" s="264"/>
      <c r="B886" s="264"/>
      <c r="C886" s="264"/>
      <c r="D886" s="264"/>
      <c r="E886" s="264"/>
      <c r="F886" s="264"/>
      <c r="G886" s="264"/>
      <c r="H886" s="264"/>
      <c r="I886" s="264"/>
      <c r="J886" s="264"/>
      <c r="K886" s="264"/>
      <c r="L886" s="264"/>
      <c r="M886" s="264"/>
      <c r="N886" s="264"/>
      <c r="O886" s="264"/>
      <c r="P886" s="264"/>
      <c r="Q886" s="264"/>
      <c r="R886" s="264"/>
      <c r="S886" s="264"/>
      <c r="T886" s="264"/>
      <c r="U886" s="264"/>
    </row>
    <row r="887">
      <c r="A887" s="264"/>
      <c r="B887" s="264"/>
      <c r="C887" s="264"/>
      <c r="D887" s="264"/>
      <c r="E887" s="264"/>
      <c r="F887" s="264"/>
      <c r="G887" s="264"/>
      <c r="H887" s="264"/>
      <c r="I887" s="264"/>
      <c r="J887" s="264"/>
      <c r="K887" s="264"/>
      <c r="L887" s="264"/>
      <c r="M887" s="264"/>
      <c r="N887" s="264"/>
      <c r="O887" s="264"/>
      <c r="P887" s="264"/>
      <c r="Q887" s="264"/>
      <c r="R887" s="264"/>
      <c r="S887" s="264"/>
      <c r="T887" s="264"/>
      <c r="U887" s="264"/>
    </row>
    <row r="888">
      <c r="A888" s="264"/>
      <c r="B888" s="264"/>
      <c r="C888" s="264"/>
      <c r="D888" s="264"/>
      <c r="E888" s="264"/>
      <c r="F888" s="264"/>
      <c r="G888" s="264"/>
      <c r="H888" s="264"/>
      <c r="I888" s="264"/>
      <c r="J888" s="264"/>
      <c r="K888" s="264"/>
      <c r="L888" s="264"/>
      <c r="M888" s="264"/>
      <c r="N888" s="264"/>
      <c r="O888" s="264"/>
      <c r="P888" s="264"/>
      <c r="Q888" s="264"/>
      <c r="R888" s="264"/>
      <c r="S888" s="264"/>
      <c r="T888" s="264"/>
      <c r="U888" s="264"/>
    </row>
    <row r="889">
      <c r="A889" s="264"/>
      <c r="B889" s="264"/>
      <c r="C889" s="264"/>
      <c r="D889" s="264"/>
      <c r="E889" s="264"/>
      <c r="F889" s="264"/>
      <c r="G889" s="264"/>
      <c r="H889" s="264"/>
      <c r="I889" s="264"/>
      <c r="J889" s="264"/>
      <c r="K889" s="264"/>
      <c r="L889" s="264"/>
      <c r="M889" s="264"/>
      <c r="N889" s="264"/>
      <c r="O889" s="264"/>
      <c r="P889" s="264"/>
      <c r="Q889" s="264"/>
      <c r="R889" s="264"/>
      <c r="S889" s="264"/>
      <c r="T889" s="264"/>
      <c r="U889" s="264"/>
    </row>
    <row r="890">
      <c r="A890" s="264"/>
      <c r="B890" s="264"/>
      <c r="C890" s="264"/>
      <c r="D890" s="264"/>
      <c r="E890" s="264"/>
      <c r="F890" s="264"/>
      <c r="G890" s="264"/>
      <c r="H890" s="264"/>
      <c r="I890" s="264"/>
      <c r="J890" s="264"/>
      <c r="K890" s="264"/>
      <c r="L890" s="264"/>
      <c r="M890" s="264"/>
      <c r="N890" s="264"/>
      <c r="O890" s="264"/>
      <c r="P890" s="264"/>
      <c r="Q890" s="264"/>
      <c r="R890" s="264"/>
      <c r="S890" s="264"/>
      <c r="T890" s="264"/>
      <c r="U890" s="264"/>
    </row>
    <row r="891">
      <c r="A891" s="264"/>
      <c r="B891" s="264"/>
      <c r="C891" s="264"/>
      <c r="D891" s="264"/>
      <c r="E891" s="264"/>
      <c r="F891" s="264"/>
      <c r="G891" s="264"/>
      <c r="H891" s="264"/>
      <c r="I891" s="264"/>
      <c r="J891" s="264"/>
      <c r="K891" s="264"/>
      <c r="L891" s="264"/>
      <c r="M891" s="264"/>
      <c r="N891" s="264"/>
      <c r="O891" s="264"/>
      <c r="P891" s="264"/>
      <c r="Q891" s="264"/>
      <c r="R891" s="264"/>
      <c r="S891" s="264"/>
      <c r="T891" s="264"/>
      <c r="U891" s="264"/>
    </row>
    <row r="892">
      <c r="A892" s="264"/>
      <c r="B892" s="264"/>
      <c r="C892" s="264"/>
      <c r="D892" s="264"/>
      <c r="E892" s="264"/>
      <c r="F892" s="264"/>
      <c r="G892" s="264"/>
      <c r="H892" s="264"/>
      <c r="I892" s="264"/>
      <c r="J892" s="264"/>
      <c r="K892" s="264"/>
      <c r="L892" s="264"/>
      <c r="M892" s="264"/>
      <c r="N892" s="264"/>
      <c r="O892" s="264"/>
      <c r="P892" s="264"/>
      <c r="Q892" s="264"/>
      <c r="R892" s="264"/>
      <c r="S892" s="264"/>
      <c r="T892" s="264"/>
      <c r="U892" s="264"/>
    </row>
    <row r="893">
      <c r="A893" s="264"/>
      <c r="B893" s="264"/>
      <c r="C893" s="264"/>
      <c r="D893" s="264"/>
      <c r="E893" s="264"/>
      <c r="F893" s="264"/>
      <c r="G893" s="264"/>
      <c r="H893" s="264"/>
      <c r="I893" s="264"/>
      <c r="J893" s="264"/>
      <c r="K893" s="264"/>
      <c r="L893" s="264"/>
      <c r="M893" s="264"/>
      <c r="N893" s="264"/>
      <c r="O893" s="264"/>
      <c r="P893" s="264"/>
      <c r="Q893" s="264"/>
      <c r="R893" s="264"/>
      <c r="S893" s="264"/>
      <c r="T893" s="264"/>
      <c r="U893" s="264"/>
    </row>
    <row r="894">
      <c r="A894" s="264"/>
      <c r="B894" s="264"/>
      <c r="C894" s="264"/>
      <c r="D894" s="264"/>
      <c r="E894" s="264"/>
      <c r="F894" s="264"/>
      <c r="G894" s="264"/>
      <c r="H894" s="264"/>
      <c r="I894" s="264"/>
      <c r="J894" s="264"/>
      <c r="K894" s="264"/>
      <c r="L894" s="264"/>
      <c r="M894" s="264"/>
      <c r="N894" s="264"/>
      <c r="O894" s="264"/>
      <c r="P894" s="264"/>
      <c r="Q894" s="264"/>
      <c r="R894" s="264"/>
      <c r="S894" s="264"/>
      <c r="T894" s="264"/>
      <c r="U894" s="264"/>
    </row>
    <row r="895">
      <c r="A895" s="264"/>
      <c r="B895" s="264"/>
      <c r="C895" s="264"/>
      <c r="D895" s="264"/>
      <c r="E895" s="264"/>
      <c r="F895" s="264"/>
      <c r="G895" s="264"/>
      <c r="H895" s="264"/>
      <c r="I895" s="264"/>
      <c r="J895" s="264"/>
      <c r="K895" s="264"/>
      <c r="L895" s="264"/>
      <c r="M895" s="264"/>
      <c r="N895" s="264"/>
      <c r="O895" s="264"/>
      <c r="P895" s="264"/>
      <c r="Q895" s="264"/>
      <c r="R895" s="264"/>
      <c r="S895" s="264"/>
      <c r="T895" s="264"/>
      <c r="U895" s="264"/>
    </row>
    <row r="896">
      <c r="A896" s="264"/>
      <c r="B896" s="264"/>
      <c r="C896" s="264"/>
      <c r="D896" s="264"/>
      <c r="E896" s="264"/>
      <c r="F896" s="264"/>
      <c r="G896" s="264"/>
      <c r="H896" s="264"/>
      <c r="I896" s="264"/>
      <c r="J896" s="264"/>
      <c r="K896" s="264"/>
      <c r="L896" s="264"/>
      <c r="M896" s="264"/>
      <c r="N896" s="264"/>
      <c r="O896" s="264"/>
      <c r="P896" s="264"/>
      <c r="Q896" s="264"/>
      <c r="R896" s="264"/>
      <c r="S896" s="264"/>
      <c r="T896" s="264"/>
      <c r="U896" s="264"/>
    </row>
    <row r="897">
      <c r="A897" s="264"/>
      <c r="B897" s="264"/>
      <c r="C897" s="264"/>
      <c r="D897" s="264"/>
      <c r="E897" s="264"/>
      <c r="F897" s="264"/>
      <c r="G897" s="264"/>
      <c r="H897" s="264"/>
      <c r="I897" s="264"/>
      <c r="J897" s="264"/>
      <c r="K897" s="264"/>
      <c r="L897" s="264"/>
      <c r="M897" s="264"/>
      <c r="N897" s="264"/>
      <c r="O897" s="264"/>
      <c r="P897" s="264"/>
      <c r="Q897" s="264"/>
      <c r="R897" s="264"/>
      <c r="S897" s="264"/>
      <c r="T897" s="264"/>
      <c r="U897" s="264"/>
    </row>
    <row r="898">
      <c r="A898" s="264"/>
      <c r="B898" s="264"/>
      <c r="C898" s="264"/>
      <c r="D898" s="264"/>
      <c r="E898" s="264"/>
      <c r="F898" s="264"/>
      <c r="G898" s="264"/>
      <c r="H898" s="264"/>
      <c r="I898" s="264"/>
      <c r="J898" s="264"/>
      <c r="K898" s="264"/>
      <c r="L898" s="264"/>
      <c r="M898" s="264"/>
      <c r="N898" s="264"/>
      <c r="O898" s="264"/>
      <c r="P898" s="264"/>
      <c r="Q898" s="264"/>
      <c r="R898" s="264"/>
      <c r="S898" s="264"/>
      <c r="T898" s="264"/>
      <c r="U898" s="264"/>
    </row>
    <row r="899">
      <c r="A899" s="264"/>
      <c r="B899" s="264"/>
      <c r="C899" s="264"/>
      <c r="D899" s="264"/>
      <c r="E899" s="264"/>
      <c r="F899" s="264"/>
      <c r="G899" s="264"/>
      <c r="H899" s="264"/>
      <c r="I899" s="264"/>
      <c r="J899" s="264"/>
      <c r="K899" s="264"/>
      <c r="L899" s="264"/>
      <c r="M899" s="264"/>
      <c r="N899" s="264"/>
      <c r="O899" s="264"/>
      <c r="P899" s="264"/>
      <c r="Q899" s="264"/>
      <c r="R899" s="264"/>
      <c r="S899" s="264"/>
      <c r="T899" s="264"/>
      <c r="U899" s="264"/>
    </row>
    <row r="900">
      <c r="A900" s="264"/>
      <c r="B900" s="264"/>
      <c r="C900" s="264"/>
      <c r="D900" s="264"/>
      <c r="E900" s="264"/>
      <c r="F900" s="264"/>
      <c r="G900" s="264"/>
      <c r="H900" s="264"/>
      <c r="I900" s="264"/>
      <c r="J900" s="264"/>
      <c r="K900" s="264"/>
      <c r="L900" s="264"/>
      <c r="M900" s="264"/>
      <c r="N900" s="264"/>
      <c r="O900" s="264"/>
      <c r="P900" s="264"/>
      <c r="Q900" s="264"/>
      <c r="R900" s="264"/>
      <c r="S900" s="264"/>
      <c r="T900" s="264"/>
      <c r="U900" s="264"/>
    </row>
    <row r="901">
      <c r="A901" s="264"/>
      <c r="B901" s="264"/>
      <c r="C901" s="264"/>
      <c r="D901" s="264"/>
      <c r="E901" s="264"/>
      <c r="F901" s="264"/>
      <c r="G901" s="264"/>
      <c r="H901" s="264"/>
      <c r="I901" s="264"/>
      <c r="J901" s="264"/>
      <c r="K901" s="264"/>
      <c r="L901" s="264"/>
      <c r="M901" s="264"/>
      <c r="N901" s="264"/>
      <c r="O901" s="264"/>
      <c r="P901" s="264"/>
      <c r="Q901" s="264"/>
      <c r="R901" s="264"/>
      <c r="S901" s="264"/>
      <c r="T901" s="264"/>
      <c r="U901" s="264"/>
    </row>
    <row r="902">
      <c r="A902" s="264"/>
      <c r="B902" s="264"/>
      <c r="C902" s="264"/>
      <c r="D902" s="264"/>
      <c r="E902" s="264"/>
      <c r="F902" s="264"/>
      <c r="G902" s="264"/>
      <c r="H902" s="264"/>
      <c r="I902" s="264"/>
      <c r="J902" s="264"/>
      <c r="K902" s="264"/>
      <c r="L902" s="264"/>
      <c r="M902" s="264"/>
      <c r="N902" s="264"/>
      <c r="O902" s="264"/>
      <c r="P902" s="264"/>
      <c r="Q902" s="264"/>
      <c r="R902" s="264"/>
      <c r="S902" s="264"/>
      <c r="T902" s="264"/>
      <c r="U902" s="264"/>
    </row>
    <row r="903">
      <c r="A903" s="264"/>
      <c r="B903" s="264"/>
      <c r="C903" s="264"/>
      <c r="D903" s="264"/>
      <c r="E903" s="264"/>
      <c r="F903" s="264"/>
      <c r="G903" s="264"/>
      <c r="H903" s="264"/>
      <c r="I903" s="264"/>
      <c r="J903" s="264"/>
      <c r="K903" s="264"/>
      <c r="L903" s="264"/>
      <c r="M903" s="264"/>
      <c r="N903" s="264"/>
      <c r="O903" s="264"/>
      <c r="P903" s="264"/>
      <c r="Q903" s="264"/>
      <c r="R903" s="264"/>
      <c r="S903" s="264"/>
      <c r="T903" s="264"/>
      <c r="U903" s="264"/>
    </row>
    <row r="904">
      <c r="A904" s="264"/>
      <c r="B904" s="264"/>
      <c r="C904" s="264"/>
      <c r="D904" s="264"/>
      <c r="E904" s="264"/>
      <c r="F904" s="264"/>
      <c r="G904" s="264"/>
      <c r="H904" s="264"/>
      <c r="I904" s="264"/>
      <c r="J904" s="264"/>
      <c r="K904" s="264"/>
      <c r="L904" s="264"/>
      <c r="M904" s="264"/>
      <c r="N904" s="264"/>
      <c r="O904" s="264"/>
      <c r="P904" s="264"/>
      <c r="Q904" s="264"/>
      <c r="R904" s="264"/>
      <c r="S904" s="264"/>
      <c r="T904" s="264"/>
      <c r="U904" s="264"/>
    </row>
    <row r="905">
      <c r="A905" s="264"/>
      <c r="B905" s="264"/>
      <c r="C905" s="264"/>
      <c r="D905" s="264"/>
      <c r="E905" s="264"/>
      <c r="F905" s="264"/>
      <c r="G905" s="264"/>
      <c r="H905" s="264"/>
      <c r="I905" s="264"/>
      <c r="J905" s="264"/>
      <c r="K905" s="264"/>
      <c r="L905" s="264"/>
      <c r="M905" s="264"/>
      <c r="N905" s="264"/>
      <c r="O905" s="264"/>
      <c r="P905" s="264"/>
      <c r="Q905" s="264"/>
      <c r="R905" s="264"/>
      <c r="S905" s="264"/>
      <c r="T905" s="264"/>
      <c r="U905" s="264"/>
    </row>
    <row r="906">
      <c r="A906" s="264"/>
      <c r="B906" s="264"/>
      <c r="C906" s="264"/>
      <c r="D906" s="264"/>
      <c r="E906" s="264"/>
      <c r="F906" s="264"/>
      <c r="G906" s="264"/>
      <c r="H906" s="264"/>
      <c r="I906" s="264"/>
      <c r="J906" s="264"/>
      <c r="K906" s="264"/>
      <c r="L906" s="264"/>
      <c r="M906" s="264"/>
      <c r="N906" s="264"/>
      <c r="O906" s="264"/>
      <c r="P906" s="264"/>
      <c r="Q906" s="264"/>
      <c r="R906" s="264"/>
      <c r="S906" s="264"/>
      <c r="T906" s="264"/>
      <c r="U906" s="264"/>
    </row>
    <row r="907">
      <c r="A907" s="264"/>
      <c r="B907" s="264"/>
      <c r="C907" s="264"/>
      <c r="D907" s="264"/>
      <c r="E907" s="264"/>
      <c r="F907" s="264"/>
      <c r="G907" s="264"/>
      <c r="H907" s="264"/>
      <c r="I907" s="264"/>
      <c r="J907" s="264"/>
      <c r="K907" s="264"/>
      <c r="L907" s="264"/>
      <c r="M907" s="264"/>
      <c r="N907" s="264"/>
      <c r="O907" s="264"/>
      <c r="P907" s="264"/>
      <c r="Q907" s="264"/>
      <c r="R907" s="264"/>
      <c r="S907" s="264"/>
      <c r="T907" s="264"/>
      <c r="U907" s="264"/>
    </row>
    <row r="908">
      <c r="A908" s="264"/>
      <c r="B908" s="264"/>
      <c r="C908" s="264"/>
      <c r="D908" s="264"/>
      <c r="E908" s="264"/>
      <c r="F908" s="264"/>
      <c r="G908" s="264"/>
      <c r="H908" s="264"/>
      <c r="I908" s="264"/>
      <c r="J908" s="264"/>
      <c r="K908" s="264"/>
      <c r="L908" s="264"/>
      <c r="M908" s="264"/>
      <c r="N908" s="264"/>
      <c r="O908" s="264"/>
      <c r="P908" s="264"/>
      <c r="Q908" s="264"/>
      <c r="R908" s="264"/>
      <c r="S908" s="264"/>
      <c r="T908" s="264"/>
      <c r="U908" s="264"/>
    </row>
    <row r="909">
      <c r="A909" s="264"/>
      <c r="B909" s="264"/>
      <c r="C909" s="264"/>
      <c r="D909" s="264"/>
      <c r="E909" s="264"/>
      <c r="F909" s="264"/>
      <c r="G909" s="264"/>
      <c r="H909" s="264"/>
      <c r="I909" s="264"/>
      <c r="J909" s="264"/>
      <c r="K909" s="264"/>
      <c r="L909" s="264"/>
      <c r="M909" s="264"/>
      <c r="N909" s="264"/>
      <c r="O909" s="264"/>
      <c r="P909" s="264"/>
      <c r="Q909" s="264"/>
      <c r="R909" s="264"/>
      <c r="S909" s="264"/>
      <c r="T909" s="264"/>
      <c r="U909" s="264"/>
    </row>
    <row r="910">
      <c r="A910" s="264"/>
      <c r="B910" s="264"/>
      <c r="C910" s="264"/>
      <c r="D910" s="264"/>
      <c r="E910" s="264"/>
      <c r="F910" s="264"/>
      <c r="G910" s="264"/>
      <c r="H910" s="264"/>
      <c r="I910" s="264"/>
      <c r="J910" s="264"/>
      <c r="K910" s="264"/>
      <c r="L910" s="264"/>
      <c r="M910" s="264"/>
      <c r="N910" s="264"/>
      <c r="O910" s="264"/>
      <c r="P910" s="264"/>
      <c r="Q910" s="264"/>
      <c r="R910" s="264"/>
      <c r="S910" s="264"/>
      <c r="T910" s="264"/>
      <c r="U910" s="264"/>
    </row>
    <row r="911">
      <c r="A911" s="264"/>
      <c r="B911" s="264"/>
      <c r="C911" s="264"/>
      <c r="D911" s="264"/>
      <c r="E911" s="264"/>
      <c r="F911" s="264"/>
      <c r="G911" s="264"/>
      <c r="H911" s="264"/>
      <c r="I911" s="264"/>
      <c r="J911" s="264"/>
      <c r="K911" s="264"/>
      <c r="L911" s="264"/>
      <c r="M911" s="264"/>
      <c r="N911" s="264"/>
      <c r="O911" s="264"/>
      <c r="P911" s="264"/>
      <c r="Q911" s="264"/>
      <c r="R911" s="264"/>
      <c r="S911" s="264"/>
      <c r="T911" s="264"/>
      <c r="U911" s="264"/>
    </row>
    <row r="912">
      <c r="A912" s="264"/>
      <c r="B912" s="264"/>
      <c r="C912" s="264"/>
      <c r="D912" s="264"/>
      <c r="E912" s="264"/>
      <c r="F912" s="264"/>
      <c r="G912" s="264"/>
      <c r="H912" s="264"/>
      <c r="I912" s="264"/>
      <c r="J912" s="264"/>
      <c r="K912" s="264"/>
      <c r="L912" s="264"/>
      <c r="M912" s="264"/>
      <c r="N912" s="264"/>
      <c r="O912" s="264"/>
      <c r="P912" s="264"/>
      <c r="Q912" s="264"/>
      <c r="R912" s="264"/>
      <c r="S912" s="264"/>
      <c r="T912" s="264"/>
      <c r="U912" s="264"/>
    </row>
    <row r="913">
      <c r="A913" s="264"/>
      <c r="B913" s="264"/>
      <c r="C913" s="264"/>
      <c r="D913" s="264"/>
      <c r="E913" s="264"/>
      <c r="F913" s="264"/>
      <c r="G913" s="264"/>
      <c r="H913" s="264"/>
      <c r="I913" s="264"/>
      <c r="J913" s="264"/>
      <c r="K913" s="264"/>
      <c r="L913" s="264"/>
      <c r="M913" s="264"/>
      <c r="N913" s="264"/>
      <c r="O913" s="264"/>
      <c r="P913" s="264"/>
      <c r="Q913" s="264"/>
      <c r="R913" s="264"/>
      <c r="S913" s="264"/>
      <c r="T913" s="264"/>
      <c r="U913" s="264"/>
    </row>
    <row r="914">
      <c r="A914" s="264"/>
      <c r="B914" s="264"/>
      <c r="C914" s="264"/>
      <c r="D914" s="264"/>
      <c r="E914" s="264"/>
      <c r="F914" s="264"/>
      <c r="G914" s="264"/>
      <c r="H914" s="264"/>
      <c r="I914" s="264"/>
      <c r="J914" s="264"/>
      <c r="K914" s="264"/>
      <c r="L914" s="264"/>
      <c r="M914" s="264"/>
      <c r="N914" s="264"/>
      <c r="O914" s="264"/>
      <c r="P914" s="264"/>
      <c r="Q914" s="264"/>
      <c r="R914" s="264"/>
      <c r="S914" s="264"/>
      <c r="T914" s="264"/>
      <c r="U914" s="264"/>
    </row>
    <row r="915">
      <c r="A915" s="264"/>
      <c r="B915" s="264"/>
      <c r="C915" s="264"/>
      <c r="D915" s="264"/>
      <c r="E915" s="264"/>
      <c r="F915" s="264"/>
      <c r="G915" s="264"/>
      <c r="H915" s="264"/>
      <c r="I915" s="264"/>
      <c r="J915" s="264"/>
      <c r="K915" s="264"/>
      <c r="L915" s="264"/>
      <c r="M915" s="264"/>
      <c r="N915" s="264"/>
      <c r="O915" s="264"/>
      <c r="P915" s="264"/>
      <c r="Q915" s="264"/>
      <c r="R915" s="264"/>
      <c r="S915" s="264"/>
      <c r="T915" s="264"/>
      <c r="U915" s="264"/>
    </row>
    <row r="916">
      <c r="A916" s="264"/>
      <c r="B916" s="264"/>
      <c r="C916" s="264"/>
      <c r="D916" s="264"/>
      <c r="E916" s="264"/>
      <c r="F916" s="264"/>
      <c r="G916" s="264"/>
      <c r="H916" s="264"/>
      <c r="I916" s="264"/>
      <c r="J916" s="264"/>
      <c r="K916" s="264"/>
      <c r="L916" s="264"/>
      <c r="M916" s="264"/>
      <c r="N916" s="264"/>
      <c r="O916" s="264"/>
      <c r="P916" s="264"/>
      <c r="Q916" s="264"/>
      <c r="R916" s="264"/>
      <c r="S916" s="264"/>
      <c r="T916" s="264"/>
      <c r="U916" s="264"/>
    </row>
    <row r="917">
      <c r="A917" s="264"/>
      <c r="B917" s="264"/>
      <c r="C917" s="264"/>
      <c r="D917" s="264"/>
      <c r="E917" s="264"/>
      <c r="F917" s="264"/>
      <c r="G917" s="264"/>
      <c r="H917" s="264"/>
      <c r="I917" s="264"/>
      <c r="J917" s="264"/>
      <c r="K917" s="264"/>
      <c r="L917" s="264"/>
      <c r="M917" s="264"/>
      <c r="N917" s="264"/>
      <c r="O917" s="264"/>
      <c r="P917" s="264"/>
      <c r="Q917" s="264"/>
      <c r="R917" s="264"/>
      <c r="S917" s="264"/>
      <c r="T917" s="264"/>
      <c r="U917" s="264"/>
    </row>
    <row r="918">
      <c r="A918" s="264"/>
      <c r="B918" s="264"/>
      <c r="C918" s="264"/>
      <c r="D918" s="264"/>
      <c r="E918" s="264"/>
      <c r="F918" s="264"/>
      <c r="G918" s="264"/>
      <c r="H918" s="264"/>
      <c r="I918" s="264"/>
      <c r="J918" s="264"/>
      <c r="K918" s="264"/>
      <c r="L918" s="264"/>
      <c r="M918" s="264"/>
      <c r="N918" s="264"/>
      <c r="O918" s="264"/>
      <c r="P918" s="264"/>
      <c r="Q918" s="264"/>
      <c r="R918" s="264"/>
      <c r="S918" s="264"/>
      <c r="T918" s="264"/>
      <c r="U918" s="264"/>
    </row>
    <row r="919">
      <c r="A919" s="264"/>
      <c r="B919" s="264"/>
      <c r="C919" s="264"/>
      <c r="D919" s="264"/>
      <c r="E919" s="264"/>
      <c r="F919" s="264"/>
      <c r="G919" s="264"/>
      <c r="H919" s="264"/>
      <c r="I919" s="264"/>
      <c r="J919" s="264"/>
      <c r="K919" s="264"/>
      <c r="L919" s="264"/>
      <c r="M919" s="264"/>
      <c r="N919" s="264"/>
      <c r="O919" s="264"/>
      <c r="P919" s="264"/>
      <c r="Q919" s="264"/>
      <c r="R919" s="264"/>
      <c r="S919" s="264"/>
      <c r="T919" s="264"/>
      <c r="U919" s="264"/>
    </row>
    <row r="920">
      <c r="A920" s="264"/>
      <c r="B920" s="264"/>
      <c r="C920" s="264"/>
      <c r="D920" s="264"/>
      <c r="E920" s="264"/>
      <c r="F920" s="264"/>
      <c r="G920" s="264"/>
      <c r="H920" s="264"/>
      <c r="I920" s="264"/>
      <c r="J920" s="264"/>
      <c r="K920" s="264"/>
      <c r="L920" s="264"/>
      <c r="M920" s="264"/>
      <c r="N920" s="264"/>
      <c r="O920" s="264"/>
      <c r="P920" s="264"/>
      <c r="Q920" s="264"/>
      <c r="R920" s="264"/>
      <c r="S920" s="264"/>
      <c r="T920" s="264"/>
      <c r="U920" s="264"/>
    </row>
    <row r="921">
      <c r="A921" s="264"/>
      <c r="B921" s="264"/>
      <c r="C921" s="264"/>
      <c r="D921" s="264"/>
      <c r="E921" s="264"/>
      <c r="F921" s="264"/>
      <c r="G921" s="264"/>
      <c r="H921" s="264"/>
      <c r="I921" s="264"/>
      <c r="J921" s="264"/>
      <c r="K921" s="264"/>
      <c r="L921" s="264"/>
      <c r="M921" s="264"/>
      <c r="N921" s="264"/>
      <c r="O921" s="264"/>
      <c r="P921" s="264"/>
      <c r="Q921" s="264"/>
      <c r="R921" s="264"/>
      <c r="S921" s="264"/>
      <c r="T921" s="264"/>
      <c r="U921" s="264"/>
    </row>
    <row r="922">
      <c r="A922" s="264"/>
      <c r="B922" s="264"/>
      <c r="C922" s="264"/>
      <c r="D922" s="264"/>
      <c r="E922" s="264"/>
      <c r="F922" s="264"/>
      <c r="G922" s="264"/>
      <c r="H922" s="264"/>
      <c r="I922" s="264"/>
      <c r="J922" s="264"/>
      <c r="K922" s="264"/>
      <c r="L922" s="264"/>
      <c r="M922" s="264"/>
      <c r="N922" s="264"/>
      <c r="O922" s="264"/>
      <c r="P922" s="264"/>
      <c r="Q922" s="264"/>
      <c r="R922" s="264"/>
      <c r="S922" s="264"/>
      <c r="T922" s="264"/>
      <c r="U922" s="264"/>
    </row>
    <row r="923">
      <c r="A923" s="264"/>
      <c r="B923" s="264"/>
      <c r="C923" s="264"/>
      <c r="D923" s="264"/>
      <c r="E923" s="264"/>
      <c r="F923" s="264"/>
      <c r="G923" s="264"/>
      <c r="H923" s="264"/>
      <c r="I923" s="264"/>
      <c r="J923" s="264"/>
      <c r="K923" s="264"/>
      <c r="L923" s="264"/>
      <c r="M923" s="264"/>
      <c r="N923" s="264"/>
      <c r="O923" s="264"/>
      <c r="P923" s="264"/>
      <c r="Q923" s="264"/>
      <c r="R923" s="264"/>
      <c r="S923" s="264"/>
      <c r="T923" s="264"/>
      <c r="U923" s="264"/>
    </row>
    <row r="924">
      <c r="A924" s="264"/>
      <c r="B924" s="264"/>
      <c r="C924" s="264"/>
      <c r="D924" s="264"/>
      <c r="E924" s="264"/>
      <c r="F924" s="264"/>
      <c r="G924" s="264"/>
      <c r="H924" s="264"/>
      <c r="I924" s="264"/>
      <c r="J924" s="264"/>
      <c r="K924" s="264"/>
      <c r="L924" s="264"/>
      <c r="M924" s="264"/>
      <c r="N924" s="264"/>
      <c r="O924" s="264"/>
      <c r="P924" s="264"/>
      <c r="Q924" s="264"/>
      <c r="R924" s="264"/>
      <c r="S924" s="264"/>
      <c r="T924" s="264"/>
      <c r="U924" s="264"/>
    </row>
    <row r="925">
      <c r="A925" s="264"/>
      <c r="B925" s="264"/>
      <c r="C925" s="264"/>
      <c r="D925" s="264"/>
      <c r="E925" s="264"/>
      <c r="F925" s="264"/>
      <c r="G925" s="264"/>
      <c r="H925" s="264"/>
      <c r="I925" s="264"/>
      <c r="J925" s="264"/>
      <c r="K925" s="264"/>
      <c r="L925" s="264"/>
      <c r="M925" s="264"/>
      <c r="N925" s="264"/>
      <c r="O925" s="264"/>
      <c r="P925" s="264"/>
      <c r="Q925" s="264"/>
      <c r="R925" s="264"/>
      <c r="S925" s="264"/>
      <c r="T925" s="264"/>
      <c r="U925" s="264"/>
    </row>
    <row r="926">
      <c r="A926" s="264"/>
      <c r="B926" s="264"/>
      <c r="C926" s="264"/>
      <c r="D926" s="264"/>
      <c r="E926" s="264"/>
      <c r="F926" s="264"/>
      <c r="G926" s="264"/>
      <c r="H926" s="264"/>
      <c r="I926" s="264"/>
      <c r="J926" s="264"/>
      <c r="K926" s="264"/>
      <c r="L926" s="264"/>
      <c r="M926" s="264"/>
      <c r="N926" s="264"/>
      <c r="O926" s="264"/>
      <c r="P926" s="264"/>
      <c r="Q926" s="264"/>
      <c r="R926" s="264"/>
      <c r="S926" s="264"/>
      <c r="T926" s="264"/>
      <c r="U926" s="264"/>
    </row>
    <row r="927">
      <c r="A927" s="264"/>
      <c r="B927" s="264"/>
      <c r="C927" s="264"/>
      <c r="D927" s="264"/>
      <c r="E927" s="264"/>
      <c r="F927" s="264"/>
      <c r="G927" s="264"/>
      <c r="H927" s="264"/>
      <c r="I927" s="264"/>
      <c r="J927" s="264"/>
      <c r="K927" s="264"/>
      <c r="L927" s="264"/>
      <c r="M927" s="264"/>
      <c r="N927" s="264"/>
      <c r="O927" s="264"/>
      <c r="P927" s="264"/>
      <c r="Q927" s="264"/>
      <c r="R927" s="264"/>
      <c r="S927" s="264"/>
      <c r="T927" s="264"/>
      <c r="U927" s="264"/>
    </row>
    <row r="928">
      <c r="A928" s="264"/>
      <c r="B928" s="264"/>
      <c r="C928" s="264"/>
      <c r="D928" s="264"/>
      <c r="E928" s="264"/>
      <c r="F928" s="264"/>
      <c r="G928" s="264"/>
      <c r="H928" s="264"/>
      <c r="I928" s="264"/>
      <c r="J928" s="264"/>
      <c r="K928" s="264"/>
      <c r="L928" s="264"/>
      <c r="M928" s="264"/>
      <c r="N928" s="264"/>
      <c r="O928" s="264"/>
      <c r="P928" s="264"/>
      <c r="Q928" s="264"/>
      <c r="R928" s="264"/>
      <c r="S928" s="264"/>
      <c r="T928" s="264"/>
      <c r="U928" s="264"/>
    </row>
    <row r="929">
      <c r="A929" s="264"/>
      <c r="B929" s="264"/>
      <c r="C929" s="264"/>
      <c r="D929" s="264"/>
      <c r="E929" s="264"/>
      <c r="F929" s="264"/>
      <c r="G929" s="264"/>
      <c r="H929" s="264"/>
      <c r="I929" s="264"/>
      <c r="J929" s="264"/>
      <c r="K929" s="264"/>
      <c r="L929" s="264"/>
      <c r="M929" s="264"/>
      <c r="N929" s="264"/>
      <c r="O929" s="264"/>
      <c r="P929" s="264"/>
      <c r="Q929" s="264"/>
      <c r="R929" s="264"/>
      <c r="S929" s="264"/>
      <c r="T929" s="264"/>
      <c r="U929" s="264"/>
    </row>
    <row r="930">
      <c r="A930" s="264"/>
      <c r="B930" s="264"/>
      <c r="C930" s="264"/>
      <c r="D930" s="264"/>
      <c r="E930" s="264"/>
      <c r="F930" s="264"/>
      <c r="G930" s="264"/>
      <c r="H930" s="264"/>
      <c r="I930" s="264"/>
      <c r="J930" s="264"/>
      <c r="K930" s="264"/>
      <c r="L930" s="264"/>
      <c r="M930" s="264"/>
      <c r="N930" s="264"/>
      <c r="O930" s="264"/>
      <c r="P930" s="264"/>
      <c r="Q930" s="264"/>
      <c r="R930" s="264"/>
      <c r="S930" s="264"/>
      <c r="T930" s="264"/>
      <c r="U930" s="264"/>
    </row>
    <row r="931">
      <c r="A931" s="264"/>
      <c r="B931" s="264"/>
      <c r="C931" s="264"/>
      <c r="D931" s="264"/>
      <c r="E931" s="264"/>
      <c r="F931" s="264"/>
      <c r="G931" s="264"/>
      <c r="H931" s="264"/>
      <c r="I931" s="264"/>
      <c r="J931" s="264"/>
      <c r="K931" s="264"/>
      <c r="L931" s="264"/>
      <c r="M931" s="264"/>
      <c r="N931" s="264"/>
      <c r="O931" s="264"/>
      <c r="P931" s="264"/>
      <c r="Q931" s="264"/>
      <c r="R931" s="264"/>
      <c r="S931" s="264"/>
      <c r="T931" s="264"/>
      <c r="U931" s="264"/>
    </row>
    <row r="932">
      <c r="A932" s="264"/>
      <c r="B932" s="264"/>
      <c r="C932" s="264"/>
      <c r="D932" s="264"/>
      <c r="E932" s="264"/>
      <c r="F932" s="264"/>
      <c r="G932" s="264"/>
      <c r="H932" s="264"/>
      <c r="I932" s="264"/>
      <c r="J932" s="264"/>
      <c r="K932" s="264"/>
      <c r="L932" s="264"/>
      <c r="M932" s="264"/>
      <c r="N932" s="264"/>
      <c r="O932" s="264"/>
      <c r="P932" s="264"/>
      <c r="Q932" s="264"/>
      <c r="R932" s="264"/>
      <c r="S932" s="264"/>
      <c r="T932" s="264"/>
      <c r="U932" s="264"/>
    </row>
    <row r="933">
      <c r="A933" s="264"/>
      <c r="B933" s="264"/>
      <c r="C933" s="264"/>
      <c r="D933" s="264"/>
      <c r="E933" s="264"/>
      <c r="F933" s="264"/>
      <c r="G933" s="264"/>
      <c r="H933" s="264"/>
      <c r="I933" s="264"/>
      <c r="J933" s="264"/>
      <c r="K933" s="264"/>
      <c r="L933" s="264"/>
      <c r="M933" s="264"/>
      <c r="N933" s="264"/>
      <c r="O933" s="264"/>
      <c r="P933" s="264"/>
      <c r="Q933" s="264"/>
      <c r="R933" s="264"/>
      <c r="S933" s="264"/>
      <c r="T933" s="264"/>
      <c r="U933" s="264"/>
    </row>
    <row r="934">
      <c r="A934" s="264"/>
      <c r="B934" s="264"/>
      <c r="C934" s="264"/>
      <c r="D934" s="264"/>
      <c r="E934" s="264"/>
      <c r="F934" s="264"/>
      <c r="G934" s="264"/>
      <c r="H934" s="264"/>
      <c r="I934" s="264"/>
      <c r="J934" s="264"/>
      <c r="K934" s="264"/>
      <c r="L934" s="264"/>
      <c r="M934" s="264"/>
      <c r="N934" s="264"/>
      <c r="O934" s="264"/>
      <c r="P934" s="264"/>
      <c r="Q934" s="264"/>
      <c r="R934" s="264"/>
      <c r="S934" s="264"/>
      <c r="T934" s="264"/>
      <c r="U934" s="264"/>
    </row>
    <row r="935">
      <c r="A935" s="264"/>
      <c r="B935" s="264"/>
      <c r="C935" s="264"/>
      <c r="D935" s="264"/>
      <c r="E935" s="264"/>
      <c r="F935" s="264"/>
      <c r="G935" s="264"/>
      <c r="H935" s="264"/>
      <c r="I935" s="264"/>
      <c r="J935" s="264"/>
      <c r="K935" s="264"/>
      <c r="L935" s="264"/>
      <c r="M935" s="264"/>
      <c r="N935" s="264"/>
      <c r="O935" s="264"/>
      <c r="P935" s="264"/>
      <c r="Q935" s="264"/>
      <c r="R935" s="264"/>
      <c r="S935" s="264"/>
      <c r="T935" s="264"/>
      <c r="U935" s="264"/>
    </row>
    <row r="936">
      <c r="A936" s="264"/>
      <c r="B936" s="264"/>
      <c r="C936" s="264"/>
      <c r="D936" s="264"/>
      <c r="E936" s="264"/>
      <c r="F936" s="264"/>
      <c r="G936" s="264"/>
      <c r="H936" s="264"/>
      <c r="I936" s="264"/>
      <c r="J936" s="264"/>
      <c r="K936" s="264"/>
      <c r="L936" s="264"/>
      <c r="M936" s="264"/>
      <c r="N936" s="264"/>
      <c r="O936" s="264"/>
      <c r="P936" s="264"/>
      <c r="Q936" s="264"/>
      <c r="R936" s="264"/>
      <c r="S936" s="264"/>
      <c r="T936" s="264"/>
      <c r="U936" s="264"/>
    </row>
    <row r="937">
      <c r="A937" s="264"/>
      <c r="B937" s="264"/>
      <c r="C937" s="264"/>
      <c r="D937" s="264"/>
      <c r="E937" s="264"/>
      <c r="F937" s="264"/>
      <c r="G937" s="264"/>
      <c r="H937" s="264"/>
      <c r="I937" s="264"/>
      <c r="J937" s="264"/>
      <c r="K937" s="264"/>
      <c r="L937" s="264"/>
      <c r="M937" s="264"/>
      <c r="N937" s="264"/>
      <c r="O937" s="264"/>
      <c r="P937" s="264"/>
      <c r="Q937" s="264"/>
      <c r="R937" s="264"/>
      <c r="S937" s="264"/>
      <c r="T937" s="264"/>
      <c r="U937" s="264"/>
    </row>
    <row r="938">
      <c r="A938" s="264"/>
      <c r="B938" s="264"/>
      <c r="C938" s="264"/>
      <c r="D938" s="264"/>
      <c r="E938" s="264"/>
      <c r="F938" s="264"/>
      <c r="G938" s="264"/>
      <c r="H938" s="264"/>
      <c r="I938" s="264"/>
      <c r="J938" s="264"/>
      <c r="K938" s="264"/>
      <c r="L938" s="264"/>
      <c r="M938" s="264"/>
      <c r="N938" s="264"/>
      <c r="O938" s="264"/>
      <c r="P938" s="264"/>
      <c r="Q938" s="264"/>
      <c r="R938" s="264"/>
      <c r="S938" s="264"/>
      <c r="T938" s="264"/>
      <c r="U938" s="264"/>
    </row>
    <row r="939">
      <c r="A939" s="264"/>
      <c r="B939" s="264"/>
      <c r="C939" s="264"/>
      <c r="D939" s="264"/>
      <c r="E939" s="264"/>
      <c r="F939" s="264"/>
      <c r="G939" s="264"/>
      <c r="H939" s="264"/>
      <c r="I939" s="264"/>
      <c r="J939" s="264"/>
      <c r="K939" s="264"/>
      <c r="L939" s="264"/>
      <c r="M939" s="264"/>
      <c r="N939" s="264"/>
      <c r="O939" s="264"/>
      <c r="P939" s="264"/>
      <c r="Q939" s="264"/>
      <c r="R939" s="264"/>
      <c r="S939" s="264"/>
      <c r="T939" s="264"/>
      <c r="U939" s="264"/>
    </row>
    <row r="940">
      <c r="A940" s="264"/>
      <c r="B940" s="264"/>
      <c r="C940" s="264"/>
      <c r="D940" s="264"/>
      <c r="E940" s="264"/>
      <c r="F940" s="264"/>
      <c r="G940" s="264"/>
      <c r="H940" s="264"/>
      <c r="I940" s="264"/>
      <c r="J940" s="264"/>
      <c r="K940" s="264"/>
      <c r="L940" s="264"/>
      <c r="M940" s="264"/>
      <c r="N940" s="264"/>
      <c r="O940" s="264"/>
      <c r="P940" s="264"/>
      <c r="Q940" s="264"/>
      <c r="R940" s="264"/>
      <c r="S940" s="264"/>
      <c r="T940" s="264"/>
      <c r="U940" s="264"/>
    </row>
    <row r="941">
      <c r="A941" s="264"/>
      <c r="B941" s="264"/>
      <c r="C941" s="264"/>
      <c r="D941" s="264"/>
      <c r="E941" s="264"/>
      <c r="F941" s="264"/>
      <c r="G941" s="264"/>
      <c r="H941" s="264"/>
      <c r="I941" s="264"/>
      <c r="J941" s="264"/>
      <c r="K941" s="264"/>
      <c r="L941" s="264"/>
      <c r="M941" s="264"/>
      <c r="N941" s="264"/>
      <c r="O941" s="264"/>
      <c r="P941" s="264"/>
      <c r="Q941" s="264"/>
      <c r="R941" s="264"/>
      <c r="S941" s="264"/>
      <c r="T941" s="264"/>
      <c r="U941" s="264"/>
    </row>
    <row r="942">
      <c r="A942" s="264"/>
      <c r="B942" s="264"/>
      <c r="C942" s="264"/>
      <c r="D942" s="264"/>
      <c r="E942" s="264"/>
      <c r="F942" s="264"/>
      <c r="G942" s="264"/>
      <c r="H942" s="264"/>
      <c r="I942" s="264"/>
      <c r="J942" s="264"/>
      <c r="K942" s="264"/>
      <c r="L942" s="264"/>
      <c r="M942" s="264"/>
      <c r="N942" s="264"/>
      <c r="O942" s="264"/>
      <c r="P942" s="264"/>
      <c r="Q942" s="264"/>
      <c r="R942" s="264"/>
      <c r="S942" s="264"/>
      <c r="T942" s="264"/>
      <c r="U942" s="264"/>
    </row>
    <row r="943">
      <c r="A943" s="264"/>
      <c r="B943" s="264"/>
      <c r="C943" s="264"/>
      <c r="D943" s="264"/>
      <c r="E943" s="264"/>
      <c r="F943" s="264"/>
      <c r="G943" s="264"/>
      <c r="H943" s="264"/>
      <c r="I943" s="264"/>
      <c r="J943" s="264"/>
      <c r="K943" s="264"/>
      <c r="L943" s="264"/>
      <c r="M943" s="264"/>
      <c r="N943" s="264"/>
      <c r="O943" s="264"/>
      <c r="P943" s="264"/>
      <c r="Q943" s="264"/>
      <c r="R943" s="264"/>
      <c r="S943" s="264"/>
      <c r="T943" s="264"/>
      <c r="U943" s="264"/>
    </row>
    <row r="944">
      <c r="A944" s="264"/>
      <c r="B944" s="264"/>
      <c r="C944" s="264"/>
      <c r="D944" s="264"/>
      <c r="E944" s="264"/>
      <c r="F944" s="264"/>
      <c r="G944" s="264"/>
      <c r="H944" s="264"/>
      <c r="I944" s="264"/>
      <c r="J944" s="264"/>
      <c r="K944" s="264"/>
      <c r="L944" s="264"/>
      <c r="M944" s="264"/>
      <c r="N944" s="264"/>
      <c r="O944" s="264"/>
      <c r="P944" s="264"/>
      <c r="Q944" s="264"/>
      <c r="R944" s="264"/>
      <c r="S944" s="264"/>
      <c r="T944" s="264"/>
      <c r="U944" s="264"/>
    </row>
    <row r="945">
      <c r="A945" s="264"/>
      <c r="B945" s="264"/>
      <c r="C945" s="264"/>
      <c r="D945" s="264"/>
      <c r="E945" s="264"/>
      <c r="F945" s="264"/>
      <c r="G945" s="264"/>
      <c r="H945" s="264"/>
      <c r="I945" s="264"/>
      <c r="J945" s="264"/>
      <c r="K945" s="264"/>
      <c r="L945" s="264"/>
      <c r="M945" s="264"/>
      <c r="N945" s="264"/>
      <c r="O945" s="264"/>
      <c r="P945" s="264"/>
      <c r="Q945" s="264"/>
      <c r="R945" s="264"/>
      <c r="S945" s="264"/>
      <c r="T945" s="264"/>
      <c r="U945" s="264"/>
    </row>
    <row r="946">
      <c r="A946" s="264"/>
      <c r="B946" s="264"/>
      <c r="C946" s="264"/>
      <c r="D946" s="264"/>
      <c r="E946" s="264"/>
      <c r="F946" s="264"/>
      <c r="G946" s="264"/>
      <c r="H946" s="264"/>
      <c r="I946" s="264"/>
      <c r="J946" s="264"/>
      <c r="K946" s="264"/>
      <c r="L946" s="264"/>
      <c r="M946" s="264"/>
      <c r="N946" s="264"/>
      <c r="O946" s="264"/>
      <c r="P946" s="264"/>
      <c r="Q946" s="264"/>
      <c r="R946" s="264"/>
      <c r="S946" s="264"/>
      <c r="T946" s="264"/>
      <c r="U946" s="264"/>
    </row>
    <row r="947">
      <c r="A947" s="264"/>
      <c r="B947" s="264"/>
      <c r="C947" s="264"/>
      <c r="D947" s="264"/>
      <c r="E947" s="264"/>
      <c r="F947" s="264"/>
      <c r="G947" s="264"/>
      <c r="H947" s="264"/>
      <c r="I947" s="264"/>
      <c r="J947" s="264"/>
      <c r="K947" s="264"/>
      <c r="L947" s="264"/>
      <c r="M947" s="264"/>
      <c r="N947" s="264"/>
      <c r="O947" s="264"/>
      <c r="P947" s="264"/>
      <c r="Q947" s="264"/>
      <c r="R947" s="264"/>
      <c r="S947" s="264"/>
      <c r="T947" s="264"/>
      <c r="U947" s="264"/>
    </row>
    <row r="948">
      <c r="A948" s="264"/>
      <c r="B948" s="264"/>
      <c r="C948" s="264"/>
      <c r="D948" s="264"/>
      <c r="E948" s="264"/>
      <c r="F948" s="264"/>
      <c r="G948" s="264"/>
      <c r="H948" s="264"/>
      <c r="I948" s="264"/>
      <c r="J948" s="264"/>
      <c r="K948" s="264"/>
      <c r="L948" s="264"/>
      <c r="M948" s="264"/>
      <c r="N948" s="264"/>
      <c r="O948" s="264"/>
      <c r="P948" s="264"/>
      <c r="Q948" s="264"/>
      <c r="R948" s="264"/>
      <c r="S948" s="264"/>
      <c r="T948" s="264"/>
      <c r="U948" s="264"/>
    </row>
    <row r="949">
      <c r="A949" s="264"/>
      <c r="B949" s="264"/>
      <c r="C949" s="264"/>
      <c r="D949" s="264"/>
      <c r="E949" s="264"/>
      <c r="F949" s="264"/>
      <c r="G949" s="264"/>
      <c r="H949" s="264"/>
      <c r="I949" s="264"/>
      <c r="J949" s="264"/>
      <c r="K949" s="264"/>
      <c r="L949" s="264"/>
      <c r="M949" s="264"/>
      <c r="N949" s="264"/>
      <c r="O949" s="264"/>
      <c r="P949" s="264"/>
      <c r="Q949" s="264"/>
      <c r="R949" s="264"/>
      <c r="S949" s="264"/>
      <c r="T949" s="264"/>
      <c r="U949" s="264"/>
    </row>
    <row r="950">
      <c r="A950" s="264"/>
      <c r="B950" s="264"/>
      <c r="C950" s="264"/>
      <c r="D950" s="264"/>
      <c r="E950" s="264"/>
      <c r="F950" s="264"/>
      <c r="G950" s="264"/>
      <c r="H950" s="264"/>
      <c r="I950" s="264"/>
      <c r="J950" s="264"/>
      <c r="K950" s="264"/>
      <c r="L950" s="264"/>
      <c r="M950" s="264"/>
      <c r="N950" s="264"/>
      <c r="O950" s="264"/>
      <c r="P950" s="264"/>
      <c r="Q950" s="264"/>
      <c r="R950" s="264"/>
      <c r="S950" s="264"/>
      <c r="T950" s="264"/>
      <c r="U950" s="264"/>
    </row>
    <row r="951">
      <c r="A951" s="264"/>
      <c r="B951" s="264"/>
      <c r="C951" s="264"/>
      <c r="D951" s="264"/>
      <c r="E951" s="264"/>
      <c r="F951" s="264"/>
      <c r="G951" s="264"/>
      <c r="H951" s="264"/>
      <c r="I951" s="264"/>
      <c r="J951" s="264"/>
      <c r="K951" s="264"/>
      <c r="L951" s="264"/>
      <c r="M951" s="264"/>
      <c r="N951" s="264"/>
      <c r="O951" s="264"/>
      <c r="P951" s="264"/>
      <c r="Q951" s="264"/>
      <c r="R951" s="264"/>
      <c r="S951" s="264"/>
      <c r="T951" s="264"/>
      <c r="U951" s="264"/>
    </row>
    <row r="952">
      <c r="A952" s="264"/>
      <c r="B952" s="264"/>
      <c r="C952" s="264"/>
      <c r="D952" s="264"/>
      <c r="E952" s="264"/>
      <c r="F952" s="264"/>
      <c r="G952" s="264"/>
      <c r="H952" s="264"/>
      <c r="I952" s="264"/>
      <c r="J952" s="264"/>
      <c r="K952" s="264"/>
      <c r="L952" s="264"/>
      <c r="M952" s="264"/>
      <c r="N952" s="264"/>
      <c r="O952" s="264"/>
      <c r="P952" s="264"/>
      <c r="Q952" s="264"/>
      <c r="R952" s="264"/>
      <c r="S952" s="264"/>
      <c r="T952" s="264"/>
      <c r="U952" s="264"/>
    </row>
    <row r="953">
      <c r="A953" s="264"/>
      <c r="B953" s="264"/>
      <c r="C953" s="264"/>
      <c r="D953" s="264"/>
      <c r="E953" s="264"/>
      <c r="F953" s="264"/>
      <c r="G953" s="264"/>
      <c r="H953" s="264"/>
      <c r="I953" s="264"/>
      <c r="J953" s="264"/>
      <c r="K953" s="264"/>
      <c r="L953" s="264"/>
      <c r="M953" s="264"/>
      <c r="N953" s="264"/>
      <c r="O953" s="264"/>
      <c r="P953" s="264"/>
      <c r="Q953" s="264"/>
      <c r="R953" s="264"/>
      <c r="S953" s="264"/>
      <c r="T953" s="264"/>
      <c r="U953" s="264"/>
    </row>
    <row r="954">
      <c r="A954" s="264"/>
      <c r="B954" s="264"/>
      <c r="C954" s="264"/>
      <c r="D954" s="264"/>
      <c r="E954" s="264"/>
      <c r="F954" s="264"/>
      <c r="G954" s="264"/>
      <c r="H954" s="264"/>
      <c r="I954" s="264"/>
      <c r="J954" s="264"/>
      <c r="K954" s="264"/>
      <c r="L954" s="264"/>
      <c r="M954" s="264"/>
      <c r="N954" s="264"/>
      <c r="O954" s="264"/>
      <c r="P954" s="264"/>
      <c r="Q954" s="264"/>
      <c r="R954" s="264"/>
      <c r="S954" s="264"/>
      <c r="T954" s="264"/>
      <c r="U954" s="264"/>
    </row>
    <row r="955">
      <c r="A955" s="264"/>
      <c r="B955" s="264"/>
      <c r="C955" s="264"/>
      <c r="D955" s="264"/>
      <c r="E955" s="264"/>
      <c r="F955" s="264"/>
      <c r="G955" s="264"/>
      <c r="H955" s="264"/>
      <c r="I955" s="264"/>
      <c r="J955" s="264"/>
      <c r="K955" s="264"/>
      <c r="L955" s="264"/>
      <c r="M955" s="264"/>
      <c r="N955" s="264"/>
      <c r="O955" s="264"/>
      <c r="P955" s="264"/>
      <c r="Q955" s="264"/>
      <c r="R955" s="264"/>
      <c r="S955" s="264"/>
      <c r="T955" s="264"/>
      <c r="U955" s="264"/>
    </row>
    <row r="956">
      <c r="A956" s="264"/>
      <c r="B956" s="264"/>
      <c r="C956" s="264"/>
      <c r="D956" s="264"/>
      <c r="E956" s="264"/>
      <c r="F956" s="264"/>
      <c r="G956" s="264"/>
      <c r="H956" s="264"/>
      <c r="I956" s="264"/>
      <c r="J956" s="264"/>
      <c r="K956" s="264"/>
      <c r="L956" s="264"/>
      <c r="M956" s="264"/>
      <c r="N956" s="264"/>
      <c r="O956" s="264"/>
      <c r="P956" s="264"/>
      <c r="Q956" s="264"/>
      <c r="R956" s="264"/>
      <c r="S956" s="264"/>
      <c r="T956" s="264"/>
      <c r="U956" s="264"/>
    </row>
    <row r="957">
      <c r="A957" s="264"/>
      <c r="B957" s="264"/>
      <c r="C957" s="264"/>
      <c r="D957" s="264"/>
      <c r="E957" s="264"/>
      <c r="F957" s="264"/>
      <c r="G957" s="264"/>
      <c r="H957" s="264"/>
      <c r="I957" s="264"/>
      <c r="J957" s="264"/>
      <c r="K957" s="264"/>
      <c r="L957" s="264"/>
      <c r="M957" s="264"/>
      <c r="N957" s="264"/>
      <c r="O957" s="264"/>
      <c r="P957" s="264"/>
      <c r="Q957" s="264"/>
      <c r="R957" s="264"/>
      <c r="S957" s="264"/>
      <c r="T957" s="264"/>
      <c r="U957" s="264"/>
    </row>
    <row r="958">
      <c r="A958" s="264"/>
      <c r="B958" s="264"/>
      <c r="C958" s="264"/>
      <c r="D958" s="264"/>
      <c r="E958" s="264"/>
      <c r="F958" s="264"/>
      <c r="G958" s="264"/>
      <c r="H958" s="264"/>
      <c r="I958" s="264"/>
      <c r="J958" s="264"/>
      <c r="K958" s="264"/>
      <c r="L958" s="264"/>
      <c r="M958" s="264"/>
      <c r="N958" s="264"/>
      <c r="O958" s="264"/>
      <c r="P958" s="264"/>
      <c r="Q958" s="264"/>
      <c r="R958" s="264"/>
      <c r="S958" s="264"/>
      <c r="T958" s="264"/>
      <c r="U958" s="264"/>
    </row>
    <row r="959">
      <c r="A959" s="264"/>
      <c r="B959" s="264"/>
      <c r="C959" s="264"/>
      <c r="D959" s="264"/>
      <c r="E959" s="264"/>
      <c r="F959" s="264"/>
      <c r="G959" s="264"/>
      <c r="H959" s="264"/>
      <c r="I959" s="264"/>
      <c r="J959" s="264"/>
      <c r="K959" s="264"/>
      <c r="L959" s="264"/>
      <c r="M959" s="264"/>
      <c r="N959" s="264"/>
      <c r="O959" s="264"/>
      <c r="P959" s="264"/>
      <c r="Q959" s="264"/>
      <c r="R959" s="264"/>
      <c r="S959" s="264"/>
      <c r="T959" s="264"/>
      <c r="U959" s="264"/>
    </row>
    <row r="960">
      <c r="A960" s="264"/>
      <c r="B960" s="264"/>
      <c r="C960" s="264"/>
      <c r="D960" s="264"/>
      <c r="E960" s="264"/>
      <c r="F960" s="264"/>
      <c r="G960" s="264"/>
      <c r="H960" s="264"/>
      <c r="I960" s="264"/>
      <c r="J960" s="264"/>
      <c r="K960" s="264"/>
      <c r="L960" s="264"/>
      <c r="M960" s="264"/>
      <c r="N960" s="264"/>
      <c r="O960" s="264"/>
      <c r="P960" s="264"/>
      <c r="Q960" s="264"/>
      <c r="R960" s="264"/>
      <c r="S960" s="264"/>
      <c r="T960" s="264"/>
      <c r="U960" s="264"/>
    </row>
    <row r="961">
      <c r="A961" s="264"/>
      <c r="B961" s="264"/>
      <c r="C961" s="264"/>
      <c r="D961" s="264"/>
      <c r="E961" s="264"/>
      <c r="F961" s="264"/>
      <c r="G961" s="264"/>
      <c r="H961" s="264"/>
      <c r="I961" s="264"/>
      <c r="J961" s="264"/>
      <c r="K961" s="264"/>
      <c r="L961" s="264"/>
      <c r="M961" s="264"/>
      <c r="N961" s="264"/>
      <c r="O961" s="264"/>
      <c r="P961" s="264"/>
      <c r="Q961" s="264"/>
      <c r="R961" s="264"/>
      <c r="S961" s="264"/>
      <c r="T961" s="264"/>
      <c r="U961" s="264"/>
    </row>
    <row r="962">
      <c r="A962" s="264"/>
      <c r="B962" s="264"/>
      <c r="C962" s="264"/>
      <c r="D962" s="264"/>
      <c r="E962" s="264"/>
      <c r="F962" s="264"/>
      <c r="G962" s="264"/>
      <c r="H962" s="264"/>
      <c r="I962" s="264"/>
      <c r="J962" s="264"/>
      <c r="K962" s="264"/>
      <c r="L962" s="264"/>
      <c r="M962" s="264"/>
      <c r="N962" s="264"/>
      <c r="O962" s="264"/>
      <c r="P962" s="264"/>
      <c r="Q962" s="264"/>
      <c r="R962" s="264"/>
      <c r="S962" s="264"/>
      <c r="T962" s="264"/>
      <c r="U962" s="264"/>
    </row>
    <row r="963">
      <c r="A963" s="264"/>
      <c r="B963" s="264"/>
      <c r="C963" s="264"/>
      <c r="D963" s="264"/>
      <c r="E963" s="264"/>
      <c r="F963" s="264"/>
      <c r="G963" s="264"/>
      <c r="H963" s="264"/>
      <c r="I963" s="264"/>
      <c r="J963" s="264"/>
      <c r="K963" s="264"/>
      <c r="L963" s="264"/>
      <c r="M963" s="264"/>
      <c r="N963" s="264"/>
      <c r="O963" s="264"/>
      <c r="P963" s="264"/>
      <c r="Q963" s="264"/>
      <c r="R963" s="264"/>
      <c r="S963" s="264"/>
      <c r="T963" s="264"/>
      <c r="U963" s="264"/>
    </row>
    <row r="964">
      <c r="A964" s="264"/>
      <c r="B964" s="264"/>
      <c r="C964" s="264"/>
      <c r="D964" s="264"/>
      <c r="E964" s="264"/>
      <c r="F964" s="264"/>
      <c r="G964" s="264"/>
      <c r="H964" s="264"/>
      <c r="I964" s="264"/>
      <c r="J964" s="264"/>
      <c r="K964" s="264"/>
      <c r="L964" s="264"/>
      <c r="M964" s="264"/>
      <c r="N964" s="264"/>
      <c r="O964" s="264"/>
      <c r="P964" s="264"/>
      <c r="Q964" s="264"/>
      <c r="R964" s="264"/>
      <c r="S964" s="264"/>
      <c r="T964" s="264"/>
      <c r="U964" s="264"/>
    </row>
    <row r="965">
      <c r="A965" s="264"/>
      <c r="B965" s="264"/>
      <c r="C965" s="264"/>
      <c r="D965" s="264"/>
      <c r="E965" s="264"/>
      <c r="F965" s="264"/>
      <c r="G965" s="264"/>
      <c r="H965" s="264"/>
      <c r="I965" s="264"/>
      <c r="J965" s="264"/>
      <c r="K965" s="264"/>
      <c r="L965" s="264"/>
      <c r="M965" s="264"/>
      <c r="N965" s="264"/>
      <c r="O965" s="264"/>
      <c r="P965" s="264"/>
      <c r="Q965" s="264"/>
      <c r="R965" s="264"/>
      <c r="S965" s="264"/>
      <c r="T965" s="264"/>
      <c r="U965" s="264"/>
    </row>
    <row r="966">
      <c r="A966" s="264"/>
      <c r="B966" s="264"/>
      <c r="C966" s="264"/>
      <c r="D966" s="264"/>
      <c r="E966" s="264"/>
      <c r="F966" s="264"/>
      <c r="G966" s="264"/>
      <c r="H966" s="264"/>
      <c r="I966" s="264"/>
      <c r="J966" s="264"/>
      <c r="K966" s="264"/>
      <c r="L966" s="264"/>
      <c r="M966" s="264"/>
      <c r="N966" s="264"/>
      <c r="O966" s="264"/>
      <c r="P966" s="264"/>
      <c r="Q966" s="264"/>
      <c r="R966" s="264"/>
      <c r="S966" s="264"/>
      <c r="T966" s="264"/>
      <c r="U966" s="264"/>
    </row>
    <row r="967">
      <c r="A967" s="264"/>
      <c r="B967" s="264"/>
      <c r="C967" s="264"/>
      <c r="D967" s="264"/>
      <c r="E967" s="264"/>
      <c r="F967" s="264"/>
      <c r="G967" s="264"/>
      <c r="H967" s="264"/>
      <c r="I967" s="264"/>
      <c r="J967" s="264"/>
      <c r="K967" s="264"/>
      <c r="L967" s="264"/>
      <c r="M967" s="264"/>
      <c r="N967" s="264"/>
      <c r="O967" s="264"/>
      <c r="P967" s="264"/>
      <c r="Q967" s="264"/>
      <c r="R967" s="264"/>
      <c r="S967" s="264"/>
      <c r="T967" s="264"/>
      <c r="U967" s="264"/>
    </row>
    <row r="968">
      <c r="A968" s="264"/>
      <c r="B968" s="264"/>
      <c r="C968" s="264"/>
      <c r="D968" s="264"/>
      <c r="E968" s="264"/>
      <c r="F968" s="264"/>
      <c r="G968" s="264"/>
      <c r="H968" s="264"/>
      <c r="I968" s="264"/>
      <c r="J968" s="264"/>
      <c r="K968" s="264"/>
      <c r="L968" s="264"/>
      <c r="M968" s="264"/>
      <c r="N968" s="264"/>
      <c r="O968" s="264"/>
      <c r="P968" s="264"/>
      <c r="Q968" s="264"/>
      <c r="R968" s="264"/>
      <c r="S968" s="264"/>
      <c r="T968" s="264"/>
      <c r="U968" s="264"/>
    </row>
    <row r="969">
      <c r="A969" s="264"/>
      <c r="B969" s="264"/>
      <c r="C969" s="264"/>
      <c r="D969" s="264"/>
      <c r="E969" s="264"/>
      <c r="F969" s="264"/>
      <c r="G969" s="264"/>
      <c r="H969" s="264"/>
      <c r="I969" s="264"/>
      <c r="J969" s="264"/>
      <c r="K969" s="264"/>
      <c r="L969" s="264"/>
      <c r="M969" s="264"/>
      <c r="N969" s="264"/>
      <c r="O969" s="264"/>
      <c r="P969" s="264"/>
      <c r="Q969" s="264"/>
      <c r="R969" s="264"/>
      <c r="S969" s="264"/>
      <c r="T969" s="264"/>
      <c r="U969" s="264"/>
    </row>
    <row r="970">
      <c r="A970" s="264"/>
      <c r="B970" s="264"/>
      <c r="C970" s="264"/>
      <c r="D970" s="264"/>
      <c r="E970" s="264"/>
      <c r="F970" s="264"/>
      <c r="G970" s="264"/>
      <c r="H970" s="264"/>
      <c r="I970" s="264"/>
      <c r="J970" s="264"/>
      <c r="K970" s="264"/>
      <c r="L970" s="264"/>
      <c r="M970" s="264"/>
      <c r="N970" s="264"/>
      <c r="O970" s="264"/>
      <c r="P970" s="264"/>
      <c r="Q970" s="264"/>
      <c r="R970" s="264"/>
      <c r="S970" s="264"/>
      <c r="T970" s="264"/>
      <c r="U970" s="264"/>
    </row>
    <row r="971">
      <c r="A971" s="264"/>
      <c r="B971" s="264"/>
      <c r="C971" s="264"/>
      <c r="D971" s="264"/>
      <c r="E971" s="264"/>
      <c r="F971" s="264"/>
      <c r="G971" s="264"/>
      <c r="H971" s="264"/>
      <c r="I971" s="264"/>
      <c r="J971" s="264"/>
      <c r="K971" s="264"/>
      <c r="L971" s="264"/>
      <c r="M971" s="264"/>
      <c r="N971" s="264"/>
      <c r="O971" s="264"/>
      <c r="P971" s="264"/>
      <c r="Q971" s="264"/>
      <c r="R971" s="264"/>
      <c r="S971" s="264"/>
      <c r="T971" s="264"/>
      <c r="U971" s="264"/>
    </row>
    <row r="972">
      <c r="A972" s="264"/>
      <c r="B972" s="264"/>
      <c r="C972" s="264"/>
      <c r="D972" s="264"/>
      <c r="E972" s="264"/>
      <c r="F972" s="264"/>
      <c r="G972" s="264"/>
      <c r="H972" s="264"/>
      <c r="I972" s="264"/>
      <c r="J972" s="264"/>
      <c r="K972" s="264"/>
      <c r="L972" s="264"/>
      <c r="M972" s="264"/>
      <c r="N972" s="264"/>
      <c r="O972" s="264"/>
      <c r="P972" s="264"/>
      <c r="Q972" s="264"/>
      <c r="R972" s="264"/>
      <c r="S972" s="264"/>
      <c r="T972" s="264"/>
      <c r="U972" s="264"/>
    </row>
    <row r="973">
      <c r="A973" s="264"/>
      <c r="B973" s="264"/>
      <c r="C973" s="264"/>
      <c r="D973" s="264"/>
      <c r="E973" s="264"/>
      <c r="F973" s="264"/>
      <c r="G973" s="264"/>
      <c r="H973" s="264"/>
      <c r="I973" s="264"/>
      <c r="J973" s="264"/>
      <c r="K973" s="264"/>
      <c r="L973" s="264"/>
      <c r="M973" s="264"/>
      <c r="N973" s="264"/>
      <c r="O973" s="264"/>
      <c r="P973" s="264"/>
      <c r="Q973" s="264"/>
      <c r="R973" s="264"/>
      <c r="S973" s="264"/>
      <c r="T973" s="264"/>
      <c r="U973" s="264"/>
    </row>
    <row r="974">
      <c r="A974" s="264"/>
      <c r="B974" s="264"/>
      <c r="C974" s="264"/>
      <c r="D974" s="264"/>
      <c r="E974" s="264"/>
      <c r="F974" s="264"/>
      <c r="G974" s="264"/>
      <c r="H974" s="264"/>
      <c r="I974" s="264"/>
      <c r="J974" s="264"/>
      <c r="K974" s="264"/>
      <c r="L974" s="264"/>
      <c r="M974" s="264"/>
      <c r="N974" s="264"/>
      <c r="O974" s="264"/>
      <c r="P974" s="264"/>
      <c r="Q974" s="264"/>
      <c r="R974" s="264"/>
      <c r="S974" s="264"/>
      <c r="T974" s="264"/>
      <c r="U974" s="264"/>
    </row>
    <row r="975">
      <c r="A975" s="264"/>
      <c r="B975" s="264"/>
      <c r="C975" s="264"/>
      <c r="D975" s="264"/>
      <c r="E975" s="264"/>
      <c r="F975" s="264"/>
      <c r="G975" s="264"/>
      <c r="H975" s="264"/>
      <c r="I975" s="264"/>
      <c r="J975" s="264"/>
      <c r="K975" s="264"/>
      <c r="L975" s="264"/>
      <c r="M975" s="264"/>
      <c r="N975" s="264"/>
      <c r="O975" s="264"/>
      <c r="P975" s="264"/>
      <c r="Q975" s="264"/>
      <c r="R975" s="264"/>
      <c r="S975" s="264"/>
      <c r="T975" s="264"/>
      <c r="U975" s="264"/>
    </row>
    <row r="976">
      <c r="A976" s="264"/>
      <c r="B976" s="264"/>
      <c r="C976" s="264"/>
      <c r="D976" s="264"/>
      <c r="E976" s="264"/>
      <c r="F976" s="264"/>
      <c r="G976" s="264"/>
      <c r="H976" s="264"/>
      <c r="I976" s="264"/>
      <c r="J976" s="264"/>
      <c r="K976" s="264"/>
      <c r="L976" s="264"/>
      <c r="M976" s="264"/>
      <c r="N976" s="264"/>
      <c r="O976" s="264"/>
      <c r="P976" s="264"/>
      <c r="Q976" s="264"/>
      <c r="R976" s="264"/>
      <c r="S976" s="264"/>
      <c r="T976" s="264"/>
      <c r="U976" s="264"/>
    </row>
    <row r="977">
      <c r="A977" s="264"/>
      <c r="B977" s="264"/>
      <c r="C977" s="264"/>
      <c r="D977" s="264"/>
      <c r="E977" s="264"/>
      <c r="F977" s="264"/>
      <c r="G977" s="264"/>
      <c r="H977" s="264"/>
      <c r="I977" s="264"/>
      <c r="J977" s="264"/>
      <c r="K977" s="264"/>
      <c r="L977" s="264"/>
      <c r="M977" s="264"/>
      <c r="N977" s="264"/>
      <c r="O977" s="264"/>
      <c r="P977" s="264"/>
      <c r="Q977" s="264"/>
      <c r="R977" s="264"/>
      <c r="S977" s="264"/>
      <c r="T977" s="264"/>
      <c r="U977" s="264"/>
    </row>
    <row r="978">
      <c r="A978" s="264"/>
      <c r="B978" s="264"/>
      <c r="C978" s="264"/>
      <c r="D978" s="264"/>
      <c r="E978" s="264"/>
      <c r="F978" s="264"/>
      <c r="G978" s="264"/>
      <c r="H978" s="264"/>
      <c r="I978" s="264"/>
      <c r="J978" s="264"/>
      <c r="K978" s="264"/>
      <c r="L978" s="264"/>
      <c r="M978" s="264"/>
      <c r="N978" s="264"/>
      <c r="O978" s="264"/>
      <c r="P978" s="264"/>
      <c r="Q978" s="264"/>
      <c r="R978" s="264"/>
      <c r="S978" s="264"/>
      <c r="T978" s="264"/>
      <c r="U978" s="264"/>
    </row>
    <row r="979">
      <c r="A979" s="264"/>
      <c r="B979" s="264"/>
      <c r="C979" s="264"/>
      <c r="D979" s="264"/>
      <c r="E979" s="264"/>
      <c r="F979" s="264"/>
      <c r="G979" s="264"/>
      <c r="H979" s="264"/>
      <c r="I979" s="264"/>
      <c r="J979" s="264"/>
      <c r="K979" s="264"/>
      <c r="L979" s="264"/>
      <c r="M979" s="264"/>
      <c r="N979" s="264"/>
      <c r="O979" s="264"/>
      <c r="P979" s="264"/>
      <c r="Q979" s="264"/>
      <c r="R979" s="264"/>
      <c r="S979" s="264"/>
      <c r="T979" s="264"/>
      <c r="U979" s="264"/>
    </row>
    <row r="980">
      <c r="A980" s="264"/>
      <c r="B980" s="264"/>
      <c r="C980" s="264"/>
      <c r="D980" s="264"/>
      <c r="E980" s="264"/>
      <c r="F980" s="264"/>
      <c r="G980" s="264"/>
      <c r="H980" s="264"/>
      <c r="I980" s="264"/>
      <c r="J980" s="264"/>
      <c r="K980" s="264"/>
      <c r="L980" s="264"/>
      <c r="M980" s="264"/>
      <c r="N980" s="264"/>
      <c r="O980" s="264"/>
      <c r="P980" s="264"/>
      <c r="Q980" s="264"/>
      <c r="R980" s="264"/>
      <c r="S980" s="264"/>
      <c r="T980" s="264"/>
      <c r="U980" s="264"/>
    </row>
    <row r="981">
      <c r="A981" s="264"/>
      <c r="B981" s="264"/>
      <c r="C981" s="264"/>
      <c r="D981" s="264"/>
      <c r="E981" s="264"/>
      <c r="F981" s="264"/>
      <c r="G981" s="264"/>
      <c r="H981" s="264"/>
      <c r="I981" s="264"/>
      <c r="J981" s="264"/>
      <c r="K981" s="264"/>
      <c r="L981" s="264"/>
      <c r="M981" s="264"/>
      <c r="N981" s="264"/>
      <c r="O981" s="264"/>
      <c r="P981" s="264"/>
      <c r="Q981" s="264"/>
      <c r="R981" s="264"/>
      <c r="S981" s="264"/>
      <c r="T981" s="264"/>
      <c r="U981" s="264"/>
    </row>
    <row r="982">
      <c r="A982" s="264"/>
      <c r="B982" s="264"/>
      <c r="C982" s="264"/>
      <c r="D982" s="264"/>
      <c r="E982" s="264"/>
      <c r="F982" s="264"/>
      <c r="G982" s="264"/>
      <c r="H982" s="264"/>
      <c r="I982" s="264"/>
      <c r="J982" s="264"/>
      <c r="K982" s="264"/>
      <c r="L982" s="264"/>
      <c r="M982" s="264"/>
      <c r="N982" s="264"/>
      <c r="O982" s="264"/>
      <c r="P982" s="264"/>
      <c r="Q982" s="264"/>
      <c r="R982" s="264"/>
      <c r="S982" s="264"/>
      <c r="T982" s="264"/>
      <c r="U982" s="264"/>
    </row>
    <row r="983">
      <c r="A983" s="264"/>
      <c r="B983" s="264"/>
      <c r="C983" s="264"/>
      <c r="D983" s="264"/>
      <c r="E983" s="264"/>
      <c r="F983" s="264"/>
      <c r="G983" s="264"/>
      <c r="H983" s="264"/>
      <c r="I983" s="264"/>
      <c r="J983" s="264"/>
      <c r="K983" s="264"/>
      <c r="L983" s="264"/>
      <c r="M983" s="264"/>
      <c r="N983" s="264"/>
      <c r="O983" s="264"/>
      <c r="P983" s="264"/>
      <c r="Q983" s="264"/>
      <c r="R983" s="264"/>
      <c r="S983" s="264"/>
      <c r="T983" s="264"/>
      <c r="U983" s="264"/>
    </row>
    <row r="984">
      <c r="A984" s="264"/>
      <c r="B984" s="264"/>
      <c r="C984" s="264"/>
      <c r="D984" s="264"/>
      <c r="E984" s="264"/>
      <c r="F984" s="264"/>
      <c r="G984" s="264"/>
      <c r="H984" s="264"/>
      <c r="I984" s="264"/>
      <c r="J984" s="264"/>
      <c r="K984" s="264"/>
      <c r="L984" s="264"/>
      <c r="M984" s="264"/>
      <c r="N984" s="264"/>
      <c r="O984" s="264"/>
      <c r="P984" s="264"/>
      <c r="Q984" s="264"/>
      <c r="R984" s="264"/>
      <c r="S984" s="264"/>
      <c r="T984" s="264"/>
      <c r="U984" s="264"/>
    </row>
    <row r="985">
      <c r="A985" s="264"/>
      <c r="B985" s="264"/>
      <c r="C985" s="264"/>
      <c r="D985" s="264"/>
      <c r="E985" s="264"/>
      <c r="F985" s="264"/>
      <c r="G985" s="264"/>
      <c r="H985" s="264"/>
      <c r="I985" s="264"/>
      <c r="J985" s="264"/>
      <c r="K985" s="264"/>
      <c r="L985" s="264"/>
      <c r="M985" s="264"/>
      <c r="N985" s="264"/>
      <c r="O985" s="264"/>
      <c r="P985" s="264"/>
      <c r="Q985" s="264"/>
      <c r="R985" s="264"/>
      <c r="S985" s="264"/>
      <c r="T985" s="264"/>
      <c r="U985" s="264"/>
    </row>
    <row r="986">
      <c r="A986" s="264"/>
      <c r="B986" s="264"/>
      <c r="C986" s="264"/>
      <c r="D986" s="264"/>
      <c r="E986" s="264"/>
      <c r="F986" s="264"/>
      <c r="G986" s="264"/>
      <c r="H986" s="264"/>
      <c r="I986" s="264"/>
      <c r="J986" s="264"/>
      <c r="K986" s="264"/>
      <c r="L986" s="264"/>
      <c r="M986" s="264"/>
      <c r="N986" s="264"/>
      <c r="O986" s="264"/>
      <c r="P986" s="264"/>
      <c r="Q986" s="264"/>
      <c r="R986" s="264"/>
      <c r="S986" s="264"/>
      <c r="T986" s="264"/>
      <c r="U986" s="264"/>
    </row>
    <row r="987">
      <c r="A987" s="264"/>
      <c r="B987" s="264"/>
      <c r="C987" s="264"/>
      <c r="D987" s="264"/>
      <c r="E987" s="264"/>
      <c r="F987" s="264"/>
      <c r="G987" s="264"/>
      <c r="H987" s="264"/>
      <c r="I987" s="264"/>
      <c r="J987" s="264"/>
      <c r="K987" s="264"/>
      <c r="L987" s="264"/>
      <c r="M987" s="264"/>
      <c r="N987" s="264"/>
      <c r="O987" s="264"/>
      <c r="P987" s="264"/>
      <c r="Q987" s="264"/>
      <c r="R987" s="264"/>
      <c r="S987" s="264"/>
      <c r="T987" s="264"/>
      <c r="U987" s="264"/>
    </row>
    <row r="988">
      <c r="A988" s="264"/>
      <c r="B988" s="264"/>
      <c r="C988" s="264"/>
      <c r="D988" s="264"/>
      <c r="E988" s="264"/>
      <c r="F988" s="264"/>
      <c r="G988" s="264"/>
      <c r="H988" s="264"/>
      <c r="I988" s="264"/>
      <c r="J988" s="264"/>
      <c r="K988" s="264"/>
      <c r="L988" s="264"/>
      <c r="M988" s="264"/>
      <c r="N988" s="264"/>
      <c r="O988" s="264"/>
      <c r="P988" s="264"/>
      <c r="Q988" s="264"/>
      <c r="R988" s="264"/>
      <c r="S988" s="264"/>
      <c r="T988" s="264"/>
      <c r="U988" s="264"/>
    </row>
    <row r="989">
      <c r="A989" s="264"/>
      <c r="B989" s="264"/>
      <c r="C989" s="264"/>
      <c r="D989" s="264"/>
      <c r="E989" s="264"/>
      <c r="F989" s="264"/>
      <c r="G989" s="264"/>
      <c r="H989" s="264"/>
      <c r="I989" s="264"/>
      <c r="J989" s="264"/>
      <c r="K989" s="264"/>
      <c r="L989" s="264"/>
      <c r="M989" s="264"/>
      <c r="N989" s="264"/>
      <c r="O989" s="264"/>
      <c r="P989" s="264"/>
      <c r="Q989" s="264"/>
      <c r="R989" s="264"/>
      <c r="S989" s="264"/>
      <c r="T989" s="264"/>
      <c r="U989" s="264"/>
    </row>
    <row r="990">
      <c r="A990" s="264"/>
      <c r="B990" s="264"/>
      <c r="C990" s="264"/>
      <c r="D990" s="264"/>
      <c r="E990" s="264"/>
      <c r="F990" s="264"/>
      <c r="G990" s="264"/>
      <c r="H990" s="264"/>
      <c r="I990" s="264"/>
      <c r="J990" s="264"/>
      <c r="K990" s="264"/>
      <c r="L990" s="264"/>
      <c r="M990" s="264"/>
      <c r="N990" s="264"/>
      <c r="O990" s="264"/>
      <c r="P990" s="264"/>
      <c r="Q990" s="264"/>
      <c r="R990" s="264"/>
      <c r="S990" s="264"/>
      <c r="T990" s="264"/>
      <c r="U990" s="264"/>
    </row>
    <row r="991">
      <c r="A991" s="264"/>
      <c r="B991" s="264"/>
      <c r="C991" s="264"/>
      <c r="D991" s="264"/>
      <c r="E991" s="264"/>
      <c r="F991" s="264"/>
      <c r="G991" s="264"/>
      <c r="H991" s="264"/>
      <c r="I991" s="264"/>
      <c r="J991" s="264"/>
      <c r="K991" s="264"/>
      <c r="L991" s="264"/>
      <c r="M991" s="264"/>
      <c r="N991" s="264"/>
      <c r="O991" s="264"/>
      <c r="P991" s="264"/>
      <c r="Q991" s="264"/>
      <c r="R991" s="264"/>
      <c r="S991" s="264"/>
      <c r="T991" s="264"/>
      <c r="U991" s="264"/>
    </row>
    <row r="992">
      <c r="A992" s="264"/>
      <c r="B992" s="264"/>
      <c r="C992" s="264"/>
      <c r="D992" s="264"/>
      <c r="E992" s="264"/>
      <c r="F992" s="264"/>
      <c r="G992" s="264"/>
      <c r="H992" s="264"/>
      <c r="I992" s="264"/>
      <c r="J992" s="264"/>
      <c r="K992" s="264"/>
      <c r="L992" s="264"/>
      <c r="M992" s="264"/>
      <c r="N992" s="264"/>
      <c r="O992" s="264"/>
      <c r="P992" s="264"/>
      <c r="Q992" s="264"/>
      <c r="R992" s="264"/>
      <c r="S992" s="264"/>
      <c r="T992" s="264"/>
      <c r="U992" s="264"/>
    </row>
    <row r="993">
      <c r="A993" s="264"/>
      <c r="B993" s="264"/>
      <c r="C993" s="264"/>
      <c r="D993" s="264"/>
      <c r="E993" s="264"/>
      <c r="F993" s="264"/>
      <c r="G993" s="264"/>
      <c r="H993" s="264"/>
      <c r="I993" s="264"/>
      <c r="J993" s="264"/>
      <c r="K993" s="264"/>
      <c r="L993" s="264"/>
      <c r="M993" s="264"/>
      <c r="N993" s="264"/>
      <c r="O993" s="264"/>
      <c r="P993" s="264"/>
      <c r="Q993" s="264"/>
      <c r="R993" s="264"/>
      <c r="S993" s="264"/>
      <c r="T993" s="264"/>
      <c r="U993" s="264"/>
    </row>
    <row r="994">
      <c r="A994" s="264"/>
      <c r="B994" s="264"/>
      <c r="C994" s="264"/>
      <c r="D994" s="264"/>
      <c r="E994" s="264"/>
      <c r="F994" s="264"/>
      <c r="G994" s="264"/>
      <c r="H994" s="264"/>
      <c r="I994" s="264"/>
      <c r="J994" s="264"/>
      <c r="K994" s="264"/>
      <c r="L994" s="264"/>
      <c r="M994" s="264"/>
      <c r="N994" s="264"/>
      <c r="O994" s="264"/>
      <c r="P994" s="264"/>
      <c r="Q994" s="264"/>
      <c r="R994" s="264"/>
      <c r="S994" s="264"/>
      <c r="T994" s="264"/>
      <c r="U994" s="264"/>
    </row>
    <row r="995">
      <c r="A995" s="264"/>
      <c r="B995" s="264"/>
      <c r="C995" s="264"/>
      <c r="D995" s="264"/>
      <c r="E995" s="264"/>
      <c r="F995" s="264"/>
      <c r="G995" s="264"/>
      <c r="H995" s="264"/>
      <c r="I995" s="264"/>
      <c r="J995" s="264"/>
      <c r="K995" s="264"/>
      <c r="L995" s="264"/>
      <c r="M995" s="264"/>
      <c r="N995" s="264"/>
      <c r="O995" s="264"/>
      <c r="P995" s="264"/>
      <c r="Q995" s="264"/>
      <c r="R995" s="264"/>
      <c r="S995" s="264"/>
      <c r="T995" s="264"/>
      <c r="U995" s="264"/>
    </row>
    <row r="996">
      <c r="A996" s="264"/>
      <c r="B996" s="264"/>
      <c r="C996" s="264"/>
      <c r="D996" s="264"/>
      <c r="E996" s="264"/>
      <c r="F996" s="264"/>
      <c r="G996" s="264"/>
      <c r="H996" s="264"/>
      <c r="I996" s="264"/>
      <c r="J996" s="264"/>
      <c r="K996" s="264"/>
      <c r="L996" s="264"/>
      <c r="M996" s="264"/>
      <c r="N996" s="264"/>
      <c r="O996" s="264"/>
      <c r="P996" s="264"/>
      <c r="Q996" s="264"/>
      <c r="R996" s="264"/>
      <c r="S996" s="264"/>
      <c r="T996" s="264"/>
      <c r="U996" s="264"/>
    </row>
    <row r="997">
      <c r="A997" s="264"/>
      <c r="B997" s="264"/>
      <c r="C997" s="264"/>
      <c r="D997" s="264"/>
      <c r="E997" s="264"/>
      <c r="F997" s="264"/>
      <c r="G997" s="264"/>
      <c r="H997" s="264"/>
      <c r="I997" s="264"/>
      <c r="J997" s="264"/>
      <c r="K997" s="264"/>
      <c r="L997" s="264"/>
      <c r="M997" s="264"/>
      <c r="N997" s="264"/>
      <c r="O997" s="264"/>
      <c r="P997" s="264"/>
      <c r="Q997" s="264"/>
      <c r="R997" s="264"/>
      <c r="S997" s="264"/>
      <c r="T997" s="264"/>
      <c r="U997" s="264"/>
    </row>
    <row r="998">
      <c r="A998" s="264"/>
      <c r="B998" s="264"/>
      <c r="C998" s="264"/>
      <c r="D998" s="264"/>
      <c r="E998" s="264"/>
      <c r="F998" s="264"/>
      <c r="G998" s="264"/>
      <c r="H998" s="264"/>
      <c r="I998" s="264"/>
      <c r="J998" s="264"/>
      <c r="K998" s="264"/>
      <c r="L998" s="264"/>
      <c r="M998" s="264"/>
      <c r="N998" s="264"/>
      <c r="O998" s="264"/>
      <c r="P998" s="264"/>
      <c r="Q998" s="264"/>
      <c r="R998" s="264"/>
      <c r="S998" s="264"/>
      <c r="T998" s="264"/>
      <c r="U998" s="264"/>
    </row>
    <row r="999">
      <c r="A999" s="264"/>
      <c r="B999" s="264"/>
      <c r="C999" s="264"/>
      <c r="D999" s="264"/>
      <c r="E999" s="264"/>
      <c r="F999" s="264"/>
      <c r="G999" s="264"/>
      <c r="H999" s="264"/>
      <c r="I999" s="264"/>
      <c r="J999" s="264"/>
      <c r="K999" s="264"/>
      <c r="L999" s="264"/>
      <c r="M999" s="264"/>
      <c r="N999" s="264"/>
      <c r="O999" s="264"/>
      <c r="P999" s="264"/>
      <c r="Q999" s="264"/>
      <c r="R999" s="264"/>
      <c r="S999" s="264"/>
      <c r="T999" s="264"/>
      <c r="U999" s="264"/>
    </row>
    <row r="1000">
      <c r="A1000" s="264"/>
      <c r="B1000" s="264"/>
      <c r="C1000" s="264"/>
      <c r="D1000" s="264"/>
      <c r="E1000" s="264"/>
      <c r="F1000" s="264"/>
      <c r="G1000" s="264"/>
      <c r="H1000" s="264"/>
      <c r="I1000" s="264"/>
      <c r="J1000" s="264"/>
      <c r="K1000" s="264"/>
      <c r="L1000" s="264"/>
      <c r="M1000" s="264"/>
      <c r="N1000" s="264"/>
      <c r="O1000" s="264"/>
      <c r="P1000" s="264"/>
      <c r="Q1000" s="264"/>
      <c r="R1000" s="264"/>
      <c r="S1000" s="264"/>
      <c r="T1000" s="264"/>
      <c r="U1000" s="264"/>
    </row>
  </sheetData>
  <autoFilter ref="$A$1:$L$98">
    <filterColumn colId="0">
      <filters>
        <filter val="38 / D16"/>
        <filter val="2 / D1"/>
        <filter val="3 / D2"/>
        <filter val="92"/>
        <filter val="42 / D20"/>
        <filter val="93"/>
        <filter val="45 / D23"/>
        <filter val="48 / D26"/>
        <filter val="12"/>
        <filter val="14"/>
        <filter val="15"/>
        <filter val="16"/>
        <filter val="18 / D9"/>
        <filter val="19"/>
        <filter val="87 / D32"/>
        <filter val="1"/>
        <filter val="25 / D12"/>
        <filter val="5"/>
        <filter val="7"/>
        <filter val="8"/>
        <filter val="9"/>
        <filter val="20"/>
        <filter val="22"/>
        <filter val="23"/>
        <filter val="26"/>
        <filter val="28"/>
        <filter val="29"/>
        <filter val="6 / D4"/>
        <filter val="36 / D15"/>
        <filter val="91 / D36"/>
        <filter val="30"/>
        <filter val="31"/>
        <filter val="33"/>
        <filter val="34"/>
        <filter val="35"/>
        <filter val="85 / D31"/>
        <filter val="90 / D35"/>
        <filter val="37"/>
        <filter val="51 / D27"/>
        <filter val="24 / D11"/>
        <filter val="17 / D8"/>
        <filter val="40 / D18"/>
        <filter val="46"/>
        <filter val="47"/>
        <filter val="11 / D6"/>
        <filter val="49"/>
        <filter val="D25"/>
        <filter val="D24"/>
        <filter val="89 / D34"/>
        <filter val="41 / D19"/>
        <filter val="50"/>
        <filter val="21 / D10"/>
        <filter val="52"/>
        <filter val="53"/>
        <filter val="54"/>
        <filter val="55"/>
        <filter val="56"/>
        <filter val="57"/>
        <filter val="58"/>
        <filter val="59"/>
        <filter val="61 / D29"/>
        <filter val="10 / D5"/>
        <filter val="44 / D22"/>
        <filter val="13 / D7"/>
        <filter val="62"/>
        <filter val="63"/>
        <filter val="64"/>
        <filter val="65"/>
        <filter val="66"/>
        <filter val="67"/>
        <filter val="68"/>
        <filter val="88 / D33"/>
        <filter val="94 / D37"/>
        <filter val="60 / D28"/>
        <filter val="71"/>
        <filter val="72"/>
        <filter val="73"/>
        <filter val="74"/>
        <filter val="75"/>
        <filter val="39 / D17"/>
        <filter val="76"/>
        <filter val="77"/>
        <filter val="32 / D14"/>
        <filter val="78"/>
        <filter val="79"/>
        <filter val="70 / D30"/>
        <filter val="27 / D13"/>
        <filter val="43 / D21"/>
        <filter val="4 / D3"/>
        <filter val="80"/>
        <filter val="81"/>
        <filter val="82"/>
        <filter val="83"/>
        <filter val="84"/>
        <filter val="86"/>
      </filters>
    </filterColumn>
  </autoFilter>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9.43"/>
    <col customWidth="1" min="2" max="2" width="13.0"/>
    <col customWidth="1" min="3" max="3" width="12.14"/>
    <col customWidth="1" min="4" max="4" width="17.43"/>
    <col customWidth="1" min="5" max="5" width="12.29"/>
    <col customWidth="1" min="6" max="7" width="11.71"/>
    <col customWidth="1" min="8" max="8" width="22.29"/>
    <col customWidth="1" min="9" max="9" width="6.0"/>
    <col customWidth="1" min="10" max="10" width="7.86"/>
    <col customWidth="1" min="11" max="11" width="11.29"/>
    <col customWidth="1" min="12" max="12" width="8.29"/>
    <col customWidth="1" min="13" max="13" width="6.71"/>
  </cols>
  <sheetData>
    <row r="1" ht="28.5" customHeight="1">
      <c r="A1" s="228" t="str">
        <f>Raw!A1</f>
        <v>Reference</v>
      </c>
      <c r="B1" s="229" t="str">
        <f>Raw!B1</f>
        <v>Name</v>
      </c>
      <c r="C1" s="229" t="str">
        <f>Raw!I1</f>
        <v>Furnace Type</v>
      </c>
      <c r="D1" s="229" t="str">
        <f>Raw!J1</f>
        <v>Construction</v>
      </c>
      <c r="E1" s="229" t="str">
        <f>Raw!AO1</f>
        <v>Tuyere Above Base (cm)</v>
      </c>
      <c r="F1" s="229" t="str">
        <f>Display_All!O1</f>
        <v>Stack Ht (cm)</v>
      </c>
      <c r="G1" s="229" t="str">
        <f>Display_All!AC1</f>
        <v>Air Volume Avg (L/min)</v>
      </c>
      <c r="H1" s="229" t="str">
        <f>Display_All!AE1</f>
        <v>Ore Type</v>
      </c>
      <c r="I1" s="229" t="str">
        <f>Display_All!AH1</f>
        <v>Fe %</v>
      </c>
      <c r="J1" s="229" t="str">
        <f>Display_All!AG1</f>
        <v>Total Ore (Kg)</v>
      </c>
      <c r="K1" s="229" t="str">
        <f>Display_All!AU1</f>
        <v>Bloom Weight (Kg)</v>
      </c>
      <c r="L1" s="232" t="str">
        <f>Display_All!AW1</f>
        <v>Yield (%)</v>
      </c>
      <c r="M1" s="297" t="str">
        <f>Display_All!AX1</f>
        <v>Yield % Fe</v>
      </c>
      <c r="N1" s="211"/>
      <c r="O1" s="214" t="s">
        <v>1129</v>
      </c>
      <c r="P1" s="211"/>
      <c r="Q1" s="211"/>
      <c r="R1" s="211"/>
      <c r="S1" s="211"/>
      <c r="T1" s="211"/>
      <c r="U1" s="211"/>
      <c r="V1" s="211"/>
      <c r="W1" s="211"/>
      <c r="X1" s="211"/>
      <c r="Y1" s="211"/>
      <c r="Z1" s="211"/>
      <c r="AA1" s="211"/>
    </row>
    <row r="2">
      <c r="A2" s="238">
        <f t="array" ref="A2">xlookup(row()-1,Calcs!AO$2:AO$200,Raw!A$2:A$200,)</f>
        <v>1</v>
      </c>
      <c r="B2" s="239" t="str">
        <f t="array" ref="B2">xlookup(row()-1,Calcs!AO$2:AO$200,Raw!B$2:B$200,)</f>
        <v>Vinland Theory</v>
      </c>
      <c r="C2" s="239" t="str">
        <f t="array" ref="C2">xlookup(row()-1,Calcs!AO$2:AO$200,Raw!I$2:I$200,)</f>
        <v>boxed bowl</v>
      </c>
      <c r="D2" s="239" t="str">
        <f t="array" ref="D2">xlookup(row()-1,Calcs!AO$2:AO$200,Raw!J$2:J$200,)</f>
        <v>stone slabs, clay seal</v>
      </c>
      <c r="E2" s="239">
        <f t="array" ref="E2">xlookup(row()-1,Calcs!AO$2:AO$200,Raw!AO$2:AO$200,)</f>
        <v>5</v>
      </c>
      <c r="F2" s="375">
        <f t="array" ref="F2">xlookup(row()-1,Calcs!AO$2:AO$200,Display_All!O$2:O$200,)</f>
        <v>42</v>
      </c>
      <c r="G2" s="239" t="str">
        <f t="array" ref="G2">xlookup(row()-1,Calcs!AO$2:AO$200,Display_All!AC$2:AC$200,)</f>
        <v>120 (E)</v>
      </c>
      <c r="H2" s="239" t="str">
        <f t="array" ref="H2">xlookup(row()-1,Calcs!AO$2:AO$200,Display_All!AE$2:AE$200,)</f>
        <v>L'AM Bog Ore</v>
      </c>
      <c r="I2" s="376">
        <f t="array" ref="I2">xlookup(row()-1,Calcs!AO$2:AO$200,Display_All!AH$2:AH$200,)</f>
        <v>0.6311660934</v>
      </c>
      <c r="J2" s="241">
        <f t="array" ref="J2">xlookup(row()-1,Calcs!AO$2:AO$200,Display_All!AG$2:AG$200,)</f>
        <v>1.5</v>
      </c>
      <c r="K2" s="241">
        <f t="array" ref="K2">xlookup(row()-1,Calcs!AO$2:AO$200,Display_All!AU$2:AU$200,)</f>
        <v>0.1</v>
      </c>
      <c r="L2" s="377">
        <f t="array" ref="L2">xlookup(row()-1,Calcs!AO$2:AO$200,Display_All!AW$2:AW$200,)</f>
        <v>0.06666666667</v>
      </c>
      <c r="M2" s="302">
        <f t="array" ref="M2">xlookup(row()-1,Calcs!AO$2:AO$200,Display_All!AX$2:AX$200,)</f>
        <v>0.1056246008</v>
      </c>
      <c r="O2" s="126">
        <f t="array" ref="O2">xlookup(row()-1,Calcs!AO$2:AO$200,Calcs!U$2:U$200,)</f>
        <v>120</v>
      </c>
    </row>
    <row r="3">
      <c r="A3" s="238" t="str">
        <f t="array" ref="A3">xlookup(row()-1,Calcs!AO$2:AO$200,Raw!A$2:A$200,)</f>
        <v>2 / D1</v>
      </c>
      <c r="B3" s="239" t="str">
        <f t="array" ref="B3">xlookup(row()-1,Calcs!AO$2:AO$200,Raw!B$2:B$200,)</f>
        <v>Vinland Theory</v>
      </c>
      <c r="C3" s="239" t="str">
        <f t="array" ref="C3">xlookup(row()-1,Calcs!AO$2:AO$200,Raw!I$2:I$200,)</f>
        <v>boxed bowl</v>
      </c>
      <c r="D3" s="239" t="str">
        <f t="array" ref="D3">xlookup(row()-1,Calcs!AO$2:AO$200,Raw!J$2:J$200,)</f>
        <v>stone slabs, clay seal</v>
      </c>
      <c r="E3" s="239" t="str">
        <f t="array" ref="E3">xlookup(row()-1,Calcs!AO$2:AO$200,Raw!AO$2:AO$200,)</f>
        <v>NR</v>
      </c>
      <c r="F3" s="328">
        <f t="array" ref="F3">xlookup(row()-1,Calcs!AO$2:AO$200,Display_All!O$2:O$200,)</f>
        <v>30</v>
      </c>
      <c r="G3" s="239" t="str">
        <f t="array" ref="G3">xlookup(row()-1,Calcs!AO$2:AO$200,Display_All!AC$2:AC$200,)</f>
        <v>100 (E)</v>
      </c>
      <c r="H3" s="239" t="str">
        <f t="array" ref="H3">xlookup(row()-1,Calcs!AO$2:AO$200,Display_All!AE$2:AE$200,)</f>
        <v>SLM</v>
      </c>
      <c r="I3" s="376">
        <f t="array" ref="I3">xlookup(row()-1,Calcs!AO$2:AO$200,Display_All!AH$2:AH$200,)</f>
        <v>0.5921444799</v>
      </c>
      <c r="J3" s="241">
        <f t="array" ref="J3">xlookup(row()-1,Calcs!AO$2:AO$200,Display_All!AG$2:AG$200,)</f>
        <v>6.2</v>
      </c>
      <c r="K3" s="241">
        <f t="array" ref="K3">xlookup(row()-1,Calcs!AO$2:AO$200,Display_All!AU$2:AU$200,)</f>
        <v>0</v>
      </c>
      <c r="L3" s="377" t="str">
        <f t="array" ref="L3">xlookup(row()-1,Calcs!AO$2:AO$200,Display_All!AW$2:AW$200,)</f>
        <v>na</v>
      </c>
      <c r="M3" s="278" t="str">
        <f t="array" ref="M3">xlookup(row()-1,Calcs!AO$2:AO$200,Display_All!AX$2:AX$200,)</f>
        <v>na</v>
      </c>
      <c r="O3" s="126">
        <f t="array" ref="O3">xlookup(row()-1,Calcs!AO$2:AO$200,Calcs!U$2:U$200,)</f>
        <v>100</v>
      </c>
    </row>
    <row r="4">
      <c r="A4" s="238" t="str">
        <f t="array" ref="A4">xlookup(row()-1,Calcs!AO$2:AO$200,Raw!A$2:A$200,)</f>
        <v>40 / D18</v>
      </c>
      <c r="B4" s="239" t="str">
        <f t="array" ref="B4">xlookup(row()-1,Calcs!AO$2:AO$200,Raw!B$2:B$200,)</f>
        <v>Vinland 1</v>
      </c>
      <c r="C4" s="239" t="str">
        <f t="array" ref="C4">xlookup(row()-1,Calcs!AO$2:AO$200,Raw!I$2:I$200,)</f>
        <v>short shaft</v>
      </c>
      <c r="D4" s="239" t="str">
        <f t="array" ref="D4">xlookup(row()-1,Calcs!AO$2:AO$200,Raw!J$2:J$200,)</f>
        <v>clay</v>
      </c>
      <c r="E4" s="239">
        <f t="array" ref="E4">xlookup(row()-1,Calcs!AO$2:AO$200,Raw!AO$2:AO$200,)</f>
        <v>17</v>
      </c>
      <c r="F4" s="328">
        <f t="array" ref="F4">xlookup(row()-1,Calcs!AO$2:AO$200,Display_All!O$2:O$200,)</f>
        <v>45</v>
      </c>
      <c r="G4" s="239" t="str">
        <f t="array" ref="G4">xlookup(row()-1,Calcs!AO$2:AO$200,Display_All!AC$2:AC$200,)</f>
        <v>640</v>
      </c>
      <c r="H4" s="239" t="str">
        <f t="array" ref="H4">xlookup(row()-1,Calcs!AO$2:AO$200,Display_All!AE$2:AE$200,)</f>
        <v>DD2S</v>
      </c>
      <c r="I4" s="376">
        <f t="array" ref="I4">xlookup(row()-1,Calcs!AO$2:AO$200,Display_All!AH$2:AH$200,)</f>
        <v>0.5720029607</v>
      </c>
      <c r="J4" s="241">
        <f t="array" ref="J4">xlookup(row()-1,Calcs!AO$2:AO$200,Display_All!AG$2:AG$200,)</f>
        <v>18</v>
      </c>
      <c r="K4" s="241">
        <f t="array" ref="K4">xlookup(row()-1,Calcs!AO$2:AO$200,Display_All!AU$2:AU$200,)</f>
        <v>4.9</v>
      </c>
      <c r="L4" s="377">
        <f t="array" ref="L4">xlookup(row()-1,Calcs!AO$2:AO$200,Display_All!AW$2:AW$200,)</f>
        <v>0.2722222222</v>
      </c>
      <c r="M4" s="302">
        <f t="array" ref="M4">xlookup(row()-1,Calcs!AO$2:AO$200,Display_All!AX$2:AX$200,)</f>
        <v>0.4759105126</v>
      </c>
      <c r="O4" s="126">
        <f t="array" ref="O4">xlookup(row()-1,Calcs!AO$2:AO$200,Calcs!U$2:U$200,)</f>
        <v>640</v>
      </c>
    </row>
    <row r="5">
      <c r="A5" s="238" t="str">
        <f t="array" ref="A5">xlookup(row()-1,Calcs!AO$2:AO$200,Raw!A$2:A$200,)</f>
        <v>41 / D19</v>
      </c>
      <c r="B5" s="239" t="str">
        <f t="array" ref="B5">xlookup(row()-1,Calcs!AO$2:AO$200,Raw!B$2:B$200,)</f>
        <v>Vinland 2</v>
      </c>
      <c r="C5" s="239" t="str">
        <f t="array" ref="C5">xlookup(row()-1,Calcs!AO$2:AO$200,Raw!I$2:I$200,)</f>
        <v>short shaft</v>
      </c>
      <c r="D5" s="239" t="str">
        <f t="array" ref="D5">xlookup(row()-1,Calcs!AO$2:AO$200,Raw!J$2:J$200,)</f>
        <v>clay block &amp; fire brick</v>
      </c>
      <c r="E5" s="239">
        <f t="array" ref="E5">xlookup(row()-1,Calcs!AO$2:AO$200,Raw!AO$2:AO$200,)</f>
        <v>14</v>
      </c>
      <c r="F5" s="328">
        <f t="array" ref="F5">xlookup(row()-1,Calcs!AO$2:AO$200,Display_All!O$2:O$200,)</f>
        <v>48</v>
      </c>
      <c r="G5" s="239" t="str">
        <f t="array" ref="G5">xlookup(row()-1,Calcs!AO$2:AO$200,Display_All!AC$2:AC$200,)</f>
        <v>900 (E)</v>
      </c>
      <c r="H5" s="239" t="str">
        <f t="array" ref="H5">xlookup(row()-1,Calcs!AO$2:AO$200,Display_All!AE$2:AE$200,)</f>
        <v>Opta Hematite/DD1S/DD2S</v>
      </c>
      <c r="I5" s="376">
        <f t="array" ref="I5">xlookup(row()-1,Calcs!AO$2:AO$200,Display_All!AH$2:AH$200,)</f>
        <v>0.60663879</v>
      </c>
      <c r="J5" s="241">
        <f t="array" ref="J5">xlookup(row()-1,Calcs!AO$2:AO$200,Display_All!AG$2:AG$200,)</f>
        <v>20.7</v>
      </c>
      <c r="K5" s="241">
        <f t="array" ref="K5">xlookup(row()-1,Calcs!AO$2:AO$200,Display_All!AU$2:AU$200,)</f>
        <v>5.6</v>
      </c>
      <c r="L5" s="377">
        <f t="array" ref="L5">xlookup(row()-1,Calcs!AO$2:AO$200,Display_All!AW$2:AW$200,)</f>
        <v>0.270531401</v>
      </c>
      <c r="M5" s="302">
        <f t="array" ref="M5">xlookup(row()-1,Calcs!AO$2:AO$200,Display_All!AX$2:AX$200,)</f>
        <v>0.4459513724</v>
      </c>
      <c r="O5" s="126">
        <f t="array" ref="O5">xlookup(row()-1,Calcs!AO$2:AO$200,Calcs!U$2:U$200,)</f>
        <v>900</v>
      </c>
    </row>
    <row r="6">
      <c r="A6" s="238" t="str">
        <f t="array" ref="A6">xlookup(row()-1,Calcs!AO$2:AO$200,Raw!A$2:A$200,)</f>
        <v>42 / D20</v>
      </c>
      <c r="B6" s="239" t="str">
        <f t="array" ref="B6">xlookup(row()-1,Calcs!AO$2:AO$200,Raw!B$2:B$200,)</f>
        <v>Vinland 3</v>
      </c>
      <c r="C6" s="239" t="str">
        <f t="array" ref="C6">xlookup(row()-1,Calcs!AO$2:AO$200,Raw!I$2:I$200,)</f>
        <v>short shaft</v>
      </c>
      <c r="D6" s="239" t="str">
        <f t="array" ref="D6">xlookup(row()-1,Calcs!AO$2:AO$200,Raw!J$2:J$200,)</f>
        <v>clay / sand</v>
      </c>
      <c r="E6" s="239">
        <f t="array" ref="E6">xlookup(row()-1,Calcs!AO$2:AO$200,Raw!AO$2:AO$200,)</f>
        <v>15</v>
      </c>
      <c r="F6" s="328">
        <f t="array" ref="F6">xlookup(row()-1,Calcs!AO$2:AO$200,Display_All!O$2:O$200,)</f>
        <v>40</v>
      </c>
      <c r="G6" s="239" t="str">
        <f t="array" ref="G6">xlookup(row()-1,Calcs!AO$2:AO$200,Display_All!AC$2:AC$200,)</f>
        <v>700 (E)</v>
      </c>
      <c r="H6" s="239" t="str">
        <f t="array" ref="H6">xlookup(row()-1,Calcs!AO$2:AO$200,Display_All!AE$2:AE$200,)</f>
        <v>DD2S</v>
      </c>
      <c r="I6" s="376">
        <f t="array" ref="I6">xlookup(row()-1,Calcs!AO$2:AO$200,Display_All!AH$2:AH$200,)</f>
        <v>0.5720029607</v>
      </c>
      <c r="J6" s="241">
        <f t="array" ref="J6">xlookup(row()-1,Calcs!AO$2:AO$200,Display_All!AG$2:AG$200,)</f>
        <v>18</v>
      </c>
      <c r="K6" s="241">
        <f t="array" ref="K6">xlookup(row()-1,Calcs!AO$2:AO$200,Display_All!AU$2:AU$200,)</f>
        <v>2.9</v>
      </c>
      <c r="L6" s="377">
        <f t="array" ref="L6">xlookup(row()-1,Calcs!AO$2:AO$200,Display_All!AW$2:AW$200,)</f>
        <v>0.1611111111</v>
      </c>
      <c r="M6" s="302">
        <f t="array" ref="M6">xlookup(row()-1,Calcs!AO$2:AO$200,Display_All!AX$2:AX$200,)</f>
        <v>0.2816613238</v>
      </c>
      <c r="O6" s="126">
        <f t="array" ref="O6">xlookup(row()-1,Calcs!AO$2:AO$200,Calcs!U$2:U$200,)</f>
        <v>700</v>
      </c>
    </row>
    <row r="7">
      <c r="A7" s="238" t="str">
        <f t="array" ref="A7">xlookup(row()-1,Calcs!AO$2:AO$200,Raw!A$2:A$200,)</f>
        <v>43 / D21</v>
      </c>
      <c r="B7" s="239" t="str">
        <f t="array" ref="B7">xlookup(row()-1,Calcs!AO$2:AO$200,Raw!B$2:B$200,)</f>
        <v>Vinland 4</v>
      </c>
      <c r="C7" s="239" t="str">
        <f t="array" ref="C7">xlookup(row()-1,Calcs!AO$2:AO$200,Raw!I$2:I$200,)</f>
        <v>short shaft</v>
      </c>
      <c r="D7" s="239" t="str">
        <f t="array" ref="D7">xlookup(row()-1,Calcs!AO$2:AO$200,Raw!J$2:J$200,)</f>
        <v>clay / sand</v>
      </c>
      <c r="E7" s="239">
        <f t="array" ref="E7">xlookup(row()-1,Calcs!AO$2:AO$200,Raw!AO$2:AO$200,)</f>
        <v>19</v>
      </c>
      <c r="F7" s="328">
        <f t="array" ref="F7">xlookup(row()-1,Calcs!AO$2:AO$200,Display_All!O$2:O$200,)</f>
        <v>48</v>
      </c>
      <c r="G7" s="239" t="str">
        <f t="array" ref="G7">xlookup(row()-1,Calcs!AO$2:AO$200,Display_All!AC$2:AC$200,)</f>
        <v>700 (E)</v>
      </c>
      <c r="H7" s="239" t="str">
        <f t="array" ref="H7">xlookup(row()-1,Calcs!AO$2:AO$200,Display_All!AE$2:AE$200,)</f>
        <v>DD1S/Opta Hematite</v>
      </c>
      <c r="I7" s="376">
        <f t="array" ref="I7">xlookup(row()-1,Calcs!AO$2:AO$200,Display_All!AH$2:AH$200,)</f>
        <v>0.5793816429</v>
      </c>
      <c r="J7" s="241">
        <f t="array" ref="J7">xlookup(row()-1,Calcs!AO$2:AO$200,Display_All!AG$2:AG$200,)</f>
        <v>20</v>
      </c>
      <c r="K7" s="241">
        <f t="array" ref="K7">xlookup(row()-1,Calcs!AO$2:AO$200,Display_All!AU$2:AU$200,)</f>
        <v>1.6</v>
      </c>
      <c r="L7" s="377">
        <f t="array" ref="L7">xlookup(row()-1,Calcs!AO$2:AO$200,Display_All!AW$2:AW$200,)</f>
        <v>0.08</v>
      </c>
      <c r="M7" s="302">
        <f t="array" ref="M7">xlookup(row()-1,Calcs!AO$2:AO$200,Display_All!AX$2:AX$200,)</f>
        <v>0.1380782443</v>
      </c>
      <c r="O7" s="126">
        <f t="array" ref="O7">xlookup(row()-1,Calcs!AO$2:AO$200,Calcs!U$2:U$200,)</f>
        <v>700</v>
      </c>
    </row>
    <row r="8">
      <c r="A8" s="238" t="str">
        <f t="array" ref="A8">xlookup(row()-1,Calcs!AO$2:AO$200,Raw!A$2:A$200,)</f>
        <v>44 / D22</v>
      </c>
      <c r="B8" s="239" t="str">
        <f t="array" ref="B8">xlookup(row()-1,Calcs!AO$2:AO$200,Raw!B$2:B$200,)</f>
        <v>Vinland 5 demo</v>
      </c>
      <c r="C8" s="239" t="str">
        <f t="array" ref="C8">xlookup(row()-1,Calcs!AO$2:AO$200,Raw!I$2:I$200,)</f>
        <v>short shaft</v>
      </c>
      <c r="D8" s="239" t="str">
        <f t="array" ref="D8">xlookup(row()-1,Calcs!AO$2:AO$200,Raw!J$2:J$200,)</f>
        <v>clay / sand</v>
      </c>
      <c r="E8" s="239">
        <f t="array" ref="E8">xlookup(row()-1,Calcs!AO$2:AO$200,Raw!AO$2:AO$200,)</f>
        <v>18</v>
      </c>
      <c r="F8" s="328">
        <f t="array" ref="F8">xlookup(row()-1,Calcs!AO$2:AO$200,Display_All!O$2:O$200,)</f>
        <v>45</v>
      </c>
      <c r="G8" s="239" t="str">
        <f t="array" ref="G8">xlookup(row()-1,Calcs!AO$2:AO$200,Display_All!AC$2:AC$200,)</f>
        <v>700 (E)</v>
      </c>
      <c r="H8" s="239" t="str">
        <f t="array" ref="H8">xlookup(row()-1,Calcs!AO$2:AO$200,Display_All!AE$2:AE$200,)</f>
        <v>DD2S</v>
      </c>
      <c r="I8" s="376">
        <f t="array" ref="I8">xlookup(row()-1,Calcs!AO$2:AO$200,Display_All!AH$2:AH$200,)</f>
        <v>0.5720029607</v>
      </c>
      <c r="J8" s="241">
        <f t="array" ref="J8">xlookup(row()-1,Calcs!AO$2:AO$200,Display_All!AG$2:AG$200,)</f>
        <v>20</v>
      </c>
      <c r="K8" s="241">
        <f t="array" ref="K8">xlookup(row()-1,Calcs!AO$2:AO$200,Display_All!AU$2:AU$200,)</f>
        <v>2.8</v>
      </c>
      <c r="L8" s="377">
        <f t="array" ref="L8">xlookup(row()-1,Calcs!AO$2:AO$200,Display_All!AW$2:AW$200,)</f>
        <v>0.14</v>
      </c>
      <c r="M8" s="302">
        <f t="array" ref="M8">xlookup(row()-1,Calcs!AO$2:AO$200,Display_All!AX$2:AX$200,)</f>
        <v>0.2447539779</v>
      </c>
      <c r="O8" s="126">
        <f t="array" ref="O8">xlookup(row()-1,Calcs!AO$2:AO$200,Calcs!U$2:U$200,)</f>
        <v>700</v>
      </c>
    </row>
    <row r="9">
      <c r="A9" s="378">
        <f t="array" ref="A9">xlookup(row()-1,Calcs!AO$2:AO$200,Raw!A$2:A$200,)</f>
        <v>74</v>
      </c>
      <c r="B9" s="379" t="str">
        <f t="array" ref="B9">xlookup(row()-1,Calcs!AO$2:AO$200,Raw!B$2:B$200,)</f>
        <v>Vinland 6</v>
      </c>
      <c r="C9" s="379" t="str">
        <f t="array" ref="C9">xlookup(row()-1,Calcs!AO$2:AO$200,Raw!I$2:I$200,)</f>
        <v>short shaft</v>
      </c>
      <c r="D9" s="379" t="str">
        <f t="array" ref="D9">xlookup(row()-1,Calcs!AO$2:AO$200,Raw!J$2:J$200,)</f>
        <v>NR clay, stick core</v>
      </c>
      <c r="E9" s="379">
        <f t="array" ref="E9">xlookup(row()-1,Calcs!AO$2:AO$200,Raw!AO$2:AO$200,)</f>
        <v>19</v>
      </c>
      <c r="F9" s="328">
        <f t="array" ref="F9">xlookup(row()-1,Calcs!AO$2:AO$200,Display_All!O$2:O$200,)</f>
        <v>42.5</v>
      </c>
      <c r="G9" s="379" t="str">
        <f t="array" ref="G9">xlookup(row()-1,Calcs!AO$2:AO$200,Display_All!AC$2:AC$200,)</f>
        <v>500</v>
      </c>
      <c r="H9" s="379" t="str">
        <f t="array" ref="H9">xlookup(row()-1,Calcs!AO$2:AO$200,Display_All!AE$2:AE$200,)</f>
        <v>DD1</v>
      </c>
      <c r="I9" s="380">
        <f t="array" ref="I9">xlookup(row()-1,Calcs!AO$2:AO$200,Display_All!AH$2:AH$200,)</f>
        <v>0.5482634678</v>
      </c>
      <c r="J9" s="381">
        <f t="array" ref="J9">xlookup(row()-1,Calcs!AO$2:AO$200,Display_All!AG$2:AG$200,)</f>
        <v>27.5</v>
      </c>
      <c r="K9" s="381">
        <f t="array" ref="K9">xlookup(row()-1,Calcs!AO$2:AO$200,Display_All!AU$2:AU$200,)</f>
        <v>5.5</v>
      </c>
      <c r="L9" s="382">
        <f t="array" ref="L9">xlookup(row()-1,Calcs!AO$2:AO$200,Display_All!AW$2:AW$200,)</f>
        <v>0.2</v>
      </c>
      <c r="M9" s="383">
        <f t="array" ref="M9">xlookup(row()-1,Calcs!AO$2:AO$200,Display_All!AX$2:AX$200,)</f>
        <v>0.3647881206</v>
      </c>
      <c r="O9" s="126">
        <f t="array" ref="O9">xlookup(row()-1,Calcs!AO$2:AO$200,Calcs!U$2:U$200,)</f>
        <v>500</v>
      </c>
    </row>
    <row r="10">
      <c r="A10" s="384" t="str">
        <f t="array" ref="A10">xlookup(row()-1,Calcs!AO$2:AO$200,Raw!A$2:A$200,)</f>
        <v/>
      </c>
      <c r="B10" s="384" t="str">
        <f t="array" ref="B10">xlookup(row()-1,Calcs!AO$2:AO$200,Raw!B$2:B$200,)</f>
        <v/>
      </c>
      <c r="C10" s="384" t="str">
        <f t="array" ref="C10">xlookup(row()-1,Calcs!AO$2:AO$200,Raw!I$2:I$200,)</f>
        <v/>
      </c>
      <c r="D10" s="384" t="str">
        <f t="array" ref="D10">xlookup(row()-1,Calcs!AO$2:AO$200,Raw!J$2:J$200,)</f>
        <v/>
      </c>
      <c r="E10" s="384" t="str">
        <f t="array" ref="E10">xlookup(row()-1,Calcs!AO$2:AO$200,Raw!AO$2:AO$200,)</f>
        <v/>
      </c>
      <c r="F10" s="384"/>
      <c r="G10" s="384" t="str">
        <f t="array" ref="G10">xlookup(row()-1,Calcs!AO$2:AO$200,Display_All!AC$2:AC$200,)</f>
        <v/>
      </c>
      <c r="H10" s="384" t="str">
        <f t="array" ref="H10">xlookup(row()-1,Calcs!AO$2:AO$200,Display_All!AE$2:AE$200,)</f>
        <v/>
      </c>
      <c r="I10" s="384" t="str">
        <f t="array" ref="I10">xlookup(row()-1,Calcs!AO$2:AO$200,Display_All!AH$2:AH$200,)</f>
        <v/>
      </c>
      <c r="J10" s="384" t="str">
        <f t="array" ref="J10">xlookup(row()-1,Calcs!AO$2:AO$200,Display_All!AG$2:AG$200,)</f>
        <v/>
      </c>
      <c r="K10" s="384" t="str">
        <f t="array" ref="K10">xlookup(row()-1,Calcs!AO$2:AO$200,Display_All!AU$2:AU$200,)</f>
        <v/>
      </c>
      <c r="L10" s="384" t="str">
        <f t="array" ref="L10">xlookup(row()-1,Calcs!AO$2:AO$200,Display_All!AW$2:AW$200,)</f>
        <v/>
      </c>
      <c r="M10" s="384" t="str">
        <f t="array" ref="M10">xlookup(row()-1,Calcs!AO$2:AO$200,Display_All!AX$2:AX$200,)</f>
        <v/>
      </c>
    </row>
    <row r="11">
      <c r="A11" s="66" t="s">
        <v>938</v>
      </c>
      <c r="B11" s="264" t="str">
        <f t="array" ref="B11">xlookup(row()-1,Calcs!AO$2:AO$200,Raw!B$2:B$200,)</f>
        <v/>
      </c>
      <c r="C11" s="264" t="str">
        <f t="array" ref="C11">xlookup(row()-1,Calcs!AO$2:AO$200,Raw!I$2:I$200,)</f>
        <v/>
      </c>
      <c r="D11" s="264" t="str">
        <f t="array" ref="D11">xlookup(row()-1,Calcs!AO$2:AO$200,Raw!J$2:J$200,)</f>
        <v/>
      </c>
      <c r="E11" s="208">
        <f t="shared" ref="E11:F11" si="1">average(E2:E9)</f>
        <v>15.28571429</v>
      </c>
      <c r="F11" s="208">
        <f t="shared" si="1"/>
        <v>42.5625</v>
      </c>
      <c r="G11" s="208">
        <f>average(O2:O9)</f>
        <v>545</v>
      </c>
      <c r="H11" s="264" t="str">
        <f t="array" ref="H11">xlookup(row()-1,Calcs!AO$2:AO$200,Display_All!AE$2:AE$200,)</f>
        <v/>
      </c>
      <c r="I11" s="385">
        <f t="shared" ref="I11:M11" si="2">average(I2:I9)</f>
        <v>0.5842004195</v>
      </c>
      <c r="J11" s="208">
        <f t="shared" si="2"/>
        <v>16.4875</v>
      </c>
      <c r="K11" s="208">
        <f t="shared" si="2"/>
        <v>2.925</v>
      </c>
      <c r="L11" s="385">
        <f t="shared" si="2"/>
        <v>0.1700759144</v>
      </c>
      <c r="M11" s="385">
        <f t="shared" si="2"/>
        <v>0.2938240217</v>
      </c>
    </row>
    <row r="12">
      <c r="A12" s="386" t="s">
        <v>1130</v>
      </c>
      <c r="B12" s="264"/>
      <c r="C12" s="264" t="str">
        <f t="array" ref="C12">xlookup(row()-1,Calcs!AO$2:AO$200,Raw!I$2:I$200,)</f>
        <v/>
      </c>
      <c r="D12" s="264" t="str">
        <f t="array" ref="D12">xlookup(row()-1,Calcs!AO$2:AO$200,Raw!J$2:J$200,)</f>
        <v/>
      </c>
      <c r="E12" s="264">
        <f t="shared" ref="E12:F12" si="3">trimmean(E2:E9,0.3)</f>
        <v>16.6</v>
      </c>
      <c r="F12" s="208">
        <f t="shared" si="3"/>
        <v>43.75</v>
      </c>
      <c r="G12" s="264">
        <f>trimmean(O2:O9,0.3)</f>
        <v>560</v>
      </c>
      <c r="H12" s="264" t="str">
        <f t="array" ref="H12">xlookup(row()-1,Calcs!AO$2:AO$200,Display_All!AE$2:AE$200,)</f>
        <v/>
      </c>
      <c r="I12" s="385">
        <f t="shared" ref="I12:M12" si="4">trimmean(I2:I9,0.3)</f>
        <v>0.5823622992</v>
      </c>
      <c r="J12" s="208">
        <f t="shared" si="4"/>
        <v>17.15</v>
      </c>
      <c r="K12" s="208">
        <f t="shared" si="4"/>
        <v>2.966666667</v>
      </c>
      <c r="L12" s="385">
        <f t="shared" si="4"/>
        <v>0.1703285024</v>
      </c>
      <c r="M12" s="385">
        <f t="shared" si="4"/>
        <v>0.2950466078</v>
      </c>
    </row>
    <row r="13">
      <c r="A13" s="264" t="str">
        <f t="array" ref="A13">xlookup(row()-1,Calcs!AO$2:AO$200,Raw!A$2:A$200,)</f>
        <v/>
      </c>
      <c r="B13" s="264" t="str">
        <f t="array" ref="B13">xlookup(row()-1,Calcs!AO$2:AO$200,Raw!B$2:B$200,)</f>
        <v/>
      </c>
      <c r="C13" s="264" t="str">
        <f t="array" ref="C13">xlookup(row()-1,Calcs!AO$2:AO$200,Raw!I$2:I$200,)</f>
        <v/>
      </c>
      <c r="D13" s="264" t="str">
        <f t="array" ref="D13">xlookup(row()-1,Calcs!AO$2:AO$200,Raw!J$2:J$200,)</f>
        <v/>
      </c>
      <c r="E13" s="264" t="str">
        <f t="array" ref="E13">xlookup(row()-1,Calcs!AO$2:AO$200,Raw!AO$2:AO$200,)</f>
        <v/>
      </c>
      <c r="F13" s="264"/>
      <c r="G13" s="264" t="str">
        <f t="array" ref="G13">xlookup(row()-1,Calcs!AO$2:AO$200,Display_All!AC$2:AC$200,)</f>
        <v/>
      </c>
      <c r="H13" s="264" t="str">
        <f t="array" ref="H13">xlookup(row()-1,Calcs!AO$2:AO$200,Display_All!AE$2:AE$200,)</f>
        <v/>
      </c>
      <c r="I13" s="264" t="str">
        <f t="array" ref="I13">xlookup(row()-1,Calcs!AO$2:AO$200,Display_All!AH$2:AH$200,)</f>
        <v/>
      </c>
      <c r="J13" s="264" t="str">
        <f t="array" ref="J13">xlookup(row()-1,Calcs!AO$2:AO$200,Display_All!AG$2:AG$200,)</f>
        <v/>
      </c>
      <c r="K13" s="264" t="str">
        <f t="array" ref="K13">xlookup(row()-1,Calcs!AO$2:AO$200,Display_All!AU$2:AU$200,)</f>
        <v/>
      </c>
      <c r="L13" s="264" t="str">
        <f t="array" ref="L13">xlookup(row()-1,Calcs!AO$2:AO$200,Display_All!AW$2:AW$200,)</f>
        <v/>
      </c>
      <c r="M13" s="264" t="str">
        <f t="array" ref="M13">xlookup(row()-1,Calcs!AO$2:AO$200,Display_All!AX$2:AX$200,)</f>
        <v/>
      </c>
    </row>
    <row r="14">
      <c r="A14" s="264" t="str">
        <f t="array" ref="A14">xlookup(row()-1,Calcs!AO$2:AO$200,Raw!A$2:A$200,)</f>
        <v/>
      </c>
      <c r="B14" s="264" t="str">
        <f t="array" ref="B14">xlookup(row()-1,Calcs!AO$2:AO$200,Raw!B$2:B$200,)</f>
        <v/>
      </c>
      <c r="C14" s="264" t="str">
        <f t="array" ref="C14">xlookup(row()-1,Calcs!AO$2:AO$200,Raw!I$2:I$200,)</f>
        <v/>
      </c>
      <c r="D14" s="264" t="str">
        <f t="array" ref="D14">xlookup(row()-1,Calcs!AO$2:AO$200,Raw!J$2:J$200,)</f>
        <v/>
      </c>
      <c r="E14" s="264" t="str">
        <f t="array" ref="E14">xlookup(row()-1,Calcs!AO$2:AO$200,Raw!AO$2:AO$200,)</f>
        <v/>
      </c>
      <c r="F14" s="264"/>
      <c r="G14" s="264" t="str">
        <f t="array" ref="G14">xlookup(row()-1,Calcs!AO$2:AO$200,Display_All!AC$2:AC$200,)</f>
        <v/>
      </c>
      <c r="H14" s="264" t="str">
        <f t="array" ref="H14">xlookup(row()-1,Calcs!AO$2:AO$200,Display_All!AE$2:AE$200,)</f>
        <v/>
      </c>
      <c r="I14" s="264" t="str">
        <f t="array" ref="I14">xlookup(row()-1,Calcs!AO$2:AO$200,Display_All!AH$2:AH$200,)</f>
        <v/>
      </c>
      <c r="J14" s="264" t="str">
        <f t="array" ref="J14">xlookup(row()-1,Calcs!AO$2:AO$200,Display_All!AG$2:AG$200,)</f>
        <v/>
      </c>
      <c r="K14" s="264" t="str">
        <f t="array" ref="K14">xlookup(row()-1,Calcs!AO$2:AO$200,Display_All!AU$2:AU$200,)</f>
        <v/>
      </c>
      <c r="L14" s="264" t="str">
        <f t="array" ref="L14">xlookup(row()-1,Calcs!AO$2:AO$200,Display_All!AW$2:AW$200,)</f>
        <v/>
      </c>
      <c r="M14" s="264" t="str">
        <f t="array" ref="M14">xlookup(row()-1,Calcs!AO$2:AO$200,Display_All!AX$2:AX$200,)</f>
        <v/>
      </c>
    </row>
    <row r="15">
      <c r="A15" s="264" t="str">
        <f t="array" ref="A15">xlookup(row()-1,Calcs!AO$2:AO$200,Raw!A$2:A$200,)</f>
        <v/>
      </c>
      <c r="B15" s="264" t="str">
        <f t="array" ref="B15">xlookup(row()-1,Calcs!AO$2:AO$200,Raw!B$2:B$200,)</f>
        <v/>
      </c>
      <c r="C15" s="264" t="str">
        <f t="array" ref="C15">xlookup(row()-1,Calcs!AO$2:AO$200,Raw!I$2:I$200,)</f>
        <v/>
      </c>
      <c r="D15" s="264" t="str">
        <f t="array" ref="D15">xlookup(row()-1,Calcs!AO$2:AO$200,Raw!J$2:J$200,)</f>
        <v/>
      </c>
      <c r="E15" s="264" t="str">
        <f t="array" ref="E15">xlookup(row()-1,Calcs!AO$2:AO$200,Raw!AO$2:AO$200,)</f>
        <v/>
      </c>
      <c r="F15" s="264"/>
      <c r="G15" s="264" t="str">
        <f t="array" ref="G15">xlookup(row()-1,Calcs!AO$2:AO$200,Display_All!AC$2:AC$200,)</f>
        <v/>
      </c>
      <c r="H15" s="264" t="str">
        <f t="array" ref="H15">xlookup(row()-1,Calcs!AO$2:AO$200,Display_All!AE$2:AE$200,)</f>
        <v/>
      </c>
      <c r="I15" s="264" t="str">
        <f t="array" ref="I15">xlookup(row()-1,Calcs!AO$2:AO$200,Display_All!AH$2:AH$200,)</f>
        <v/>
      </c>
      <c r="J15" s="264" t="str">
        <f t="array" ref="J15">xlookup(row()-1,Calcs!AO$2:AO$200,Display_All!AG$2:AG$200,)</f>
        <v/>
      </c>
      <c r="K15" s="264" t="str">
        <f t="array" ref="K15">xlookup(row()-1,Calcs!AO$2:AO$200,Display_All!AU$2:AU$200,)</f>
        <v/>
      </c>
      <c r="L15" s="264" t="str">
        <f t="array" ref="L15">xlookup(row()-1,Calcs!AO$2:AO$200,Display_All!AW$2:AW$200,)</f>
        <v/>
      </c>
      <c r="M15" s="264" t="str">
        <f t="array" ref="M15">xlookup(row()-1,Calcs!AO$2:AO$200,Display_All!AX$2:AX$200,)</f>
        <v/>
      </c>
    </row>
    <row r="16">
      <c r="A16" s="264" t="str">
        <f t="array" ref="A16">xlookup(row()-1,Calcs!AO$2:AO$200,Raw!A$2:A$200,)</f>
        <v/>
      </c>
      <c r="B16" s="264" t="str">
        <f t="array" ref="B16">xlookup(row()-1,Calcs!AO$2:AO$200,Raw!B$2:B$200,)</f>
        <v/>
      </c>
      <c r="C16" s="264" t="str">
        <f t="array" ref="C16">xlookup(row()-1,Calcs!AO$2:AO$200,Raw!I$2:I$200,)</f>
        <v/>
      </c>
      <c r="D16" s="264" t="str">
        <f t="array" ref="D16">xlookup(row()-1,Calcs!AO$2:AO$200,Raw!J$2:J$200,)</f>
        <v/>
      </c>
      <c r="E16" s="264" t="str">
        <f t="array" ref="E16">xlookup(row()-1,Calcs!AO$2:AO$200,Raw!AO$2:AO$200,)</f>
        <v/>
      </c>
      <c r="F16" s="264"/>
      <c r="G16" s="264" t="str">
        <f t="array" ref="G16">xlookup(row()-1,Calcs!AO$2:AO$200,Display_All!AC$2:AC$200,)</f>
        <v/>
      </c>
      <c r="H16" s="264" t="str">
        <f t="array" ref="H16">xlookup(row()-1,Calcs!AO$2:AO$200,Display_All!AE$2:AE$200,)</f>
        <v/>
      </c>
      <c r="I16" s="264" t="str">
        <f t="array" ref="I16">xlookup(row()-1,Calcs!AO$2:AO$200,Display_All!AH$2:AH$200,)</f>
        <v/>
      </c>
      <c r="J16" s="264" t="str">
        <f t="array" ref="J16">xlookup(row()-1,Calcs!AO$2:AO$200,Display_All!AG$2:AG$200,)</f>
        <v/>
      </c>
      <c r="K16" s="264" t="str">
        <f t="array" ref="K16">xlookup(row()-1,Calcs!AO$2:AO$200,Display_All!AU$2:AU$200,)</f>
        <v/>
      </c>
      <c r="L16" s="264" t="str">
        <f t="array" ref="L16">xlookup(row()-1,Calcs!AO$2:AO$200,Display_All!AW$2:AW$200,)</f>
        <v/>
      </c>
      <c r="M16" s="264" t="str">
        <f t="array" ref="M16">xlookup(row()-1,Calcs!AO$2:AO$200,Display_All!AX$2:AX$200,)</f>
        <v/>
      </c>
    </row>
    <row r="17">
      <c r="A17" s="264" t="str">
        <f t="array" ref="A17">xlookup(row()-1,Calcs!AO$2:AO$200,Raw!A$2:A$200,)</f>
        <v/>
      </c>
      <c r="B17" s="264" t="str">
        <f t="array" ref="B17">xlookup(row()-1,Calcs!AO$2:AO$200,Raw!B$2:B$200,)</f>
        <v/>
      </c>
      <c r="C17" s="264" t="str">
        <f t="array" ref="C17">xlookup(row()-1,Calcs!AO$2:AO$200,Raw!I$2:I$200,)</f>
        <v/>
      </c>
      <c r="D17" s="264" t="str">
        <f t="array" ref="D17">xlookup(row()-1,Calcs!AO$2:AO$200,Raw!J$2:J$200,)</f>
        <v/>
      </c>
      <c r="E17" s="264" t="str">
        <f t="array" ref="E17">xlookup(row()-1,Calcs!AO$2:AO$200,Raw!AO$2:AO$200,)</f>
        <v/>
      </c>
      <c r="F17" s="264"/>
      <c r="G17" s="264" t="str">
        <f t="array" ref="G17">xlookup(row()-1,Calcs!AO$2:AO$200,Display_All!AC$2:AC$200,)</f>
        <v/>
      </c>
      <c r="H17" s="264" t="str">
        <f t="array" ref="H17">xlookup(row()-1,Calcs!AO$2:AO$200,Display_All!AE$2:AE$200,)</f>
        <v/>
      </c>
      <c r="I17" s="264" t="str">
        <f t="array" ref="I17">xlookup(row()-1,Calcs!AO$2:AO$200,Display_All!AH$2:AH$200,)</f>
        <v/>
      </c>
      <c r="J17" s="264" t="str">
        <f t="array" ref="J17">xlookup(row()-1,Calcs!AO$2:AO$200,Display_All!AG$2:AG$200,)</f>
        <v/>
      </c>
      <c r="K17" s="264" t="str">
        <f t="array" ref="K17">xlookup(row()-1,Calcs!AO$2:AO$200,Display_All!AU$2:AU$200,)</f>
        <v/>
      </c>
      <c r="L17" s="264" t="str">
        <f t="array" ref="L17">xlookup(row()-1,Calcs!AO$2:AO$200,Display_All!AW$2:AW$200,)</f>
        <v/>
      </c>
      <c r="M17" s="264" t="str">
        <f t="array" ref="M17">xlookup(row()-1,Calcs!AO$2:AO$200,Display_All!AX$2:AX$200,)</f>
        <v/>
      </c>
    </row>
    <row r="18">
      <c r="A18" s="264" t="str">
        <f t="array" ref="A18">xlookup(row()-1,Calcs!AO$2:AO$200,Raw!A$2:A$200,)</f>
        <v/>
      </c>
      <c r="B18" s="264" t="str">
        <f t="array" ref="B18">xlookup(row()-1,Calcs!AO$2:AO$200,Raw!B$2:B$200,)</f>
        <v/>
      </c>
      <c r="C18" s="264" t="str">
        <f t="array" ref="C18">xlookup(row()-1,Calcs!AO$2:AO$200,Raw!I$2:I$200,)</f>
        <v/>
      </c>
      <c r="D18" s="264" t="str">
        <f t="array" ref="D18">xlookup(row()-1,Calcs!AO$2:AO$200,Raw!J$2:J$200,)</f>
        <v/>
      </c>
      <c r="E18" s="264" t="str">
        <f t="array" ref="E18">xlookup(row()-1,Calcs!AO$2:AO$200,Raw!AO$2:AO$200,)</f>
        <v/>
      </c>
      <c r="F18" s="264"/>
      <c r="G18" s="264" t="str">
        <f t="array" ref="G18">xlookup(row()-1,Calcs!AO$2:AO$200,Display_All!AC$2:AC$200,)</f>
        <v/>
      </c>
      <c r="H18" s="264" t="str">
        <f t="array" ref="H18">xlookup(row()-1,Calcs!AO$2:AO$200,Display_All!AE$2:AE$200,)</f>
        <v/>
      </c>
      <c r="I18" s="264" t="str">
        <f t="array" ref="I18">xlookup(row()-1,Calcs!AO$2:AO$200,Display_All!AH$2:AH$200,)</f>
        <v/>
      </c>
      <c r="J18" s="264" t="str">
        <f t="array" ref="J18">xlookup(row()-1,Calcs!AO$2:AO$200,Display_All!AG$2:AG$200,)</f>
        <v/>
      </c>
      <c r="K18" s="264" t="str">
        <f t="array" ref="K18">xlookup(row()-1,Calcs!AO$2:AO$200,Display_All!AU$2:AU$200,)</f>
        <v/>
      </c>
      <c r="L18" s="264" t="str">
        <f t="array" ref="L18">xlookup(row()-1,Calcs!AO$2:AO$200,Display_All!AW$2:AW$200,)</f>
        <v/>
      </c>
      <c r="M18" s="264" t="str">
        <f t="array" ref="M18">xlookup(row()-1,Calcs!AO$2:AO$200,Display_All!AX$2:AX$200,)</f>
        <v/>
      </c>
    </row>
    <row r="19">
      <c r="A19" s="264" t="str">
        <f t="array" ref="A19">xlookup(row()-1,Calcs!AO$2:AO$200,Raw!A$2:A$200,)</f>
        <v/>
      </c>
      <c r="B19" s="264" t="str">
        <f t="array" ref="B19">xlookup(row()-1,Calcs!AO$2:AO$200,Raw!B$2:B$200,)</f>
        <v/>
      </c>
      <c r="C19" s="264" t="str">
        <f t="array" ref="C19">xlookup(row()-1,Calcs!AO$2:AO$200,Raw!I$2:I$200,)</f>
        <v/>
      </c>
      <c r="D19" s="264" t="str">
        <f t="array" ref="D19">xlookup(row()-1,Calcs!AO$2:AO$200,Raw!J$2:J$200,)</f>
        <v/>
      </c>
      <c r="E19" s="264" t="str">
        <f t="array" ref="E19">xlookup(row()-1,Calcs!AO$2:AO$200,Raw!AO$2:AO$200,)</f>
        <v/>
      </c>
      <c r="F19" s="264"/>
      <c r="G19" s="264" t="str">
        <f t="array" ref="G19">xlookup(row()-1,Calcs!AO$2:AO$200,Display_All!AC$2:AC$200,)</f>
        <v/>
      </c>
      <c r="H19" s="264" t="str">
        <f t="array" ref="H19">xlookup(row()-1,Calcs!AO$2:AO$200,Display_All!AE$2:AE$200,)</f>
        <v/>
      </c>
      <c r="I19" s="264" t="str">
        <f t="array" ref="I19">xlookup(row()-1,Calcs!AO$2:AO$200,Display_All!AH$2:AH$200,)</f>
        <v/>
      </c>
      <c r="J19" s="264" t="str">
        <f t="array" ref="J19">xlookup(row()-1,Calcs!AO$2:AO$200,Display_All!AG$2:AG$200,)</f>
        <v/>
      </c>
      <c r="K19" s="264" t="str">
        <f t="array" ref="K19">xlookup(row()-1,Calcs!AO$2:AO$200,Display_All!AU$2:AU$200,)</f>
        <v/>
      </c>
      <c r="L19" s="264" t="str">
        <f t="array" ref="L19">xlookup(row()-1,Calcs!AO$2:AO$200,Display_All!AW$2:AW$200,)</f>
        <v/>
      </c>
      <c r="M19" s="264" t="str">
        <f t="array" ref="M19">xlookup(row()-1,Calcs!AO$2:AO$200,Display_All!AX$2:AX$200,)</f>
        <v/>
      </c>
    </row>
    <row r="20">
      <c r="A20" s="264" t="str">
        <f t="array" ref="A20">xlookup(row()-1,Calcs!AO$2:AO$200,Raw!A$2:A$200,)</f>
        <v/>
      </c>
      <c r="B20" s="264" t="str">
        <f t="array" ref="B20">xlookup(row()-1,Calcs!AO$2:AO$200,Raw!B$2:B$200,)</f>
        <v/>
      </c>
      <c r="C20" s="264" t="str">
        <f t="array" ref="C20">xlookup(row()-1,Calcs!AO$2:AO$200,Raw!I$2:I$200,)</f>
        <v/>
      </c>
      <c r="D20" s="264" t="str">
        <f t="array" ref="D20">xlookup(row()-1,Calcs!AO$2:AO$200,Raw!J$2:J$200,)</f>
        <v/>
      </c>
      <c r="E20" s="264" t="str">
        <f t="array" ref="E20">xlookup(row()-1,Calcs!AO$2:AO$200,Raw!AO$2:AO$200,)</f>
        <v/>
      </c>
      <c r="F20" s="264"/>
      <c r="G20" s="264" t="str">
        <f t="array" ref="G20">xlookup(row()-1,Calcs!AO$2:AO$200,Display_All!AC$2:AC$200,)</f>
        <v/>
      </c>
      <c r="H20" s="264" t="str">
        <f t="array" ref="H20">xlookup(row()-1,Calcs!AO$2:AO$200,Display_All!AE$2:AE$200,)</f>
        <v/>
      </c>
      <c r="I20" s="264" t="str">
        <f t="array" ref="I20">xlookup(row()-1,Calcs!AO$2:AO$200,Display_All!AH$2:AH$200,)</f>
        <v/>
      </c>
      <c r="J20" s="264" t="str">
        <f t="array" ref="J20">xlookup(row()-1,Calcs!AO$2:AO$200,Display_All!AG$2:AG$200,)</f>
        <v/>
      </c>
      <c r="K20" s="264" t="str">
        <f t="array" ref="K20">xlookup(row()-1,Calcs!AO$2:AO$200,Display_All!AU$2:AU$200,)</f>
        <v/>
      </c>
      <c r="L20" s="264" t="str">
        <f t="array" ref="L20">xlookup(row()-1,Calcs!AO$2:AO$200,Display_All!AW$2:AW$200,)</f>
        <v/>
      </c>
      <c r="M20" s="264" t="str">
        <f t="array" ref="M20">xlookup(row()-1,Calcs!AO$2:AO$200,Display_All!AX$2:AX$200,)</f>
        <v/>
      </c>
    </row>
    <row r="21">
      <c r="A21" s="264" t="str">
        <f t="array" ref="A21">xlookup(row()-1,Calcs!AO$2:AO$200,Raw!A$2:A$200,)</f>
        <v/>
      </c>
      <c r="B21" s="264" t="str">
        <f t="array" ref="B21">xlookup(row()-1,Calcs!AO$2:AO$200,Raw!B$2:B$200,)</f>
        <v/>
      </c>
      <c r="C21" s="264" t="str">
        <f t="array" ref="C21">xlookup(row()-1,Calcs!AO$2:AO$200,Raw!I$2:I$200,)</f>
        <v/>
      </c>
      <c r="D21" s="264" t="str">
        <f t="array" ref="D21">xlookup(row()-1,Calcs!AO$2:AO$200,Raw!J$2:J$200,)</f>
        <v/>
      </c>
      <c r="E21" s="264" t="str">
        <f t="array" ref="E21">xlookup(row()-1,Calcs!AO$2:AO$200,Raw!AO$2:AO$200,)</f>
        <v/>
      </c>
      <c r="F21" s="264"/>
      <c r="G21" s="264" t="str">
        <f t="array" ref="G21">xlookup(row()-1,Calcs!AO$2:AO$200,Display_All!AC$2:AC$200,)</f>
        <v/>
      </c>
      <c r="H21" s="264" t="str">
        <f t="array" ref="H21">xlookup(row()-1,Calcs!AO$2:AO$200,Display_All!AE$2:AE$200,)</f>
        <v/>
      </c>
      <c r="I21" s="264" t="str">
        <f t="array" ref="I21">xlookup(row()-1,Calcs!AO$2:AO$200,Display_All!AH$2:AH$200,)</f>
        <v/>
      </c>
      <c r="J21" s="264" t="str">
        <f t="array" ref="J21">xlookup(row()-1,Calcs!AO$2:AO$200,Display_All!AG$2:AG$200,)</f>
        <v/>
      </c>
      <c r="K21" s="264" t="str">
        <f t="array" ref="K21">xlookup(row()-1,Calcs!AO$2:AO$200,Display_All!AU$2:AU$200,)</f>
        <v/>
      </c>
      <c r="L21" s="264" t="str">
        <f t="array" ref="L21">xlookup(row()-1,Calcs!AO$2:AO$200,Display_All!AW$2:AW$200,)</f>
        <v/>
      </c>
      <c r="M21" s="264" t="str">
        <f t="array" ref="M21">xlookup(row()-1,Calcs!AO$2:AO$200,Display_All!AX$2:AX$200,)</f>
        <v/>
      </c>
    </row>
    <row r="22">
      <c r="A22" s="264" t="str">
        <f t="array" ref="A22">xlookup(row()-1,Calcs!AO$2:AO$200,Raw!A$2:A$200,)</f>
        <v/>
      </c>
      <c r="B22" s="264" t="str">
        <f t="array" ref="B22">xlookup(row()-1,Calcs!AO$2:AO$200,Raw!B$2:B$200,)</f>
        <v/>
      </c>
      <c r="C22" s="264" t="str">
        <f t="array" ref="C22">xlookup(row()-1,Calcs!AO$2:AO$200,Raw!I$2:I$200,)</f>
        <v/>
      </c>
      <c r="D22" s="264" t="str">
        <f t="array" ref="D22">xlookup(row()-1,Calcs!AO$2:AO$200,Raw!J$2:J$200,)</f>
        <v/>
      </c>
      <c r="E22" s="264" t="str">
        <f t="array" ref="E22">xlookup(row()-1,Calcs!AO$2:AO$200,Raw!AO$2:AO$200,)</f>
        <v/>
      </c>
      <c r="F22" s="264"/>
      <c r="G22" s="264" t="str">
        <f t="array" ref="G22">xlookup(row()-1,Calcs!AO$2:AO$200,Display_All!AC$2:AC$200,)</f>
        <v/>
      </c>
      <c r="H22" s="264" t="str">
        <f t="array" ref="H22">xlookup(row()-1,Calcs!AO$2:AO$200,Display_All!AE$2:AE$200,)</f>
        <v/>
      </c>
      <c r="I22" s="264" t="str">
        <f t="array" ref="I22">xlookup(row()-1,Calcs!AO$2:AO$200,Display_All!AH$2:AH$200,)</f>
        <v/>
      </c>
      <c r="J22" s="264" t="str">
        <f t="array" ref="J22">xlookup(row()-1,Calcs!AO$2:AO$200,Display_All!AG$2:AG$200,)</f>
        <v/>
      </c>
      <c r="K22" s="264" t="str">
        <f t="array" ref="K22">xlookup(row()-1,Calcs!AO$2:AO$200,Display_All!AU$2:AU$200,)</f>
        <v/>
      </c>
      <c r="L22" s="264" t="str">
        <f t="array" ref="L22">xlookup(row()-1,Calcs!AO$2:AO$200,Display_All!AW$2:AW$200,)</f>
        <v/>
      </c>
      <c r="M22" s="264" t="str">
        <f t="array" ref="M22">xlookup(row()-1,Calcs!AO$2:AO$200,Display_All!AX$2:AX$200,)</f>
        <v/>
      </c>
    </row>
    <row r="23">
      <c r="A23" s="264" t="str">
        <f t="array" ref="A23">xlookup(row()-1,Calcs!AO$2:AO$200,Raw!A$2:A$200,)</f>
        <v/>
      </c>
      <c r="B23" s="264" t="str">
        <f t="array" ref="B23">xlookup(row()-1,Calcs!AO$2:AO$200,Raw!B$2:B$200,)</f>
        <v/>
      </c>
      <c r="C23" s="264" t="str">
        <f t="array" ref="C23">xlookup(row()-1,Calcs!AO$2:AO$200,Raw!I$2:I$200,)</f>
        <v/>
      </c>
      <c r="D23" s="264" t="str">
        <f t="array" ref="D23">xlookup(row()-1,Calcs!AO$2:AO$200,Raw!J$2:J$200,)</f>
        <v/>
      </c>
      <c r="E23" s="264" t="str">
        <f t="array" ref="E23">xlookup(row()-1,Calcs!AO$2:AO$200,Raw!AO$2:AO$200,)</f>
        <v/>
      </c>
      <c r="F23" s="264"/>
      <c r="G23" s="264" t="str">
        <f t="array" ref="G23">xlookup(row()-1,Calcs!AO$2:AO$200,Display_All!AC$2:AC$200,)</f>
        <v/>
      </c>
      <c r="H23" s="264" t="str">
        <f t="array" ref="H23">xlookup(row()-1,Calcs!AO$2:AO$200,Display_All!AE$2:AE$200,)</f>
        <v/>
      </c>
      <c r="I23" s="264" t="str">
        <f t="array" ref="I23">xlookup(row()-1,Calcs!AO$2:AO$200,Display_All!AH$2:AH$200,)</f>
        <v/>
      </c>
      <c r="J23" s="264" t="str">
        <f t="array" ref="J23">xlookup(row()-1,Calcs!AO$2:AO$200,Display_All!AG$2:AG$200,)</f>
        <v/>
      </c>
      <c r="K23" s="264" t="str">
        <f t="array" ref="K23">xlookup(row()-1,Calcs!AO$2:AO$200,Display_All!AU$2:AU$200,)</f>
        <v/>
      </c>
      <c r="L23" s="264" t="str">
        <f t="array" ref="L23">xlookup(row()-1,Calcs!AO$2:AO$200,Display_All!AW$2:AW$200,)</f>
        <v/>
      </c>
      <c r="M23" s="264" t="str">
        <f t="array" ref="M23">xlookup(row()-1,Calcs!AO$2:AO$200,Display_All!AX$2:AX$200,)</f>
        <v/>
      </c>
    </row>
    <row r="24">
      <c r="A24" s="264" t="str">
        <f t="array" ref="A24">xlookup(row()-1,Calcs!AO$2:AO$200,Raw!A$2:A$200,)</f>
        <v/>
      </c>
      <c r="B24" s="264" t="str">
        <f t="array" ref="B24">xlookup(row()-1,Calcs!AO$2:AO$200,Raw!B$2:B$200,)</f>
        <v/>
      </c>
      <c r="C24" s="264" t="str">
        <f t="array" ref="C24">xlookup(row()-1,Calcs!AO$2:AO$200,Raw!I$2:I$200,)</f>
        <v/>
      </c>
      <c r="D24" s="264" t="str">
        <f t="array" ref="D24">xlookup(row()-1,Calcs!AO$2:AO$200,Raw!J$2:J$200,)</f>
        <v/>
      </c>
      <c r="E24" s="264" t="str">
        <f t="array" ref="E24">xlookup(row()-1,Calcs!AO$2:AO$200,Raw!AO$2:AO$200,)</f>
        <v/>
      </c>
      <c r="F24" s="264"/>
      <c r="G24" s="264" t="str">
        <f t="array" ref="G24">xlookup(row()-1,Calcs!AO$2:AO$200,Display_All!AC$2:AC$200,)</f>
        <v/>
      </c>
      <c r="H24" s="264" t="str">
        <f t="array" ref="H24">xlookup(row()-1,Calcs!AO$2:AO$200,Display_All!AE$2:AE$200,)</f>
        <v/>
      </c>
      <c r="I24" s="264" t="str">
        <f t="array" ref="I24">xlookup(row()-1,Calcs!AO$2:AO$200,Display_All!AH$2:AH$200,)</f>
        <v/>
      </c>
      <c r="J24" s="264" t="str">
        <f t="array" ref="J24">xlookup(row()-1,Calcs!AO$2:AO$200,Display_All!AG$2:AG$200,)</f>
        <v/>
      </c>
      <c r="K24" s="264" t="str">
        <f t="array" ref="K24">xlookup(row()-1,Calcs!AO$2:AO$200,Display_All!AU$2:AU$200,)</f>
        <v/>
      </c>
      <c r="L24" s="264" t="str">
        <f t="array" ref="L24">xlookup(row()-1,Calcs!AO$2:AO$200,Display_All!AW$2:AW$200,)</f>
        <v/>
      </c>
      <c r="M24" s="264" t="str">
        <f t="array" ref="M24">xlookup(row()-1,Calcs!AO$2:AO$200,Display_All!AX$2:AX$200,)</f>
        <v/>
      </c>
    </row>
    <row r="25">
      <c r="A25" s="264" t="str">
        <f t="array" ref="A25">xlookup(row()-1,Calcs!AO$2:AO$200,Raw!A$2:A$200,)</f>
        <v/>
      </c>
      <c r="B25" s="264" t="str">
        <f t="array" ref="B25">xlookup(row()-1,Calcs!AO$2:AO$200,Raw!B$2:B$200,)</f>
        <v/>
      </c>
      <c r="C25" s="264" t="str">
        <f t="array" ref="C25">xlookup(row()-1,Calcs!AO$2:AO$200,Raw!I$2:I$200,)</f>
        <v/>
      </c>
      <c r="D25" s="264" t="str">
        <f t="array" ref="D25">xlookup(row()-1,Calcs!AO$2:AO$200,Raw!J$2:J$200,)</f>
        <v/>
      </c>
      <c r="E25" s="264" t="str">
        <f t="array" ref="E25">xlookup(row()-1,Calcs!AO$2:AO$200,Raw!AO$2:AO$200,)</f>
        <v/>
      </c>
      <c r="F25" s="264"/>
      <c r="G25" s="264" t="str">
        <f t="array" ref="G25">xlookup(row()-1,Calcs!AO$2:AO$200,Display_All!AC$2:AC$200,)</f>
        <v/>
      </c>
      <c r="H25" s="264" t="str">
        <f t="array" ref="H25">xlookup(row()-1,Calcs!AO$2:AO$200,Display_All!AE$2:AE$200,)</f>
        <v/>
      </c>
      <c r="I25" s="264" t="str">
        <f t="array" ref="I25">xlookup(row()-1,Calcs!AO$2:AO$200,Display_All!AH$2:AH$200,)</f>
        <v/>
      </c>
      <c r="J25" s="264" t="str">
        <f t="array" ref="J25">xlookup(row()-1,Calcs!AO$2:AO$200,Display_All!AG$2:AG$200,)</f>
        <v/>
      </c>
      <c r="K25" s="264" t="str">
        <f t="array" ref="K25">xlookup(row()-1,Calcs!AO$2:AO$200,Display_All!AU$2:AU$200,)</f>
        <v/>
      </c>
      <c r="L25" s="264" t="str">
        <f t="array" ref="L25">xlookup(row()-1,Calcs!AO$2:AO$200,Display_All!AW$2:AW$200,)</f>
        <v/>
      </c>
      <c r="M25" s="264" t="str">
        <f t="array" ref="M25">xlookup(row()-1,Calcs!AO$2:AO$200,Display_All!AX$2:AX$200,)</f>
        <v/>
      </c>
    </row>
    <row r="26">
      <c r="A26" s="264" t="str">
        <f t="array" ref="A26">xlookup(row()-1,Calcs!AO$2:AO$200,Raw!A$2:A$200,)</f>
        <v/>
      </c>
      <c r="B26" s="264" t="str">
        <f t="array" ref="B26">xlookup(row()-1,Calcs!AO$2:AO$200,Raw!B$2:B$200,)</f>
        <v/>
      </c>
      <c r="C26" s="264" t="str">
        <f t="array" ref="C26">xlookup(row()-1,Calcs!AO$2:AO$200,Raw!I$2:I$200,)</f>
        <v/>
      </c>
      <c r="D26" s="264" t="str">
        <f t="array" ref="D26">xlookup(row()-1,Calcs!AO$2:AO$200,Raw!J$2:J$200,)</f>
        <v/>
      </c>
      <c r="E26" s="264" t="str">
        <f t="array" ref="E26">xlookup(row()-1,Calcs!AO$2:AO$200,Raw!AO$2:AO$200,)</f>
        <v/>
      </c>
      <c r="F26" s="264"/>
      <c r="G26" s="264" t="str">
        <f t="array" ref="G26">xlookup(row()-1,Calcs!AO$2:AO$200,Display_All!AC$2:AC$200,)</f>
        <v/>
      </c>
      <c r="H26" s="264" t="str">
        <f t="array" ref="H26">xlookup(row()-1,Calcs!AO$2:AO$200,Display_All!AE$2:AE$200,)</f>
        <v/>
      </c>
      <c r="I26" s="264" t="str">
        <f t="array" ref="I26">xlookup(row()-1,Calcs!AO$2:AO$200,Display_All!AH$2:AH$200,)</f>
        <v/>
      </c>
      <c r="J26" s="264" t="str">
        <f t="array" ref="J26">xlookup(row()-1,Calcs!AO$2:AO$200,Display_All!AG$2:AG$200,)</f>
        <v/>
      </c>
      <c r="K26" s="264" t="str">
        <f t="array" ref="K26">xlookup(row()-1,Calcs!AO$2:AO$200,Display_All!AU$2:AU$200,)</f>
        <v/>
      </c>
      <c r="L26" s="264" t="str">
        <f t="array" ref="L26">xlookup(row()-1,Calcs!AO$2:AO$200,Display_All!AW$2:AW$200,)</f>
        <v/>
      </c>
      <c r="M26" s="264" t="str">
        <f t="array" ref="M26">xlookup(row()-1,Calcs!AO$2:AO$200,Display_All!AX$2:AX$200,)</f>
        <v/>
      </c>
    </row>
    <row r="27">
      <c r="A27" s="264" t="str">
        <f t="array" ref="A27">xlookup(row()-1,Calcs!AO$2:AO$200,Raw!A$2:A$200,)</f>
        <v/>
      </c>
      <c r="B27" s="264" t="str">
        <f t="array" ref="B27">xlookup(row()-1,Calcs!AO$2:AO$200,Raw!B$2:B$200,)</f>
        <v/>
      </c>
      <c r="C27" s="264" t="str">
        <f t="array" ref="C27">xlookup(row()-1,Calcs!AO$2:AO$200,Raw!I$2:I$200,)</f>
        <v/>
      </c>
      <c r="D27" s="264" t="str">
        <f t="array" ref="D27">xlookup(row()-1,Calcs!AO$2:AO$200,Raw!J$2:J$200,)</f>
        <v/>
      </c>
      <c r="E27" s="264" t="str">
        <f t="array" ref="E27">xlookup(row()-1,Calcs!AO$2:AO$200,Raw!AO$2:AO$200,)</f>
        <v/>
      </c>
      <c r="F27" s="264"/>
      <c r="G27" s="264" t="str">
        <f t="array" ref="G27">xlookup(row()-1,Calcs!AO$2:AO$200,Display_All!AC$2:AC$200,)</f>
        <v/>
      </c>
      <c r="H27" s="264" t="str">
        <f t="array" ref="H27">xlookup(row()-1,Calcs!AO$2:AO$200,Display_All!AE$2:AE$200,)</f>
        <v/>
      </c>
      <c r="I27" s="264" t="str">
        <f t="array" ref="I27">xlookup(row()-1,Calcs!AO$2:AO$200,Display_All!AH$2:AH$200,)</f>
        <v/>
      </c>
      <c r="J27" s="264" t="str">
        <f t="array" ref="J27">xlookup(row()-1,Calcs!AO$2:AO$200,Display_All!AG$2:AG$200,)</f>
        <v/>
      </c>
      <c r="K27" s="264" t="str">
        <f t="array" ref="K27">xlookup(row()-1,Calcs!AO$2:AO$200,Display_All!AU$2:AU$200,)</f>
        <v/>
      </c>
      <c r="L27" s="264" t="str">
        <f t="array" ref="L27">xlookup(row()-1,Calcs!AO$2:AO$200,Display_All!AW$2:AW$200,)</f>
        <v/>
      </c>
      <c r="M27" s="264" t="str">
        <f t="array" ref="M27">xlookup(row()-1,Calcs!AO$2:AO$200,Display_All!AX$2:AX$200,)</f>
        <v/>
      </c>
    </row>
    <row r="28">
      <c r="A28" s="264" t="str">
        <f t="array" ref="A28">xlookup(row()-1,Calcs!AO$2:AO$200,Raw!A$2:A$200,)</f>
        <v/>
      </c>
      <c r="B28" s="264" t="str">
        <f t="array" ref="B28">xlookup(row()-1,Calcs!AO$2:AO$200,Raw!B$2:B$200,)</f>
        <v/>
      </c>
      <c r="C28" s="264" t="str">
        <f t="array" ref="C28">xlookup(row()-1,Calcs!AO$2:AO$200,Raw!I$2:I$200,)</f>
        <v/>
      </c>
      <c r="D28" s="264" t="str">
        <f t="array" ref="D28">xlookup(row()-1,Calcs!AO$2:AO$200,Raw!J$2:J$200,)</f>
        <v/>
      </c>
      <c r="E28" s="264" t="str">
        <f t="array" ref="E28">xlookup(row()-1,Calcs!AO$2:AO$200,Raw!AO$2:AO$200,)</f>
        <v/>
      </c>
      <c r="F28" s="264"/>
      <c r="G28" s="264" t="str">
        <f t="array" ref="G28">xlookup(row()-1,Calcs!AO$2:AO$200,Display_All!AC$2:AC$200,)</f>
        <v/>
      </c>
      <c r="H28" s="264" t="str">
        <f t="array" ref="H28">xlookup(row()-1,Calcs!AO$2:AO$200,Display_All!AE$2:AE$200,)</f>
        <v/>
      </c>
      <c r="I28" s="264" t="str">
        <f t="array" ref="I28">xlookup(row()-1,Calcs!AO$2:AO$200,Display_All!AH$2:AH$200,)</f>
        <v/>
      </c>
      <c r="J28" s="264" t="str">
        <f t="array" ref="J28">xlookup(row()-1,Calcs!AO$2:AO$200,Display_All!AG$2:AG$200,)</f>
        <v/>
      </c>
      <c r="K28" s="264" t="str">
        <f t="array" ref="K28">xlookup(row()-1,Calcs!AO$2:AO$200,Display_All!AU$2:AU$200,)</f>
        <v/>
      </c>
      <c r="L28" s="264" t="str">
        <f t="array" ref="L28">xlookup(row()-1,Calcs!AO$2:AO$200,Display_All!AW$2:AW$200,)</f>
        <v/>
      </c>
      <c r="M28" s="264" t="str">
        <f t="array" ref="M28">xlookup(row()-1,Calcs!AO$2:AO$200,Display_All!AX$2:AX$200,)</f>
        <v/>
      </c>
    </row>
    <row r="29">
      <c r="A29" s="264" t="str">
        <f t="array" ref="A29">xlookup(row()-1,Calcs!AO$2:AO$200,Raw!A$2:A$200,)</f>
        <v/>
      </c>
      <c r="B29" s="264" t="str">
        <f t="array" ref="B29">xlookup(row()-1,Calcs!AO$2:AO$200,Raw!B$2:B$200,)</f>
        <v/>
      </c>
      <c r="C29" s="264" t="str">
        <f t="array" ref="C29">xlookup(row()-1,Calcs!AO$2:AO$200,Raw!I$2:I$200,)</f>
        <v/>
      </c>
      <c r="D29" s="264" t="str">
        <f t="array" ref="D29">xlookup(row()-1,Calcs!AO$2:AO$200,Raw!J$2:J$200,)</f>
        <v/>
      </c>
      <c r="E29" s="264" t="str">
        <f t="array" ref="E29">xlookup(row()-1,Calcs!AO$2:AO$200,Raw!AO$2:AO$200,)</f>
        <v/>
      </c>
      <c r="F29" s="264"/>
      <c r="G29" s="264" t="str">
        <f t="array" ref="G29">xlookup(row()-1,Calcs!AO$2:AO$200,Display_All!AC$2:AC$200,)</f>
        <v/>
      </c>
      <c r="H29" s="264" t="str">
        <f t="array" ref="H29">xlookup(row()-1,Calcs!AO$2:AO$200,Display_All!AE$2:AE$200,)</f>
        <v/>
      </c>
      <c r="I29" s="264" t="str">
        <f t="array" ref="I29">xlookup(row()-1,Calcs!AO$2:AO$200,Display_All!AH$2:AH$200,)</f>
        <v/>
      </c>
      <c r="J29" s="264" t="str">
        <f t="array" ref="J29">xlookup(row()-1,Calcs!AO$2:AO$200,Display_All!AG$2:AG$200,)</f>
        <v/>
      </c>
      <c r="K29" s="264" t="str">
        <f t="array" ref="K29">xlookup(row()-1,Calcs!AO$2:AO$200,Display_All!AU$2:AU$200,)</f>
        <v/>
      </c>
      <c r="L29" s="264" t="str">
        <f t="array" ref="L29">xlookup(row()-1,Calcs!AO$2:AO$200,Display_All!AW$2:AW$200,)</f>
        <v/>
      </c>
      <c r="M29" s="264" t="str">
        <f t="array" ref="M29">xlookup(row()-1,Calcs!AO$2:AO$200,Display_All!AX$2:AX$200,)</f>
        <v/>
      </c>
    </row>
    <row r="30">
      <c r="A30" s="264" t="str">
        <f t="array" ref="A30">xlookup(row()-1,Calcs!AO$2:AO$200,Raw!A$2:A$200,)</f>
        <v/>
      </c>
      <c r="B30" s="264" t="str">
        <f t="array" ref="B30">xlookup(row()-1,Calcs!AO$2:AO$200,Raw!B$2:B$200,)</f>
        <v/>
      </c>
      <c r="C30" s="264" t="str">
        <f t="array" ref="C30">xlookup(row()-1,Calcs!AO$2:AO$200,Raw!I$2:I$200,)</f>
        <v/>
      </c>
      <c r="D30" s="264" t="str">
        <f t="array" ref="D30">xlookup(row()-1,Calcs!AO$2:AO$200,Raw!J$2:J$200,)</f>
        <v/>
      </c>
      <c r="E30" s="264" t="str">
        <f t="array" ref="E30">xlookup(row()-1,Calcs!AO$2:AO$200,Raw!AO$2:AO$200,)</f>
        <v/>
      </c>
      <c r="F30" s="264"/>
      <c r="G30" s="264" t="str">
        <f t="array" ref="G30">xlookup(row()-1,Calcs!AO$2:AO$200,Display_All!AC$2:AC$200,)</f>
        <v/>
      </c>
      <c r="H30" s="264" t="str">
        <f t="array" ref="H30">xlookup(row()-1,Calcs!AO$2:AO$200,Display_All!AE$2:AE$200,)</f>
        <v/>
      </c>
      <c r="I30" s="264" t="str">
        <f t="array" ref="I30">xlookup(row()-1,Calcs!AO$2:AO$200,Display_All!AH$2:AH$200,)</f>
        <v/>
      </c>
      <c r="J30" s="264" t="str">
        <f t="array" ref="J30">xlookup(row()-1,Calcs!AO$2:AO$200,Display_All!AG$2:AG$200,)</f>
        <v/>
      </c>
      <c r="K30" s="264" t="str">
        <f t="array" ref="K30">xlookup(row()-1,Calcs!AO$2:AO$200,Display_All!AU$2:AU$200,)</f>
        <v/>
      </c>
      <c r="L30" s="264" t="str">
        <f t="array" ref="L30">xlookup(row()-1,Calcs!AO$2:AO$200,Display_All!AW$2:AW$200,)</f>
        <v/>
      </c>
      <c r="M30" s="264" t="str">
        <f t="array" ref="M30">xlookup(row()-1,Calcs!AO$2:AO$200,Display_All!AX$2:AX$200,)</f>
        <v/>
      </c>
    </row>
    <row r="31">
      <c r="A31" s="264" t="str">
        <f t="array" ref="A31">xlookup(row()-1,Calcs!AO$2:AO$200,Raw!A$2:A$200,)</f>
        <v/>
      </c>
      <c r="B31" s="264" t="str">
        <f t="array" ref="B31">xlookup(row()-1,Calcs!AO$2:AO$200,Raw!B$2:B$200,)</f>
        <v/>
      </c>
      <c r="C31" s="264" t="str">
        <f t="array" ref="C31">xlookup(row()-1,Calcs!AO$2:AO$200,Raw!I$2:I$200,)</f>
        <v/>
      </c>
      <c r="D31" s="264" t="str">
        <f t="array" ref="D31">xlookup(row()-1,Calcs!AO$2:AO$200,Raw!J$2:J$200,)</f>
        <v/>
      </c>
      <c r="E31" s="264" t="str">
        <f t="array" ref="E31">xlookup(row()-1,Calcs!AO$2:AO$200,Raw!AO$2:AO$200,)</f>
        <v/>
      </c>
      <c r="F31" s="264"/>
      <c r="G31" s="264" t="str">
        <f t="array" ref="G31">xlookup(row()-1,Calcs!AO$2:AO$200,Display_All!AC$2:AC$200,)</f>
        <v/>
      </c>
      <c r="H31" s="264" t="str">
        <f t="array" ref="H31">xlookup(row()-1,Calcs!AO$2:AO$200,Display_All!AE$2:AE$200,)</f>
        <v/>
      </c>
      <c r="I31" s="264" t="str">
        <f t="array" ref="I31">xlookup(row()-1,Calcs!AO$2:AO$200,Display_All!AH$2:AH$200,)</f>
        <v/>
      </c>
      <c r="J31" s="264" t="str">
        <f t="array" ref="J31">xlookup(row()-1,Calcs!AO$2:AO$200,Display_All!AG$2:AG$200,)</f>
        <v/>
      </c>
      <c r="K31" s="264" t="str">
        <f t="array" ref="K31">xlookup(row()-1,Calcs!AO$2:AO$200,Display_All!AU$2:AU$200,)</f>
        <v/>
      </c>
      <c r="L31" s="264" t="str">
        <f t="array" ref="L31">xlookup(row()-1,Calcs!AO$2:AO$200,Display_All!AW$2:AW$200,)</f>
        <v/>
      </c>
      <c r="M31" s="264" t="str">
        <f t="array" ref="M31">xlookup(row()-1,Calcs!AO$2:AO$200,Display_All!AX$2:AX$200,)</f>
        <v/>
      </c>
    </row>
    <row r="32">
      <c r="A32" s="264" t="str">
        <f t="array" ref="A32">xlookup(row()-1,Calcs!AO$2:AO$200,Raw!A$2:A$200,)</f>
        <v/>
      </c>
      <c r="B32" s="264" t="str">
        <f t="array" ref="B32">xlookup(row()-1,Calcs!AO$2:AO$200,Raw!B$2:B$200,)</f>
        <v/>
      </c>
      <c r="C32" s="264" t="str">
        <f t="array" ref="C32">xlookup(row()-1,Calcs!AO$2:AO$200,Raw!I$2:I$200,)</f>
        <v/>
      </c>
      <c r="D32" s="264" t="str">
        <f t="array" ref="D32">xlookup(row()-1,Calcs!AO$2:AO$200,Raw!J$2:J$200,)</f>
        <v/>
      </c>
      <c r="E32" s="264" t="str">
        <f t="array" ref="E32">xlookup(row()-1,Calcs!AO$2:AO$200,Raw!AO$2:AO$200,)</f>
        <v/>
      </c>
      <c r="F32" s="264"/>
      <c r="G32" s="264" t="str">
        <f t="array" ref="G32">xlookup(row()-1,Calcs!AO$2:AO$200,Display_All!AC$2:AC$200,)</f>
        <v/>
      </c>
      <c r="H32" s="264" t="str">
        <f t="array" ref="H32">xlookup(row()-1,Calcs!AO$2:AO$200,Display_All!AE$2:AE$200,)</f>
        <v/>
      </c>
      <c r="I32" s="264" t="str">
        <f t="array" ref="I32">xlookup(row()-1,Calcs!AO$2:AO$200,Display_All!AH$2:AH$200,)</f>
        <v/>
      </c>
      <c r="J32" s="264" t="str">
        <f t="array" ref="J32">xlookup(row()-1,Calcs!AO$2:AO$200,Display_All!AG$2:AG$200,)</f>
        <v/>
      </c>
      <c r="K32" s="264" t="str">
        <f t="array" ref="K32">xlookup(row()-1,Calcs!AO$2:AO$200,Display_All!AU$2:AU$200,)</f>
        <v/>
      </c>
      <c r="L32" s="264" t="str">
        <f t="array" ref="L32">xlookup(row()-1,Calcs!AO$2:AO$200,Display_All!AW$2:AW$200,)</f>
        <v/>
      </c>
      <c r="M32" s="264" t="str">
        <f t="array" ref="M32">xlookup(row()-1,Calcs!AO$2:AO$200,Display_All!AX$2:AX$200,)</f>
        <v/>
      </c>
    </row>
    <row r="33">
      <c r="A33" s="264" t="str">
        <f t="array" ref="A33">xlookup(row()-1,Calcs!AO$2:AO$200,Raw!A$2:A$200,)</f>
        <v/>
      </c>
      <c r="B33" s="264" t="str">
        <f t="array" ref="B33">xlookup(row()-1,Calcs!AO$2:AO$200,Raw!B$2:B$200,)</f>
        <v/>
      </c>
      <c r="C33" s="264" t="str">
        <f t="array" ref="C33">xlookup(row()-1,Calcs!AO$2:AO$200,Raw!I$2:I$200,)</f>
        <v/>
      </c>
      <c r="D33" s="264" t="str">
        <f t="array" ref="D33">xlookup(row()-1,Calcs!AO$2:AO$200,Raw!J$2:J$200,)</f>
        <v/>
      </c>
      <c r="E33" s="264" t="str">
        <f t="array" ref="E33">xlookup(row()-1,Calcs!AO$2:AO$200,Raw!AO$2:AO$200,)</f>
        <v/>
      </c>
      <c r="F33" s="264"/>
      <c r="G33" s="264" t="str">
        <f t="array" ref="G33">xlookup(row()-1,Calcs!AO$2:AO$200,Display_All!AC$2:AC$200,)</f>
        <v/>
      </c>
      <c r="H33" s="264" t="str">
        <f t="array" ref="H33">xlookup(row()-1,Calcs!AO$2:AO$200,Display_All!AE$2:AE$200,)</f>
        <v/>
      </c>
      <c r="I33" s="264" t="str">
        <f t="array" ref="I33">xlookup(row()-1,Calcs!AO$2:AO$200,Display_All!AH$2:AH$200,)</f>
        <v/>
      </c>
      <c r="J33" s="264" t="str">
        <f t="array" ref="J33">xlookup(row()-1,Calcs!AO$2:AO$200,Display_All!AG$2:AG$200,)</f>
        <v/>
      </c>
      <c r="K33" s="264" t="str">
        <f t="array" ref="K33">xlookup(row()-1,Calcs!AO$2:AO$200,Display_All!AU$2:AU$200,)</f>
        <v/>
      </c>
      <c r="L33" s="264" t="str">
        <f t="array" ref="L33">xlookup(row()-1,Calcs!AO$2:AO$200,Display_All!AW$2:AW$200,)</f>
        <v/>
      </c>
      <c r="M33" s="264" t="str">
        <f t="array" ref="M33">xlookup(row()-1,Calcs!AO$2:AO$200,Display_All!AX$2:AX$200,)</f>
        <v/>
      </c>
    </row>
    <row r="34">
      <c r="A34" s="264" t="str">
        <f t="array" ref="A34">xlookup(row()-1,Calcs!AO$2:AO$200,Raw!A$2:A$200,)</f>
        <v/>
      </c>
      <c r="B34" s="264" t="str">
        <f t="array" ref="B34">xlookup(row()-1,Calcs!AO$2:AO$200,Raw!B$2:B$200,)</f>
        <v/>
      </c>
      <c r="C34" s="264" t="str">
        <f t="array" ref="C34">xlookup(row()-1,Calcs!AO$2:AO$200,Raw!I$2:I$200,)</f>
        <v/>
      </c>
      <c r="D34" s="264" t="str">
        <f t="array" ref="D34">xlookup(row()-1,Calcs!AO$2:AO$200,Raw!J$2:J$200,)</f>
        <v/>
      </c>
      <c r="E34" s="264" t="str">
        <f t="array" ref="E34">xlookup(row()-1,Calcs!AO$2:AO$200,Raw!AO$2:AO$200,)</f>
        <v/>
      </c>
      <c r="F34" s="264"/>
      <c r="G34" s="264" t="str">
        <f t="array" ref="G34">xlookup(row()-1,Calcs!AO$2:AO$200,Display_All!AC$2:AC$200,)</f>
        <v/>
      </c>
      <c r="H34" s="264" t="str">
        <f t="array" ref="H34">xlookup(row()-1,Calcs!AO$2:AO$200,Display_All!AE$2:AE$200,)</f>
        <v/>
      </c>
      <c r="I34" s="264" t="str">
        <f t="array" ref="I34">xlookup(row()-1,Calcs!AO$2:AO$200,Display_All!AH$2:AH$200,)</f>
        <v/>
      </c>
      <c r="J34" s="264" t="str">
        <f t="array" ref="J34">xlookup(row()-1,Calcs!AO$2:AO$200,Display_All!AG$2:AG$200,)</f>
        <v/>
      </c>
      <c r="K34" s="264" t="str">
        <f t="array" ref="K34">xlookup(row()-1,Calcs!AO$2:AO$200,Display_All!AU$2:AU$200,)</f>
        <v/>
      </c>
      <c r="L34" s="264" t="str">
        <f t="array" ref="L34">xlookup(row()-1,Calcs!AO$2:AO$200,Display_All!AW$2:AW$200,)</f>
        <v/>
      </c>
      <c r="M34" s="264" t="str">
        <f t="array" ref="M34">xlookup(row()-1,Calcs!AO$2:AO$200,Display_All!AX$2:AX$200,)</f>
        <v/>
      </c>
    </row>
    <row r="35">
      <c r="A35" s="264" t="str">
        <f t="array" ref="A35">xlookup(row()-1,Calcs!AO$2:AO$200,Raw!A$2:A$200,)</f>
        <v/>
      </c>
      <c r="B35" s="264" t="str">
        <f t="array" ref="B35">xlookup(row()-1,Calcs!AO$2:AO$200,Raw!B$2:B$200,)</f>
        <v/>
      </c>
      <c r="C35" s="264" t="str">
        <f t="array" ref="C35">xlookup(row()-1,Calcs!AO$2:AO$200,Raw!I$2:I$200,)</f>
        <v/>
      </c>
      <c r="D35" s="264" t="str">
        <f t="array" ref="D35">xlookup(row()-1,Calcs!AO$2:AO$200,Raw!J$2:J$200,)</f>
        <v/>
      </c>
      <c r="E35" s="264" t="str">
        <f t="array" ref="E35">xlookup(row()-1,Calcs!AO$2:AO$200,Raw!AO$2:AO$200,)</f>
        <v/>
      </c>
      <c r="F35" s="264"/>
      <c r="G35" s="264" t="str">
        <f t="array" ref="G35">xlookup(row()-1,Calcs!AO$2:AO$200,Display_All!AC$2:AC$200,)</f>
        <v/>
      </c>
      <c r="H35" s="264" t="str">
        <f t="array" ref="H35">xlookup(row()-1,Calcs!AO$2:AO$200,Display_All!AE$2:AE$200,)</f>
        <v/>
      </c>
      <c r="I35" s="264" t="str">
        <f t="array" ref="I35">xlookup(row()-1,Calcs!AO$2:AO$200,Display_All!AH$2:AH$200,)</f>
        <v/>
      </c>
      <c r="J35" s="264" t="str">
        <f t="array" ref="J35">xlookup(row()-1,Calcs!AO$2:AO$200,Display_All!AG$2:AG$200,)</f>
        <v/>
      </c>
      <c r="K35" s="264" t="str">
        <f t="array" ref="K35">xlookup(row()-1,Calcs!AO$2:AO$200,Display_All!AU$2:AU$200,)</f>
        <v/>
      </c>
      <c r="L35" s="264" t="str">
        <f t="array" ref="L35">xlookup(row()-1,Calcs!AO$2:AO$200,Display_All!AW$2:AW$200,)</f>
        <v/>
      </c>
      <c r="M35" s="264" t="str">
        <f t="array" ref="M35">xlookup(row()-1,Calcs!AO$2:AO$200,Display_All!AX$2:AX$200,)</f>
        <v/>
      </c>
    </row>
    <row r="36">
      <c r="A36" s="264" t="str">
        <f t="array" ref="A36">xlookup(row()-1,Calcs!AO$2:AO$200,Raw!A$2:A$200,)</f>
        <v/>
      </c>
      <c r="B36" s="264" t="str">
        <f t="array" ref="B36">xlookup(row()-1,Calcs!AO$2:AO$200,Raw!B$2:B$200,)</f>
        <v/>
      </c>
      <c r="C36" s="264" t="str">
        <f t="array" ref="C36">xlookup(row()-1,Calcs!AO$2:AO$200,Raw!I$2:I$200,)</f>
        <v/>
      </c>
      <c r="D36" s="264" t="str">
        <f t="array" ref="D36">xlookup(row()-1,Calcs!AO$2:AO$200,Raw!J$2:J$200,)</f>
        <v/>
      </c>
      <c r="E36" s="264" t="str">
        <f t="array" ref="E36">xlookup(row()-1,Calcs!AO$2:AO$200,Raw!AO$2:AO$200,)</f>
        <v/>
      </c>
      <c r="F36" s="264"/>
      <c r="G36" s="264" t="str">
        <f t="array" ref="G36">xlookup(row()-1,Calcs!AO$2:AO$200,Display_All!AC$2:AC$200,)</f>
        <v/>
      </c>
      <c r="H36" s="264" t="str">
        <f t="array" ref="H36">xlookup(row()-1,Calcs!AO$2:AO$200,Display_All!AE$2:AE$200,)</f>
        <v/>
      </c>
      <c r="I36" s="264" t="str">
        <f t="array" ref="I36">xlookup(row()-1,Calcs!AO$2:AO$200,Display_All!AH$2:AH$200,)</f>
        <v/>
      </c>
      <c r="J36" s="264" t="str">
        <f t="array" ref="J36">xlookup(row()-1,Calcs!AO$2:AO$200,Display_All!AG$2:AG$200,)</f>
        <v/>
      </c>
      <c r="K36" s="264" t="str">
        <f t="array" ref="K36">xlookup(row()-1,Calcs!AO$2:AO$200,Display_All!AU$2:AU$200,)</f>
        <v/>
      </c>
      <c r="L36" s="264" t="str">
        <f t="array" ref="L36">xlookup(row()-1,Calcs!AO$2:AO$200,Display_All!AW$2:AW$200,)</f>
        <v/>
      </c>
      <c r="M36" s="264" t="str">
        <f t="array" ref="M36">xlookup(row()-1,Calcs!AO$2:AO$200,Display_All!AX$2:AX$200,)</f>
        <v/>
      </c>
    </row>
    <row r="37">
      <c r="A37" s="264" t="str">
        <f t="array" ref="A37">xlookup(row()-1,Calcs!AO$2:AO$200,Raw!A$2:A$200,)</f>
        <v/>
      </c>
      <c r="B37" s="264" t="str">
        <f t="array" ref="B37">xlookup(row()-1,Calcs!AO$2:AO$200,Raw!B$2:B$200,)</f>
        <v/>
      </c>
      <c r="C37" s="264" t="str">
        <f t="array" ref="C37">xlookup(row()-1,Calcs!AO$2:AO$200,Raw!I$2:I$200,)</f>
        <v/>
      </c>
      <c r="D37" s="264" t="str">
        <f t="array" ref="D37">xlookup(row()-1,Calcs!AO$2:AO$200,Raw!J$2:J$200,)</f>
        <v/>
      </c>
      <c r="E37" s="264" t="str">
        <f t="array" ref="E37">xlookup(row()-1,Calcs!AO$2:AO$200,Raw!AO$2:AO$200,)</f>
        <v/>
      </c>
      <c r="F37" s="264"/>
      <c r="G37" s="264" t="str">
        <f t="array" ref="G37">xlookup(row()-1,Calcs!AO$2:AO$200,Display_All!AC$2:AC$200,)</f>
        <v/>
      </c>
      <c r="H37" s="264" t="str">
        <f t="array" ref="H37">xlookup(row()-1,Calcs!AO$2:AO$200,Display_All!AE$2:AE$200,)</f>
        <v/>
      </c>
      <c r="I37" s="264" t="str">
        <f t="array" ref="I37">xlookup(row()-1,Calcs!AO$2:AO$200,Display_All!AH$2:AH$200,)</f>
        <v/>
      </c>
      <c r="J37" s="264" t="str">
        <f t="array" ref="J37">xlookup(row()-1,Calcs!AO$2:AO$200,Display_All!AG$2:AG$200,)</f>
        <v/>
      </c>
      <c r="K37" s="264" t="str">
        <f t="array" ref="K37">xlookup(row()-1,Calcs!AO$2:AO$200,Display_All!AU$2:AU$200,)</f>
        <v/>
      </c>
      <c r="L37" s="264" t="str">
        <f t="array" ref="L37">xlookup(row()-1,Calcs!AO$2:AO$200,Display_All!AW$2:AW$200,)</f>
        <v/>
      </c>
      <c r="M37" s="264" t="str">
        <f t="array" ref="M37">xlookup(row()-1,Calcs!AO$2:AO$200,Display_All!AX$2:AX$200,)</f>
        <v/>
      </c>
    </row>
    <row r="38">
      <c r="A38" s="264" t="str">
        <f t="array" ref="A38">xlookup(row()-1,Calcs!AO$2:AO$200,Raw!A$2:A$200,)</f>
        <v/>
      </c>
      <c r="B38" s="264" t="str">
        <f t="array" ref="B38">xlookup(row()-1,Calcs!AO$2:AO$200,Raw!B$2:B$200,)</f>
        <v/>
      </c>
      <c r="C38" s="264" t="str">
        <f t="array" ref="C38">xlookup(row()-1,Calcs!AO$2:AO$200,Raw!I$2:I$200,)</f>
        <v/>
      </c>
      <c r="D38" s="264" t="str">
        <f t="array" ref="D38">xlookup(row()-1,Calcs!AO$2:AO$200,Raw!J$2:J$200,)</f>
        <v/>
      </c>
      <c r="E38" s="264" t="str">
        <f t="array" ref="E38">xlookup(row()-1,Calcs!AO$2:AO$200,Raw!AO$2:AO$200,)</f>
        <v/>
      </c>
      <c r="F38" s="264"/>
      <c r="G38" s="264" t="str">
        <f t="array" ref="G38">xlookup(row()-1,Calcs!AO$2:AO$200,Display_All!AC$2:AC$200,)</f>
        <v/>
      </c>
      <c r="H38" s="264" t="str">
        <f t="array" ref="H38">xlookup(row()-1,Calcs!AO$2:AO$200,Display_All!AE$2:AE$200,)</f>
        <v/>
      </c>
      <c r="I38" s="264" t="str">
        <f t="array" ref="I38">xlookup(row()-1,Calcs!AO$2:AO$200,Display_All!AH$2:AH$200,)</f>
        <v/>
      </c>
      <c r="J38" s="264" t="str">
        <f t="array" ref="J38">xlookup(row()-1,Calcs!AO$2:AO$200,Display_All!AG$2:AG$200,)</f>
        <v/>
      </c>
      <c r="K38" s="264" t="str">
        <f t="array" ref="K38">xlookup(row()-1,Calcs!AO$2:AO$200,Display_All!AU$2:AU$200,)</f>
        <v/>
      </c>
      <c r="L38" s="264" t="str">
        <f t="array" ref="L38">xlookup(row()-1,Calcs!AO$2:AO$200,Display_All!AW$2:AW$200,)</f>
        <v/>
      </c>
      <c r="M38" s="264" t="str">
        <f t="array" ref="M38">xlookup(row()-1,Calcs!AO$2:AO$200,Display_All!AX$2:AX$200,)</f>
        <v/>
      </c>
    </row>
    <row r="39">
      <c r="A39" s="264" t="str">
        <f t="array" ref="A39">xlookup(row()-1,Calcs!AO$2:AO$200,Raw!A$2:A$200,)</f>
        <v/>
      </c>
      <c r="B39" s="264" t="str">
        <f t="array" ref="B39">xlookup(row()-1,Calcs!AO$2:AO$200,Raw!B$2:B$200,)</f>
        <v/>
      </c>
      <c r="C39" s="264" t="str">
        <f t="array" ref="C39">xlookup(row()-1,Calcs!AO$2:AO$200,Raw!I$2:I$200,)</f>
        <v/>
      </c>
      <c r="D39" s="264" t="str">
        <f t="array" ref="D39">xlookup(row()-1,Calcs!AO$2:AO$200,Raw!J$2:J$200,)</f>
        <v/>
      </c>
      <c r="E39" s="264" t="str">
        <f t="array" ref="E39">xlookup(row()-1,Calcs!AO$2:AO$200,Raw!AO$2:AO$200,)</f>
        <v/>
      </c>
      <c r="F39" s="264"/>
      <c r="G39" s="264" t="str">
        <f t="array" ref="G39">xlookup(row()-1,Calcs!AO$2:AO$200,Display_All!AC$2:AC$200,)</f>
        <v/>
      </c>
      <c r="H39" s="264" t="str">
        <f t="array" ref="H39">xlookup(row()-1,Calcs!AO$2:AO$200,Display_All!AE$2:AE$200,)</f>
        <v/>
      </c>
      <c r="I39" s="264" t="str">
        <f t="array" ref="I39">xlookup(row()-1,Calcs!AO$2:AO$200,Display_All!AH$2:AH$200,)</f>
        <v/>
      </c>
      <c r="J39" s="264" t="str">
        <f t="array" ref="J39">xlookup(row()-1,Calcs!AO$2:AO$200,Display_All!AG$2:AG$200,)</f>
        <v/>
      </c>
      <c r="K39" s="264" t="str">
        <f t="array" ref="K39">xlookup(row()-1,Calcs!AO$2:AO$200,Display_All!AU$2:AU$200,)</f>
        <v/>
      </c>
      <c r="L39" s="264" t="str">
        <f t="array" ref="L39">xlookup(row()-1,Calcs!AO$2:AO$200,Display_All!AW$2:AW$200,)</f>
        <v/>
      </c>
      <c r="M39" s="264" t="str">
        <f t="array" ref="M39">xlookup(row()-1,Calcs!AO$2:AO$200,Display_All!AX$2:AX$200,)</f>
        <v/>
      </c>
    </row>
    <row r="40">
      <c r="A40" s="264" t="str">
        <f t="array" ref="A40">xlookup(row()-1,Calcs!AO$2:AO$200,Raw!A$2:A$200,)</f>
        <v/>
      </c>
      <c r="B40" s="264" t="str">
        <f t="array" ref="B40">xlookup(row()-1,Calcs!AO$2:AO$200,Raw!B$2:B$200,)</f>
        <v/>
      </c>
      <c r="C40" s="264" t="str">
        <f t="array" ref="C40">xlookup(row()-1,Calcs!AO$2:AO$200,Raw!I$2:I$200,)</f>
        <v/>
      </c>
      <c r="D40" s="264" t="str">
        <f t="array" ref="D40">xlookup(row()-1,Calcs!AO$2:AO$200,Raw!J$2:J$200,)</f>
        <v/>
      </c>
      <c r="E40" s="264" t="str">
        <f t="array" ref="E40">xlookup(row()-1,Calcs!AO$2:AO$200,Raw!AO$2:AO$200,)</f>
        <v/>
      </c>
      <c r="F40" s="264"/>
      <c r="G40" s="264" t="str">
        <f t="array" ref="G40">xlookup(row()-1,Calcs!AO$2:AO$200,Display_All!AC$2:AC$200,)</f>
        <v/>
      </c>
      <c r="H40" s="264" t="str">
        <f t="array" ref="H40">xlookup(row()-1,Calcs!AO$2:AO$200,Display_All!AE$2:AE$200,)</f>
        <v/>
      </c>
      <c r="I40" s="264" t="str">
        <f t="array" ref="I40">xlookup(row()-1,Calcs!AO$2:AO$200,Display_All!AH$2:AH$200,)</f>
        <v/>
      </c>
      <c r="J40" s="264" t="str">
        <f t="array" ref="J40">xlookup(row()-1,Calcs!AO$2:AO$200,Display_All!AG$2:AG$200,)</f>
        <v/>
      </c>
      <c r="K40" s="264" t="str">
        <f t="array" ref="K40">xlookup(row()-1,Calcs!AO$2:AO$200,Display_All!AU$2:AU$200,)</f>
        <v/>
      </c>
      <c r="L40" s="264" t="str">
        <f t="array" ref="L40">xlookup(row()-1,Calcs!AO$2:AO$200,Display_All!AW$2:AW$200,)</f>
        <v/>
      </c>
      <c r="M40" s="264" t="str">
        <f t="array" ref="M40">xlookup(row()-1,Calcs!AO$2:AO$200,Display_All!AX$2:AX$200,)</f>
        <v/>
      </c>
    </row>
    <row r="41">
      <c r="A41" s="264" t="str">
        <f t="array" ref="A41">xlookup(row()-1,Calcs!AO$2:AO$200,Raw!A$2:A$200,)</f>
        <v/>
      </c>
      <c r="B41" s="264" t="str">
        <f t="array" ref="B41">xlookup(row()-1,Calcs!AO$2:AO$200,Raw!B$2:B$200,)</f>
        <v/>
      </c>
      <c r="C41" s="264" t="str">
        <f t="array" ref="C41">xlookup(row()-1,Calcs!AO$2:AO$200,Raw!I$2:I$200,)</f>
        <v/>
      </c>
      <c r="D41" s="264" t="str">
        <f t="array" ref="D41">xlookup(row()-1,Calcs!AO$2:AO$200,Raw!J$2:J$200,)</f>
        <v/>
      </c>
      <c r="E41" s="264" t="str">
        <f t="array" ref="E41">xlookup(row()-1,Calcs!AO$2:AO$200,Raw!AO$2:AO$200,)</f>
        <v/>
      </c>
      <c r="F41" s="264"/>
      <c r="G41" s="264" t="str">
        <f t="array" ref="G41">xlookup(row()-1,Calcs!AO$2:AO$200,Display_All!AC$2:AC$200,)</f>
        <v/>
      </c>
      <c r="H41" s="264" t="str">
        <f t="array" ref="H41">xlookup(row()-1,Calcs!AO$2:AO$200,Display_All!AE$2:AE$200,)</f>
        <v/>
      </c>
      <c r="I41" s="264" t="str">
        <f t="array" ref="I41">xlookup(row()-1,Calcs!AO$2:AO$200,Display_All!AH$2:AH$200,)</f>
        <v/>
      </c>
      <c r="J41" s="264" t="str">
        <f t="array" ref="J41">xlookup(row()-1,Calcs!AO$2:AO$200,Display_All!AG$2:AG$200,)</f>
        <v/>
      </c>
      <c r="K41" s="264" t="str">
        <f t="array" ref="K41">xlookup(row()-1,Calcs!AO$2:AO$200,Display_All!AU$2:AU$200,)</f>
        <v/>
      </c>
      <c r="L41" s="264" t="str">
        <f t="array" ref="L41">xlookup(row()-1,Calcs!AO$2:AO$200,Display_All!AW$2:AW$200,)</f>
        <v/>
      </c>
      <c r="M41" s="264" t="str">
        <f t="array" ref="M41">xlookup(row()-1,Calcs!AO$2:AO$200,Display_All!AX$2:AX$200,)</f>
        <v/>
      </c>
    </row>
    <row r="42">
      <c r="A42" s="264" t="str">
        <f t="array" ref="A42">xlookup(row()-1,Calcs!AO$2:AO$200,Raw!A$2:A$200,)</f>
        <v/>
      </c>
      <c r="B42" s="264" t="str">
        <f t="array" ref="B42">xlookup(row()-1,Calcs!AO$2:AO$200,Raw!B$2:B$200,)</f>
        <v/>
      </c>
      <c r="C42" s="264" t="str">
        <f t="array" ref="C42">xlookup(row()-1,Calcs!AO$2:AO$200,Raw!I$2:I$200,)</f>
        <v/>
      </c>
      <c r="D42" s="264" t="str">
        <f t="array" ref="D42">xlookup(row()-1,Calcs!AO$2:AO$200,Raw!J$2:J$200,)</f>
        <v/>
      </c>
      <c r="E42" s="264" t="str">
        <f t="array" ref="E42">xlookup(row()-1,Calcs!AO$2:AO$200,Raw!AO$2:AO$200,)</f>
        <v/>
      </c>
      <c r="F42" s="264"/>
      <c r="G42" s="264" t="str">
        <f t="array" ref="G42">xlookup(row()-1,Calcs!AO$2:AO$200,Display_All!AC$2:AC$200,)</f>
        <v/>
      </c>
      <c r="H42" s="264" t="str">
        <f t="array" ref="H42">xlookup(row()-1,Calcs!AO$2:AO$200,Display_All!AE$2:AE$200,)</f>
        <v/>
      </c>
      <c r="I42" s="264" t="str">
        <f t="array" ref="I42">xlookup(row()-1,Calcs!AO$2:AO$200,Display_All!AH$2:AH$200,)</f>
        <v/>
      </c>
      <c r="J42" s="264" t="str">
        <f t="array" ref="J42">xlookup(row()-1,Calcs!AO$2:AO$200,Display_All!AG$2:AG$200,)</f>
        <v/>
      </c>
      <c r="K42" s="264" t="str">
        <f t="array" ref="K42">xlookup(row()-1,Calcs!AO$2:AO$200,Display_All!AU$2:AU$200,)</f>
        <v/>
      </c>
      <c r="L42" s="264" t="str">
        <f t="array" ref="L42">xlookup(row()-1,Calcs!AO$2:AO$200,Display_All!AW$2:AW$200,)</f>
        <v/>
      </c>
      <c r="M42" s="264" t="str">
        <f t="array" ref="M42">xlookup(row()-1,Calcs!AO$2:AO$200,Display_All!AX$2:AX$200,)</f>
        <v/>
      </c>
    </row>
    <row r="43">
      <c r="A43" s="264" t="str">
        <f t="array" ref="A43">xlookup(row()-1,Calcs!AO$2:AO$200,Raw!A$2:A$200,)</f>
        <v/>
      </c>
      <c r="B43" s="264" t="str">
        <f t="array" ref="B43">xlookup(row()-1,Calcs!AO$2:AO$200,Raw!B$2:B$200,)</f>
        <v/>
      </c>
      <c r="C43" s="264" t="str">
        <f t="array" ref="C43">xlookup(row()-1,Calcs!AO$2:AO$200,Raw!I$2:I$200,)</f>
        <v/>
      </c>
      <c r="D43" s="264" t="str">
        <f t="array" ref="D43">xlookup(row()-1,Calcs!AO$2:AO$200,Raw!J$2:J$200,)</f>
        <v/>
      </c>
      <c r="E43" s="264" t="str">
        <f t="array" ref="E43">xlookup(row()-1,Calcs!AO$2:AO$200,Raw!AO$2:AO$200,)</f>
        <v/>
      </c>
      <c r="F43" s="264"/>
      <c r="G43" s="264" t="str">
        <f t="array" ref="G43">xlookup(row()-1,Calcs!AO$2:AO$200,Display_All!AC$2:AC$200,)</f>
        <v/>
      </c>
      <c r="H43" s="264" t="str">
        <f t="array" ref="H43">xlookup(row()-1,Calcs!AO$2:AO$200,Display_All!AE$2:AE$200,)</f>
        <v/>
      </c>
      <c r="I43" s="264" t="str">
        <f t="array" ref="I43">xlookup(row()-1,Calcs!AO$2:AO$200,Display_All!AH$2:AH$200,)</f>
        <v/>
      </c>
      <c r="J43" s="264" t="str">
        <f t="array" ref="J43">xlookup(row()-1,Calcs!AO$2:AO$200,Display_All!AG$2:AG$200,)</f>
        <v/>
      </c>
      <c r="K43" s="264" t="str">
        <f t="array" ref="K43">xlookup(row()-1,Calcs!AO$2:AO$200,Display_All!AU$2:AU$200,)</f>
        <v/>
      </c>
      <c r="L43" s="264" t="str">
        <f t="array" ref="L43">xlookup(row()-1,Calcs!AO$2:AO$200,Display_All!AW$2:AW$200,)</f>
        <v/>
      </c>
      <c r="M43" s="264" t="str">
        <f t="array" ref="M43">xlookup(row()-1,Calcs!AO$2:AO$200,Display_All!AX$2:AX$200,)</f>
        <v/>
      </c>
    </row>
    <row r="44">
      <c r="A44" s="264" t="str">
        <f t="array" ref="A44">xlookup(row()-1,Calcs!AO$2:AO$200,Raw!A$2:A$200,)</f>
        <v/>
      </c>
      <c r="B44" s="264" t="str">
        <f t="array" ref="B44">xlookup(row()-1,Calcs!AO$2:AO$200,Raw!B$2:B$200,)</f>
        <v/>
      </c>
      <c r="C44" s="264" t="str">
        <f t="array" ref="C44">xlookup(row()-1,Calcs!AO$2:AO$200,Raw!I$2:I$200,)</f>
        <v/>
      </c>
      <c r="D44" s="264" t="str">
        <f t="array" ref="D44">xlookup(row()-1,Calcs!AO$2:AO$200,Raw!J$2:J$200,)</f>
        <v/>
      </c>
      <c r="E44" s="264" t="str">
        <f t="array" ref="E44">xlookup(row()-1,Calcs!AO$2:AO$200,Raw!AO$2:AO$200,)</f>
        <v/>
      </c>
      <c r="F44" s="264"/>
      <c r="G44" s="264" t="str">
        <f t="array" ref="G44">xlookup(row()-1,Calcs!AO$2:AO$200,Display_All!AC$2:AC$200,)</f>
        <v/>
      </c>
      <c r="H44" s="264" t="str">
        <f t="array" ref="H44">xlookup(row()-1,Calcs!AO$2:AO$200,Display_All!AE$2:AE$200,)</f>
        <v/>
      </c>
      <c r="I44" s="264" t="str">
        <f t="array" ref="I44">xlookup(row()-1,Calcs!AO$2:AO$200,Display_All!AH$2:AH$200,)</f>
        <v/>
      </c>
      <c r="J44" s="264" t="str">
        <f t="array" ref="J44">xlookup(row()-1,Calcs!AO$2:AO$200,Display_All!AG$2:AG$200,)</f>
        <v/>
      </c>
      <c r="K44" s="264" t="str">
        <f t="array" ref="K44">xlookup(row()-1,Calcs!AO$2:AO$200,Display_All!AU$2:AU$200,)</f>
        <v/>
      </c>
      <c r="L44" s="264" t="str">
        <f t="array" ref="L44">xlookup(row()-1,Calcs!AO$2:AO$200,Display_All!AW$2:AW$200,)</f>
        <v/>
      </c>
      <c r="M44" s="264" t="str">
        <f t="array" ref="M44">xlookup(row()-1,Calcs!AO$2:AO$200,Display_All!AX$2:AX$200,)</f>
        <v/>
      </c>
    </row>
    <row r="45">
      <c r="A45" s="264" t="str">
        <f t="array" ref="A45">xlookup(row()-1,Calcs!AO$2:AO$200,Raw!A$2:A$200,)</f>
        <v/>
      </c>
      <c r="B45" s="264" t="str">
        <f t="array" ref="B45">xlookup(row()-1,Calcs!AO$2:AO$200,Raw!B$2:B$200,)</f>
        <v/>
      </c>
      <c r="C45" s="264" t="str">
        <f t="array" ref="C45">xlookup(row()-1,Calcs!AO$2:AO$200,Raw!I$2:I$200,)</f>
        <v/>
      </c>
      <c r="D45" s="264" t="str">
        <f t="array" ref="D45">xlookup(row()-1,Calcs!AO$2:AO$200,Raw!J$2:J$200,)</f>
        <v/>
      </c>
      <c r="E45" s="264" t="str">
        <f t="array" ref="E45">xlookup(row()-1,Calcs!AO$2:AO$200,Raw!AO$2:AO$200,)</f>
        <v/>
      </c>
      <c r="F45" s="264"/>
      <c r="G45" s="264" t="str">
        <f t="array" ref="G45">xlookup(row()-1,Calcs!AO$2:AO$200,Display_All!AC$2:AC$200,)</f>
        <v/>
      </c>
      <c r="H45" s="264" t="str">
        <f t="array" ref="H45">xlookup(row()-1,Calcs!AO$2:AO$200,Display_All!AE$2:AE$200,)</f>
        <v/>
      </c>
      <c r="I45" s="264" t="str">
        <f t="array" ref="I45">xlookup(row()-1,Calcs!AO$2:AO$200,Display_All!AH$2:AH$200,)</f>
        <v/>
      </c>
      <c r="J45" s="264" t="str">
        <f t="array" ref="J45">xlookup(row()-1,Calcs!AO$2:AO$200,Display_All!AG$2:AG$200,)</f>
        <v/>
      </c>
      <c r="K45" s="264" t="str">
        <f t="array" ref="K45">xlookup(row()-1,Calcs!AO$2:AO$200,Display_All!AU$2:AU$200,)</f>
        <v/>
      </c>
      <c r="L45" s="264" t="str">
        <f t="array" ref="L45">xlookup(row()-1,Calcs!AO$2:AO$200,Display_All!AW$2:AW$200,)</f>
        <v/>
      </c>
      <c r="M45" s="264" t="str">
        <f t="array" ref="M45">xlookup(row()-1,Calcs!AO$2:AO$200,Display_All!AX$2:AX$200,)</f>
        <v/>
      </c>
    </row>
    <row r="46">
      <c r="A46" s="264" t="str">
        <f t="array" ref="A46">xlookup(row()-1,Calcs!AO$2:AO$200,Raw!A$2:A$200,)</f>
        <v/>
      </c>
      <c r="B46" s="264" t="str">
        <f t="array" ref="B46">xlookup(row()-1,Calcs!AO$2:AO$200,Raw!B$2:B$200,)</f>
        <v/>
      </c>
      <c r="C46" s="264" t="str">
        <f t="array" ref="C46">xlookup(row()-1,Calcs!AO$2:AO$200,Raw!I$2:I$200,)</f>
        <v/>
      </c>
      <c r="D46" s="264" t="str">
        <f t="array" ref="D46">xlookup(row()-1,Calcs!AO$2:AO$200,Raw!J$2:J$200,)</f>
        <v/>
      </c>
      <c r="E46" s="264" t="str">
        <f t="array" ref="E46">xlookup(row()-1,Calcs!AO$2:AO$200,Raw!AO$2:AO$200,)</f>
        <v/>
      </c>
      <c r="F46" s="264"/>
      <c r="G46" s="264" t="str">
        <f t="array" ref="G46">xlookup(row()-1,Calcs!AO$2:AO$200,Display_All!AC$2:AC$200,)</f>
        <v/>
      </c>
      <c r="H46" s="264" t="str">
        <f t="array" ref="H46">xlookup(row()-1,Calcs!AO$2:AO$200,Display_All!AE$2:AE$200,)</f>
        <v/>
      </c>
      <c r="I46" s="264" t="str">
        <f t="array" ref="I46">xlookup(row()-1,Calcs!AO$2:AO$200,Display_All!AH$2:AH$200,)</f>
        <v/>
      </c>
      <c r="J46" s="264" t="str">
        <f t="array" ref="J46">xlookup(row()-1,Calcs!AO$2:AO$200,Display_All!AG$2:AG$200,)</f>
        <v/>
      </c>
      <c r="K46" s="264" t="str">
        <f t="array" ref="K46">xlookup(row()-1,Calcs!AO$2:AO$200,Display_All!AU$2:AU$200,)</f>
        <v/>
      </c>
      <c r="L46" s="264" t="str">
        <f t="array" ref="L46">xlookup(row()-1,Calcs!AO$2:AO$200,Display_All!AW$2:AW$200,)</f>
        <v/>
      </c>
      <c r="M46" s="264" t="str">
        <f t="array" ref="M46">xlookup(row()-1,Calcs!AO$2:AO$200,Display_All!AX$2:AX$200,)</f>
        <v/>
      </c>
    </row>
    <row r="47">
      <c r="A47" s="264" t="str">
        <f t="array" ref="A47">xlookup(row()-1,Calcs!AO$2:AO$200,Raw!A$2:A$200,)</f>
        <v/>
      </c>
      <c r="B47" s="264" t="str">
        <f t="array" ref="B47">xlookup(row()-1,Calcs!AO$2:AO$200,Raw!B$2:B$200,)</f>
        <v/>
      </c>
      <c r="C47" s="264" t="str">
        <f t="array" ref="C47">xlookup(row()-1,Calcs!AO$2:AO$200,Raw!I$2:I$200,)</f>
        <v/>
      </c>
      <c r="D47" s="264" t="str">
        <f t="array" ref="D47">xlookup(row()-1,Calcs!AO$2:AO$200,Raw!J$2:J$200,)</f>
        <v/>
      </c>
      <c r="E47" s="264" t="str">
        <f t="array" ref="E47">xlookup(row()-1,Calcs!AO$2:AO$200,Raw!AO$2:AO$200,)</f>
        <v/>
      </c>
      <c r="F47" s="264"/>
      <c r="G47" s="264" t="str">
        <f t="array" ref="G47">xlookup(row()-1,Calcs!AO$2:AO$200,Display_All!AC$2:AC$200,)</f>
        <v/>
      </c>
      <c r="H47" s="264" t="str">
        <f t="array" ref="H47">xlookup(row()-1,Calcs!AO$2:AO$200,Display_All!AE$2:AE$200,)</f>
        <v/>
      </c>
      <c r="I47" s="264" t="str">
        <f t="array" ref="I47">xlookup(row()-1,Calcs!AO$2:AO$200,Display_All!AH$2:AH$200,)</f>
        <v/>
      </c>
      <c r="J47" s="264" t="str">
        <f t="array" ref="J47">xlookup(row()-1,Calcs!AO$2:AO$200,Display_All!AG$2:AG$200,)</f>
        <v/>
      </c>
      <c r="K47" s="264" t="str">
        <f t="array" ref="K47">xlookup(row()-1,Calcs!AO$2:AO$200,Display_All!AU$2:AU$200,)</f>
        <v/>
      </c>
      <c r="L47" s="264" t="str">
        <f t="array" ref="L47">xlookup(row()-1,Calcs!AO$2:AO$200,Display_All!AW$2:AW$200,)</f>
        <v/>
      </c>
      <c r="M47" s="264" t="str">
        <f t="array" ref="M47">xlookup(row()-1,Calcs!AO$2:AO$200,Display_All!AX$2:AX$200,)</f>
        <v/>
      </c>
    </row>
    <row r="48">
      <c r="A48" s="264" t="str">
        <f t="array" ref="A48">xlookup(row()-1,Calcs!AO$2:AO$200,Raw!A$2:A$200,)</f>
        <v/>
      </c>
      <c r="B48" s="264" t="str">
        <f t="array" ref="B48">xlookup(row()-1,Calcs!AO$2:AO$200,Raw!B$2:B$200,)</f>
        <v/>
      </c>
      <c r="C48" s="264" t="str">
        <f t="array" ref="C48">xlookup(row()-1,Calcs!AO$2:AO$200,Raw!I$2:I$200,)</f>
        <v/>
      </c>
      <c r="D48" s="264" t="str">
        <f t="array" ref="D48">xlookup(row()-1,Calcs!AO$2:AO$200,Raw!J$2:J$200,)</f>
        <v/>
      </c>
      <c r="E48" s="264" t="str">
        <f t="array" ref="E48">xlookup(row()-1,Calcs!AO$2:AO$200,Raw!AO$2:AO$200,)</f>
        <v/>
      </c>
      <c r="F48" s="264"/>
      <c r="G48" s="264" t="str">
        <f t="array" ref="G48">xlookup(row()-1,Calcs!AO$2:AO$200,Display_All!AC$2:AC$200,)</f>
        <v/>
      </c>
      <c r="H48" s="264" t="str">
        <f t="array" ref="H48">xlookup(row()-1,Calcs!AO$2:AO$200,Display_All!AE$2:AE$200,)</f>
        <v/>
      </c>
      <c r="I48" s="264" t="str">
        <f t="array" ref="I48">xlookup(row()-1,Calcs!AO$2:AO$200,Display_All!AH$2:AH$200,)</f>
        <v/>
      </c>
      <c r="J48" s="264" t="str">
        <f t="array" ref="J48">xlookup(row()-1,Calcs!AO$2:AO$200,Display_All!AG$2:AG$200,)</f>
        <v/>
      </c>
      <c r="K48" s="264" t="str">
        <f t="array" ref="K48">xlookup(row()-1,Calcs!AO$2:AO$200,Display_All!AU$2:AU$200,)</f>
        <v/>
      </c>
      <c r="L48" s="264" t="str">
        <f t="array" ref="L48">xlookup(row()-1,Calcs!AO$2:AO$200,Display_All!AW$2:AW$200,)</f>
        <v/>
      </c>
      <c r="M48" s="264" t="str">
        <f t="array" ref="M48">xlookup(row()-1,Calcs!AO$2:AO$200,Display_All!AX$2:AX$200,)</f>
        <v/>
      </c>
    </row>
    <row r="49">
      <c r="A49" s="264" t="str">
        <f t="array" ref="A49">xlookup(row()-1,Calcs!AO$2:AO$200,Raw!A$2:A$200,)</f>
        <v/>
      </c>
      <c r="B49" s="264" t="str">
        <f t="array" ref="B49">xlookup(row()-1,Calcs!AO$2:AO$200,Raw!B$2:B$200,)</f>
        <v/>
      </c>
      <c r="C49" s="264" t="str">
        <f t="array" ref="C49">xlookup(row()-1,Calcs!AO$2:AO$200,Raw!I$2:I$200,)</f>
        <v/>
      </c>
      <c r="D49" s="264" t="str">
        <f t="array" ref="D49">xlookup(row()-1,Calcs!AO$2:AO$200,Raw!J$2:J$200,)</f>
        <v/>
      </c>
      <c r="E49" s="264" t="str">
        <f t="array" ref="E49">xlookup(row()-1,Calcs!AO$2:AO$200,Raw!AO$2:AO$200,)</f>
        <v/>
      </c>
      <c r="F49" s="264"/>
      <c r="G49" s="264" t="str">
        <f t="array" ref="G49">xlookup(row()-1,Calcs!AO$2:AO$200,Display_All!AC$2:AC$200,)</f>
        <v/>
      </c>
      <c r="H49" s="264" t="str">
        <f t="array" ref="H49">xlookup(row()-1,Calcs!AO$2:AO$200,Display_All!AE$2:AE$200,)</f>
        <v/>
      </c>
      <c r="I49" s="264" t="str">
        <f t="array" ref="I49">xlookup(row()-1,Calcs!AO$2:AO$200,Display_All!AH$2:AH$200,)</f>
        <v/>
      </c>
      <c r="J49" s="264" t="str">
        <f t="array" ref="J49">xlookup(row()-1,Calcs!AO$2:AO$200,Display_All!AG$2:AG$200,)</f>
        <v/>
      </c>
      <c r="K49" s="264" t="str">
        <f t="array" ref="K49">xlookup(row()-1,Calcs!AO$2:AO$200,Display_All!AU$2:AU$200,)</f>
        <v/>
      </c>
      <c r="L49" s="264" t="str">
        <f t="array" ref="L49">xlookup(row()-1,Calcs!AO$2:AO$200,Display_All!AW$2:AW$200,)</f>
        <v/>
      </c>
      <c r="M49" s="264" t="str">
        <f t="array" ref="M49">xlookup(row()-1,Calcs!AO$2:AO$200,Display_All!AX$2:AX$200,)</f>
        <v/>
      </c>
    </row>
    <row r="50">
      <c r="A50" s="264" t="str">
        <f t="array" ref="A50">xlookup(row()-1,Calcs!AO$2:AO$200,Raw!A$2:A$200,)</f>
        <v/>
      </c>
      <c r="B50" s="264" t="str">
        <f t="array" ref="B50">xlookup(row()-1,Calcs!AO$2:AO$200,Raw!B$2:B$200,)</f>
        <v/>
      </c>
      <c r="C50" s="264" t="str">
        <f t="array" ref="C50">xlookup(row()-1,Calcs!AO$2:AO$200,Raw!I$2:I$200,)</f>
        <v/>
      </c>
      <c r="D50" s="264" t="str">
        <f t="array" ref="D50">xlookup(row()-1,Calcs!AO$2:AO$200,Raw!J$2:J$200,)</f>
        <v/>
      </c>
      <c r="E50" s="264" t="str">
        <f t="array" ref="E50">xlookup(row()-1,Calcs!AO$2:AO$200,Raw!AO$2:AO$200,)</f>
        <v/>
      </c>
      <c r="F50" s="264"/>
      <c r="G50" s="264" t="str">
        <f t="array" ref="G50">xlookup(row()-1,Calcs!AO$2:AO$200,Display_All!AC$2:AC$200,)</f>
        <v/>
      </c>
      <c r="H50" s="264" t="str">
        <f t="array" ref="H50">xlookup(row()-1,Calcs!AO$2:AO$200,Display_All!AE$2:AE$200,)</f>
        <v/>
      </c>
      <c r="I50" s="264" t="str">
        <f t="array" ref="I50">xlookup(row()-1,Calcs!AO$2:AO$200,Display_All!AH$2:AH$200,)</f>
        <v/>
      </c>
      <c r="J50" s="264" t="str">
        <f t="array" ref="J50">xlookup(row()-1,Calcs!AO$2:AO$200,Display_All!AG$2:AG$200,)</f>
        <v/>
      </c>
      <c r="K50" s="264" t="str">
        <f t="array" ref="K50">xlookup(row()-1,Calcs!AO$2:AO$200,Display_All!AU$2:AU$200,)</f>
        <v/>
      </c>
      <c r="L50" s="264" t="str">
        <f t="array" ref="L50">xlookup(row()-1,Calcs!AO$2:AO$200,Display_All!AW$2:AW$200,)</f>
        <v/>
      </c>
      <c r="M50" s="264" t="str">
        <f t="array" ref="M50">xlookup(row()-1,Calcs!AO$2:AO$200,Display_All!AX$2:AX$200,)</f>
        <v/>
      </c>
    </row>
    <row r="51">
      <c r="A51" s="264" t="str">
        <f t="array" ref="A51">xlookup(row()-1,Calcs!AO$2:AO$200,Raw!A$2:A$200,)</f>
        <v/>
      </c>
      <c r="B51" s="264" t="str">
        <f t="array" ref="B51">xlookup(row()-1,Calcs!AO$2:AO$200,Raw!B$2:B$200,)</f>
        <v/>
      </c>
      <c r="C51" s="264" t="str">
        <f t="array" ref="C51">xlookup(row()-1,Calcs!AO$2:AO$200,Raw!I$2:I$200,)</f>
        <v/>
      </c>
      <c r="D51" s="264" t="str">
        <f t="array" ref="D51">xlookup(row()-1,Calcs!AO$2:AO$200,Raw!J$2:J$200,)</f>
        <v/>
      </c>
      <c r="E51" s="264" t="str">
        <f t="array" ref="E51">xlookup(row()-1,Calcs!AO$2:AO$200,Raw!AO$2:AO$200,)</f>
        <v/>
      </c>
      <c r="F51" s="264"/>
      <c r="G51" s="264" t="str">
        <f t="array" ref="G51">xlookup(row()-1,Calcs!AO$2:AO$200,Display_All!AC$2:AC$200,)</f>
        <v/>
      </c>
      <c r="H51" s="264" t="str">
        <f t="array" ref="H51">xlookup(row()-1,Calcs!AO$2:AO$200,Display_All!AE$2:AE$200,)</f>
        <v/>
      </c>
      <c r="I51" s="264" t="str">
        <f t="array" ref="I51">xlookup(row()-1,Calcs!AO$2:AO$200,Display_All!AH$2:AH$200,)</f>
        <v/>
      </c>
      <c r="J51" s="264" t="str">
        <f t="array" ref="J51">xlookup(row()-1,Calcs!AO$2:AO$200,Display_All!AG$2:AG$200,)</f>
        <v/>
      </c>
      <c r="K51" s="264" t="str">
        <f t="array" ref="K51">xlookup(row()-1,Calcs!AO$2:AO$200,Display_All!AU$2:AU$200,)</f>
        <v/>
      </c>
      <c r="L51" s="264" t="str">
        <f t="array" ref="L51">xlookup(row()-1,Calcs!AO$2:AO$200,Display_All!AW$2:AW$200,)</f>
        <v/>
      </c>
      <c r="M51" s="264" t="str">
        <f t="array" ref="M51">xlookup(row()-1,Calcs!AO$2:AO$200,Display_All!AX$2:AX$200,)</f>
        <v/>
      </c>
    </row>
    <row r="52">
      <c r="A52" s="264" t="str">
        <f t="array" ref="A52">xlookup(row()-1,Calcs!AO$2:AO$200,Raw!A$2:A$200,)</f>
        <v/>
      </c>
      <c r="B52" s="264" t="str">
        <f t="array" ref="B52">xlookup(row()-1,Calcs!AO$2:AO$200,Raw!B$2:B$200,)</f>
        <v/>
      </c>
      <c r="C52" s="264" t="str">
        <f t="array" ref="C52">xlookup(row()-1,Calcs!AO$2:AO$200,Raw!I$2:I$200,)</f>
        <v/>
      </c>
      <c r="D52" s="264" t="str">
        <f t="array" ref="D52">xlookup(row()-1,Calcs!AO$2:AO$200,Raw!J$2:J$200,)</f>
        <v/>
      </c>
      <c r="E52" s="264" t="str">
        <f t="array" ref="E52">xlookup(row()-1,Calcs!AO$2:AO$200,Raw!AO$2:AO$200,)</f>
        <v/>
      </c>
      <c r="F52" s="264"/>
      <c r="G52" s="264" t="str">
        <f t="array" ref="G52">xlookup(row()-1,Calcs!AO$2:AO$200,Display_All!AC$2:AC$200,)</f>
        <v/>
      </c>
      <c r="H52" s="264" t="str">
        <f t="array" ref="H52">xlookup(row()-1,Calcs!AO$2:AO$200,Display_All!AE$2:AE$200,)</f>
        <v/>
      </c>
      <c r="I52" s="264" t="str">
        <f t="array" ref="I52">xlookup(row()-1,Calcs!AO$2:AO$200,Display_All!AH$2:AH$200,)</f>
        <v/>
      </c>
      <c r="J52" s="264" t="str">
        <f t="array" ref="J52">xlookup(row()-1,Calcs!AO$2:AO$200,Display_All!AG$2:AG$200,)</f>
        <v/>
      </c>
      <c r="K52" s="264" t="str">
        <f t="array" ref="K52">xlookup(row()-1,Calcs!AO$2:AO$200,Display_All!AU$2:AU$200,)</f>
        <v/>
      </c>
      <c r="L52" s="264" t="str">
        <f t="array" ref="L52">xlookup(row()-1,Calcs!AO$2:AO$200,Display_All!AW$2:AW$200,)</f>
        <v/>
      </c>
      <c r="M52" s="264" t="str">
        <f t="array" ref="M52">xlookup(row()-1,Calcs!AO$2:AO$200,Display_All!AX$2:AX$200,)</f>
        <v/>
      </c>
    </row>
    <row r="53">
      <c r="A53" s="264" t="str">
        <f t="array" ref="A53">xlookup(row()-1,Calcs!AO$2:AO$200,Raw!A$2:A$200,)</f>
        <v/>
      </c>
      <c r="B53" s="264" t="str">
        <f t="array" ref="B53">xlookup(row()-1,Calcs!AO$2:AO$200,Raw!B$2:B$200,)</f>
        <v/>
      </c>
      <c r="C53" s="264" t="str">
        <f t="array" ref="C53">xlookup(row()-1,Calcs!AO$2:AO$200,Raw!I$2:I$200,)</f>
        <v/>
      </c>
      <c r="D53" s="264" t="str">
        <f t="array" ref="D53">xlookup(row()-1,Calcs!AO$2:AO$200,Raw!J$2:J$200,)</f>
        <v/>
      </c>
      <c r="E53" s="264" t="str">
        <f t="array" ref="E53">xlookup(row()-1,Calcs!AO$2:AO$200,Raw!AO$2:AO$200,)</f>
        <v/>
      </c>
      <c r="F53" s="264"/>
      <c r="G53" s="264" t="str">
        <f t="array" ref="G53">xlookup(row()-1,Calcs!AO$2:AO$200,Display_All!AC$2:AC$200,)</f>
        <v/>
      </c>
      <c r="H53" s="264" t="str">
        <f t="array" ref="H53">xlookup(row()-1,Calcs!AO$2:AO$200,Display_All!AE$2:AE$200,)</f>
        <v/>
      </c>
      <c r="I53" s="264" t="str">
        <f t="array" ref="I53">xlookup(row()-1,Calcs!AO$2:AO$200,Display_All!AH$2:AH$200,)</f>
        <v/>
      </c>
      <c r="J53" s="264" t="str">
        <f t="array" ref="J53">xlookup(row()-1,Calcs!AO$2:AO$200,Display_All!AG$2:AG$200,)</f>
        <v/>
      </c>
      <c r="K53" s="264" t="str">
        <f t="array" ref="K53">xlookup(row()-1,Calcs!AO$2:AO$200,Display_All!AU$2:AU$200,)</f>
        <v/>
      </c>
      <c r="L53" s="264" t="str">
        <f t="array" ref="L53">xlookup(row()-1,Calcs!AO$2:AO$200,Display_All!AW$2:AW$200,)</f>
        <v/>
      </c>
      <c r="M53" s="264" t="str">
        <f t="array" ref="M53">xlookup(row()-1,Calcs!AO$2:AO$200,Display_All!AX$2:AX$200,)</f>
        <v/>
      </c>
    </row>
    <row r="54">
      <c r="A54" s="264" t="str">
        <f t="array" ref="A54">xlookup(row()-1,Calcs!AO$2:AO$200,Raw!A$2:A$200,)</f>
        <v/>
      </c>
      <c r="B54" s="264" t="str">
        <f t="array" ref="B54">xlookup(row()-1,Calcs!AO$2:AO$200,Raw!B$2:B$200,)</f>
        <v/>
      </c>
      <c r="C54" s="264" t="str">
        <f t="array" ref="C54">xlookup(row()-1,Calcs!AO$2:AO$200,Raw!I$2:I$200,)</f>
        <v/>
      </c>
      <c r="D54" s="264" t="str">
        <f t="array" ref="D54">xlookup(row()-1,Calcs!AO$2:AO$200,Raw!J$2:J$200,)</f>
        <v/>
      </c>
      <c r="E54" s="264" t="str">
        <f t="array" ref="E54">xlookup(row()-1,Calcs!AO$2:AO$200,Raw!AO$2:AO$200,)</f>
        <v/>
      </c>
      <c r="F54" s="264"/>
      <c r="G54" s="264" t="str">
        <f t="array" ref="G54">xlookup(row()-1,Calcs!AO$2:AO$200,Display_All!AC$2:AC$200,)</f>
        <v/>
      </c>
      <c r="H54" s="264" t="str">
        <f t="array" ref="H54">xlookup(row()-1,Calcs!AO$2:AO$200,Display_All!AE$2:AE$200,)</f>
        <v/>
      </c>
      <c r="I54" s="264" t="str">
        <f t="array" ref="I54">xlookup(row()-1,Calcs!AO$2:AO$200,Display_All!AH$2:AH$200,)</f>
        <v/>
      </c>
      <c r="J54" s="264" t="str">
        <f t="array" ref="J54">xlookup(row()-1,Calcs!AO$2:AO$200,Display_All!AG$2:AG$200,)</f>
        <v/>
      </c>
      <c r="K54" s="264" t="str">
        <f t="array" ref="K54">xlookup(row()-1,Calcs!AO$2:AO$200,Display_All!AU$2:AU$200,)</f>
        <v/>
      </c>
      <c r="L54" s="264" t="str">
        <f t="array" ref="L54">xlookup(row()-1,Calcs!AO$2:AO$200,Display_All!AW$2:AW$200,)</f>
        <v/>
      </c>
      <c r="M54" s="264" t="str">
        <f t="array" ref="M54">xlookup(row()-1,Calcs!AO$2:AO$200,Display_All!AX$2:AX$200,)</f>
        <v/>
      </c>
    </row>
    <row r="55">
      <c r="A55" s="264" t="str">
        <f t="array" ref="A55">xlookup(row()-1,Calcs!AO$2:AO$200,Raw!A$2:A$200,)</f>
        <v/>
      </c>
      <c r="B55" s="264" t="str">
        <f t="array" ref="B55">xlookup(row()-1,Calcs!AO$2:AO$200,Raw!B$2:B$200,)</f>
        <v/>
      </c>
      <c r="C55" s="264" t="str">
        <f t="array" ref="C55">xlookup(row()-1,Calcs!AO$2:AO$200,Raw!I$2:I$200,)</f>
        <v/>
      </c>
      <c r="D55" s="264" t="str">
        <f t="array" ref="D55">xlookup(row()-1,Calcs!AO$2:AO$200,Raw!J$2:J$200,)</f>
        <v/>
      </c>
      <c r="E55" s="264" t="str">
        <f t="array" ref="E55">xlookup(row()-1,Calcs!AO$2:AO$200,Raw!AO$2:AO$200,)</f>
        <v/>
      </c>
      <c r="F55" s="264"/>
      <c r="G55" s="264" t="str">
        <f t="array" ref="G55">xlookup(row()-1,Calcs!AO$2:AO$200,Display_All!AC$2:AC$200,)</f>
        <v/>
      </c>
      <c r="H55" s="264" t="str">
        <f t="array" ref="H55">xlookup(row()-1,Calcs!AO$2:AO$200,Display_All!AE$2:AE$200,)</f>
        <v/>
      </c>
      <c r="I55" s="264" t="str">
        <f t="array" ref="I55">xlookup(row()-1,Calcs!AO$2:AO$200,Display_All!AH$2:AH$200,)</f>
        <v/>
      </c>
      <c r="J55" s="264" t="str">
        <f t="array" ref="J55">xlookup(row()-1,Calcs!AO$2:AO$200,Display_All!AG$2:AG$200,)</f>
        <v/>
      </c>
      <c r="K55" s="264" t="str">
        <f t="array" ref="K55">xlookup(row()-1,Calcs!AO$2:AO$200,Display_All!AU$2:AU$200,)</f>
        <v/>
      </c>
      <c r="L55" s="264" t="str">
        <f t="array" ref="L55">xlookup(row()-1,Calcs!AO$2:AO$200,Display_All!AW$2:AW$200,)</f>
        <v/>
      </c>
      <c r="M55" s="264" t="str">
        <f t="array" ref="M55">xlookup(row()-1,Calcs!AO$2:AO$200,Display_All!AX$2:AX$200,)</f>
        <v/>
      </c>
    </row>
    <row r="56">
      <c r="A56" s="264" t="str">
        <f t="array" ref="A56">xlookup(row()-1,Calcs!AO$2:AO$200,Raw!A$2:A$200,)</f>
        <v/>
      </c>
      <c r="B56" s="264" t="str">
        <f t="array" ref="B56">xlookup(row()-1,Calcs!AO$2:AO$200,Raw!B$2:B$200,)</f>
        <v/>
      </c>
      <c r="C56" s="264" t="str">
        <f t="array" ref="C56">xlookup(row()-1,Calcs!AO$2:AO$200,Raw!I$2:I$200,)</f>
        <v/>
      </c>
      <c r="D56" s="264" t="str">
        <f t="array" ref="D56">xlookup(row()-1,Calcs!AO$2:AO$200,Raw!J$2:J$200,)</f>
        <v/>
      </c>
      <c r="E56" s="264" t="str">
        <f t="array" ref="E56">xlookup(row()-1,Calcs!AO$2:AO$200,Raw!AO$2:AO$200,)</f>
        <v/>
      </c>
      <c r="F56" s="264"/>
      <c r="G56" s="264" t="str">
        <f t="array" ref="G56">xlookup(row()-1,Calcs!AO$2:AO$200,Display_All!AC$2:AC$200,)</f>
        <v/>
      </c>
      <c r="H56" s="264" t="str">
        <f t="array" ref="H56">xlookup(row()-1,Calcs!AO$2:AO$200,Display_All!AE$2:AE$200,)</f>
        <v/>
      </c>
      <c r="I56" s="264" t="str">
        <f t="array" ref="I56">xlookup(row()-1,Calcs!AO$2:AO$200,Display_All!AH$2:AH$200,)</f>
        <v/>
      </c>
      <c r="J56" s="264" t="str">
        <f t="array" ref="J56">xlookup(row()-1,Calcs!AO$2:AO$200,Display_All!AG$2:AG$200,)</f>
        <v/>
      </c>
      <c r="K56" s="264" t="str">
        <f t="array" ref="K56">xlookup(row()-1,Calcs!AO$2:AO$200,Display_All!AU$2:AU$200,)</f>
        <v/>
      </c>
      <c r="L56" s="264" t="str">
        <f t="array" ref="L56">xlookup(row()-1,Calcs!AO$2:AO$200,Display_All!AW$2:AW$200,)</f>
        <v/>
      </c>
      <c r="M56" s="264" t="str">
        <f t="array" ref="M56">xlookup(row()-1,Calcs!AO$2:AO$200,Display_All!AX$2:AX$200,)</f>
        <v/>
      </c>
    </row>
    <row r="57">
      <c r="A57" s="264" t="str">
        <f t="array" ref="A57">xlookup(row()-1,Calcs!AO$2:AO$200,Raw!A$2:A$200,)</f>
        <v/>
      </c>
      <c r="B57" s="264" t="str">
        <f t="array" ref="B57">xlookup(row()-1,Calcs!AO$2:AO$200,Raw!B$2:B$200,)</f>
        <v/>
      </c>
      <c r="C57" s="264" t="str">
        <f t="array" ref="C57">xlookup(row()-1,Calcs!AO$2:AO$200,Raw!I$2:I$200,)</f>
        <v/>
      </c>
      <c r="D57" s="264" t="str">
        <f t="array" ref="D57">xlookup(row()-1,Calcs!AO$2:AO$200,Raw!J$2:J$200,)</f>
        <v/>
      </c>
      <c r="E57" s="264" t="str">
        <f t="array" ref="E57">xlookup(row()-1,Calcs!AO$2:AO$200,Raw!AO$2:AO$200,)</f>
        <v/>
      </c>
      <c r="F57" s="264"/>
      <c r="G57" s="264" t="str">
        <f t="array" ref="G57">xlookup(row()-1,Calcs!AO$2:AO$200,Display_All!AC$2:AC$200,)</f>
        <v/>
      </c>
      <c r="H57" s="264" t="str">
        <f t="array" ref="H57">xlookup(row()-1,Calcs!AO$2:AO$200,Display_All!AE$2:AE$200,)</f>
        <v/>
      </c>
      <c r="I57" s="264" t="str">
        <f t="array" ref="I57">xlookup(row()-1,Calcs!AO$2:AO$200,Display_All!AH$2:AH$200,)</f>
        <v/>
      </c>
      <c r="J57" s="264" t="str">
        <f t="array" ref="J57">xlookup(row()-1,Calcs!AO$2:AO$200,Display_All!AG$2:AG$200,)</f>
        <v/>
      </c>
      <c r="K57" s="264" t="str">
        <f t="array" ref="K57">xlookup(row()-1,Calcs!AO$2:AO$200,Display_All!AU$2:AU$200,)</f>
        <v/>
      </c>
      <c r="L57" s="264" t="str">
        <f t="array" ref="L57">xlookup(row()-1,Calcs!AO$2:AO$200,Display_All!AW$2:AW$200,)</f>
        <v/>
      </c>
      <c r="M57" s="264" t="str">
        <f t="array" ref="M57">xlookup(row()-1,Calcs!AO$2:AO$200,Display_All!AX$2:AX$200,)</f>
        <v/>
      </c>
    </row>
    <row r="58">
      <c r="A58" s="264" t="str">
        <f t="array" ref="A58">xlookup(row()-1,Calcs!AO$2:AO$200,Raw!A$2:A$200,)</f>
        <v/>
      </c>
      <c r="B58" s="264" t="str">
        <f t="array" ref="B58">xlookup(row()-1,Calcs!AO$2:AO$200,Raw!B$2:B$200,)</f>
        <v/>
      </c>
      <c r="C58" s="264" t="str">
        <f t="array" ref="C58">xlookup(row()-1,Calcs!AO$2:AO$200,Raw!I$2:I$200,)</f>
        <v/>
      </c>
      <c r="D58" s="264" t="str">
        <f t="array" ref="D58">xlookup(row()-1,Calcs!AO$2:AO$200,Raw!J$2:J$200,)</f>
        <v/>
      </c>
      <c r="E58" s="264" t="str">
        <f t="array" ref="E58">xlookup(row()-1,Calcs!AO$2:AO$200,Raw!AO$2:AO$200,)</f>
        <v/>
      </c>
      <c r="F58" s="264"/>
      <c r="G58" s="264" t="str">
        <f t="array" ref="G58">xlookup(row()-1,Calcs!AO$2:AO$200,Display_All!AC$2:AC$200,)</f>
        <v/>
      </c>
      <c r="H58" s="264" t="str">
        <f t="array" ref="H58">xlookup(row()-1,Calcs!AO$2:AO$200,Display_All!AE$2:AE$200,)</f>
        <v/>
      </c>
      <c r="I58" s="264" t="str">
        <f t="array" ref="I58">xlookup(row()-1,Calcs!AO$2:AO$200,Display_All!AH$2:AH$200,)</f>
        <v/>
      </c>
      <c r="J58" s="264" t="str">
        <f t="array" ref="J58">xlookup(row()-1,Calcs!AO$2:AO$200,Display_All!AG$2:AG$200,)</f>
        <v/>
      </c>
      <c r="K58" s="264" t="str">
        <f t="array" ref="K58">xlookup(row()-1,Calcs!AO$2:AO$200,Display_All!AU$2:AU$200,)</f>
        <v/>
      </c>
      <c r="L58" s="264" t="str">
        <f t="array" ref="L58">xlookup(row()-1,Calcs!AO$2:AO$200,Display_All!AW$2:AW$200,)</f>
        <v/>
      </c>
      <c r="M58" s="264" t="str">
        <f t="array" ref="M58">xlookup(row()-1,Calcs!AO$2:AO$200,Display_All!AX$2:AX$200,)</f>
        <v/>
      </c>
    </row>
    <row r="59">
      <c r="A59" s="264" t="str">
        <f t="array" ref="A59">xlookup(row()-1,Calcs!AO$2:AO$200,Raw!A$2:A$200,)</f>
        <v/>
      </c>
      <c r="B59" s="264" t="str">
        <f t="array" ref="B59">xlookup(row()-1,Calcs!AO$2:AO$200,Raw!B$2:B$200,)</f>
        <v/>
      </c>
      <c r="C59" s="264" t="str">
        <f t="array" ref="C59">xlookup(row()-1,Calcs!AO$2:AO$200,Raw!I$2:I$200,)</f>
        <v/>
      </c>
      <c r="D59" s="264" t="str">
        <f t="array" ref="D59">xlookup(row()-1,Calcs!AO$2:AO$200,Raw!J$2:J$200,)</f>
        <v/>
      </c>
      <c r="E59" s="264" t="str">
        <f t="array" ref="E59">xlookup(row()-1,Calcs!AO$2:AO$200,Raw!AO$2:AO$200,)</f>
        <v/>
      </c>
      <c r="F59" s="264"/>
      <c r="G59" s="264" t="str">
        <f t="array" ref="G59">xlookup(row()-1,Calcs!AO$2:AO$200,Display_All!AC$2:AC$200,)</f>
        <v/>
      </c>
      <c r="H59" s="264" t="str">
        <f t="array" ref="H59">xlookup(row()-1,Calcs!AO$2:AO$200,Display_All!AE$2:AE$200,)</f>
        <v/>
      </c>
      <c r="I59" s="264" t="str">
        <f t="array" ref="I59">xlookup(row()-1,Calcs!AO$2:AO$200,Display_All!AH$2:AH$200,)</f>
        <v/>
      </c>
      <c r="J59" s="264" t="str">
        <f t="array" ref="J59">xlookup(row()-1,Calcs!AO$2:AO$200,Display_All!AG$2:AG$200,)</f>
        <v/>
      </c>
      <c r="K59" s="264" t="str">
        <f t="array" ref="K59">xlookup(row()-1,Calcs!AO$2:AO$200,Display_All!AU$2:AU$200,)</f>
        <v/>
      </c>
      <c r="L59" s="264" t="str">
        <f t="array" ref="L59">xlookup(row()-1,Calcs!AO$2:AO$200,Display_All!AW$2:AW$200,)</f>
        <v/>
      </c>
      <c r="M59" s="264" t="str">
        <f t="array" ref="M59">xlookup(row()-1,Calcs!AO$2:AO$200,Display_All!AX$2:AX$200,)</f>
        <v/>
      </c>
    </row>
    <row r="60">
      <c r="A60" s="264" t="str">
        <f t="array" ref="A60">xlookup(row()-1,Calcs!AO$2:AO$200,Raw!A$2:A$200,)</f>
        <v/>
      </c>
      <c r="B60" s="264" t="str">
        <f t="array" ref="B60">xlookup(row()-1,Calcs!AO$2:AO$200,Raw!B$2:B$200,)</f>
        <v/>
      </c>
      <c r="C60" s="264" t="str">
        <f t="array" ref="C60">xlookup(row()-1,Calcs!AO$2:AO$200,Raw!I$2:I$200,)</f>
        <v/>
      </c>
      <c r="D60" s="264" t="str">
        <f t="array" ref="D60">xlookup(row()-1,Calcs!AO$2:AO$200,Raw!J$2:J$200,)</f>
        <v/>
      </c>
      <c r="E60" s="264" t="str">
        <f t="array" ref="E60">xlookup(row()-1,Calcs!AO$2:AO$200,Raw!AO$2:AO$200,)</f>
        <v/>
      </c>
      <c r="F60" s="264"/>
      <c r="G60" s="264" t="str">
        <f t="array" ref="G60">xlookup(row()-1,Calcs!AO$2:AO$200,Display_All!AC$2:AC$200,)</f>
        <v/>
      </c>
      <c r="H60" s="264" t="str">
        <f t="array" ref="H60">xlookup(row()-1,Calcs!AO$2:AO$200,Display_All!AE$2:AE$200,)</f>
        <v/>
      </c>
      <c r="I60" s="264" t="str">
        <f t="array" ref="I60">xlookup(row()-1,Calcs!AO$2:AO$200,Display_All!AH$2:AH$200,)</f>
        <v/>
      </c>
      <c r="J60" s="264" t="str">
        <f t="array" ref="J60">xlookup(row()-1,Calcs!AO$2:AO$200,Display_All!AG$2:AG$200,)</f>
        <v/>
      </c>
      <c r="K60" s="264" t="str">
        <f t="array" ref="K60">xlookup(row()-1,Calcs!AO$2:AO$200,Display_All!AU$2:AU$200,)</f>
        <v/>
      </c>
      <c r="L60" s="264" t="str">
        <f t="array" ref="L60">xlookup(row()-1,Calcs!AO$2:AO$200,Display_All!AW$2:AW$200,)</f>
        <v/>
      </c>
      <c r="M60" s="264" t="str">
        <f t="array" ref="M60">xlookup(row()-1,Calcs!AO$2:AO$200,Display_All!AX$2:AX$200,)</f>
        <v/>
      </c>
    </row>
    <row r="61">
      <c r="A61" s="264" t="str">
        <f t="array" ref="A61">xlookup(row()-1,Calcs!AO$2:AO$200,Raw!A$2:A$200,)</f>
        <v/>
      </c>
      <c r="B61" s="264" t="str">
        <f t="array" ref="B61">xlookup(row()-1,Calcs!AO$2:AO$200,Raw!B$2:B$200,)</f>
        <v/>
      </c>
      <c r="C61" s="264" t="str">
        <f t="array" ref="C61">xlookup(row()-1,Calcs!AO$2:AO$200,Raw!I$2:I$200,)</f>
        <v/>
      </c>
      <c r="D61" s="264" t="str">
        <f t="array" ref="D61">xlookup(row()-1,Calcs!AO$2:AO$200,Raw!J$2:J$200,)</f>
        <v/>
      </c>
      <c r="E61" s="264" t="str">
        <f t="array" ref="E61">xlookup(row()-1,Calcs!AO$2:AO$200,Raw!AO$2:AO$200,)</f>
        <v/>
      </c>
      <c r="F61" s="264"/>
      <c r="G61" s="264" t="str">
        <f t="array" ref="G61">xlookup(row()-1,Calcs!AO$2:AO$200,Display_All!AC$2:AC$200,)</f>
        <v/>
      </c>
      <c r="H61" s="264" t="str">
        <f t="array" ref="H61">xlookup(row()-1,Calcs!AO$2:AO$200,Display_All!AE$2:AE$200,)</f>
        <v/>
      </c>
      <c r="I61" s="264" t="str">
        <f t="array" ref="I61">xlookup(row()-1,Calcs!AO$2:AO$200,Display_All!AH$2:AH$200,)</f>
        <v/>
      </c>
      <c r="J61" s="264" t="str">
        <f t="array" ref="J61">xlookup(row()-1,Calcs!AO$2:AO$200,Display_All!AG$2:AG$200,)</f>
        <v/>
      </c>
      <c r="K61" s="264" t="str">
        <f t="array" ref="K61">xlookup(row()-1,Calcs!AO$2:AO$200,Display_All!AU$2:AU$200,)</f>
        <v/>
      </c>
      <c r="L61" s="264" t="str">
        <f t="array" ref="L61">xlookup(row()-1,Calcs!AO$2:AO$200,Display_All!AW$2:AW$200,)</f>
        <v/>
      </c>
      <c r="M61" s="264" t="str">
        <f t="array" ref="M61">xlookup(row()-1,Calcs!AO$2:AO$200,Display_All!AX$2:AX$200,)</f>
        <v/>
      </c>
    </row>
    <row r="62">
      <c r="A62" s="264" t="str">
        <f t="array" ref="A62">xlookup(row()-1,Calcs!AO$2:AO$200,Raw!A$2:A$200,)</f>
        <v/>
      </c>
      <c r="B62" s="264" t="str">
        <f t="array" ref="B62">xlookup(row()-1,Calcs!AO$2:AO$200,Raw!B$2:B$200,)</f>
        <v/>
      </c>
      <c r="C62" s="264" t="str">
        <f t="array" ref="C62">xlookup(row()-1,Calcs!AO$2:AO$200,Raw!I$2:I$200,)</f>
        <v/>
      </c>
      <c r="D62" s="264" t="str">
        <f t="array" ref="D62">xlookup(row()-1,Calcs!AO$2:AO$200,Raw!J$2:J$200,)</f>
        <v/>
      </c>
      <c r="E62" s="264" t="str">
        <f t="array" ref="E62">xlookup(row()-1,Calcs!AO$2:AO$200,Raw!AO$2:AO$200,)</f>
        <v/>
      </c>
      <c r="F62" s="264"/>
      <c r="G62" s="264" t="str">
        <f t="array" ref="G62">xlookup(row()-1,Calcs!AO$2:AO$200,Display_All!AC$2:AC$200,)</f>
        <v/>
      </c>
      <c r="H62" s="264" t="str">
        <f t="array" ref="H62">xlookup(row()-1,Calcs!AO$2:AO$200,Display_All!AE$2:AE$200,)</f>
        <v/>
      </c>
      <c r="I62" s="264" t="str">
        <f t="array" ref="I62">xlookup(row()-1,Calcs!AO$2:AO$200,Display_All!AH$2:AH$200,)</f>
        <v/>
      </c>
      <c r="J62" s="264" t="str">
        <f t="array" ref="J62">xlookup(row()-1,Calcs!AO$2:AO$200,Display_All!AG$2:AG$200,)</f>
        <v/>
      </c>
      <c r="K62" s="264" t="str">
        <f t="array" ref="K62">xlookup(row()-1,Calcs!AO$2:AO$200,Display_All!AU$2:AU$200,)</f>
        <v/>
      </c>
      <c r="L62" s="264" t="str">
        <f t="array" ref="L62">xlookup(row()-1,Calcs!AO$2:AO$200,Display_All!AW$2:AW$200,)</f>
        <v/>
      </c>
      <c r="M62" s="264" t="str">
        <f t="array" ref="M62">xlookup(row()-1,Calcs!AO$2:AO$200,Display_All!AX$2:AX$200,)</f>
        <v/>
      </c>
    </row>
    <row r="63">
      <c r="A63" s="264" t="str">
        <f t="array" ref="A63">xlookup(row()-1,Calcs!AO$2:AO$200,Raw!A$2:A$200,)</f>
        <v/>
      </c>
      <c r="B63" s="264" t="str">
        <f t="array" ref="B63">xlookup(row()-1,Calcs!AO$2:AO$200,Raw!B$2:B$200,)</f>
        <v/>
      </c>
      <c r="C63" s="264" t="str">
        <f t="array" ref="C63">xlookup(row()-1,Calcs!AO$2:AO$200,Raw!I$2:I$200,)</f>
        <v/>
      </c>
      <c r="D63" s="264" t="str">
        <f t="array" ref="D63">xlookup(row()-1,Calcs!AO$2:AO$200,Raw!J$2:J$200,)</f>
        <v/>
      </c>
      <c r="E63" s="264" t="str">
        <f t="array" ref="E63">xlookup(row()-1,Calcs!AO$2:AO$200,Raw!AO$2:AO$200,)</f>
        <v/>
      </c>
      <c r="F63" s="264"/>
      <c r="G63" s="264" t="str">
        <f t="array" ref="G63">xlookup(row()-1,Calcs!AO$2:AO$200,Display_All!AC$2:AC$200,)</f>
        <v/>
      </c>
      <c r="H63" s="264" t="str">
        <f t="array" ref="H63">xlookup(row()-1,Calcs!AO$2:AO$200,Display_All!AE$2:AE$200,)</f>
        <v/>
      </c>
      <c r="I63" s="264" t="str">
        <f t="array" ref="I63">xlookup(row()-1,Calcs!AO$2:AO$200,Display_All!AH$2:AH$200,)</f>
        <v/>
      </c>
      <c r="J63" s="264" t="str">
        <f t="array" ref="J63">xlookup(row()-1,Calcs!AO$2:AO$200,Display_All!AG$2:AG$200,)</f>
        <v/>
      </c>
      <c r="K63" s="264" t="str">
        <f t="array" ref="K63">xlookup(row()-1,Calcs!AO$2:AO$200,Display_All!AU$2:AU$200,)</f>
        <v/>
      </c>
      <c r="L63" s="264" t="str">
        <f t="array" ref="L63">xlookup(row()-1,Calcs!AO$2:AO$200,Display_All!AW$2:AW$200,)</f>
        <v/>
      </c>
      <c r="M63" s="264" t="str">
        <f t="array" ref="M63">xlookup(row()-1,Calcs!AO$2:AO$200,Display_All!AX$2:AX$200,)</f>
        <v/>
      </c>
    </row>
    <row r="64">
      <c r="A64" s="264" t="str">
        <f t="array" ref="A64">xlookup(row()-1,Calcs!AO$2:AO$200,Raw!A$2:A$200,)</f>
        <v/>
      </c>
      <c r="B64" s="264" t="str">
        <f t="array" ref="B64">xlookup(row()-1,Calcs!AO$2:AO$200,Raw!B$2:B$200,)</f>
        <v/>
      </c>
      <c r="C64" s="264" t="str">
        <f t="array" ref="C64">xlookup(row()-1,Calcs!AO$2:AO$200,Raw!I$2:I$200,)</f>
        <v/>
      </c>
      <c r="D64" s="264" t="str">
        <f t="array" ref="D64">xlookup(row()-1,Calcs!AO$2:AO$200,Raw!J$2:J$200,)</f>
        <v/>
      </c>
      <c r="E64" s="264" t="str">
        <f t="array" ref="E64">xlookup(row()-1,Calcs!AO$2:AO$200,Raw!AO$2:AO$200,)</f>
        <v/>
      </c>
      <c r="F64" s="264"/>
      <c r="G64" s="264" t="str">
        <f t="array" ref="G64">xlookup(row()-1,Calcs!AO$2:AO$200,Display_All!AC$2:AC$200,)</f>
        <v/>
      </c>
      <c r="H64" s="264" t="str">
        <f t="array" ref="H64">xlookup(row()-1,Calcs!AO$2:AO$200,Display_All!AE$2:AE$200,)</f>
        <v/>
      </c>
      <c r="I64" s="264" t="str">
        <f t="array" ref="I64">xlookup(row()-1,Calcs!AO$2:AO$200,Display_All!AH$2:AH$200,)</f>
        <v/>
      </c>
      <c r="J64" s="264" t="str">
        <f t="array" ref="J64">xlookup(row()-1,Calcs!AO$2:AO$200,Display_All!AG$2:AG$200,)</f>
        <v/>
      </c>
      <c r="K64" s="264" t="str">
        <f t="array" ref="K64">xlookup(row()-1,Calcs!AO$2:AO$200,Display_All!AU$2:AU$200,)</f>
        <v/>
      </c>
      <c r="L64" s="264" t="str">
        <f t="array" ref="L64">xlookup(row()-1,Calcs!AO$2:AO$200,Display_All!AW$2:AW$200,)</f>
        <v/>
      </c>
      <c r="M64" s="264" t="str">
        <f t="array" ref="M64">xlookup(row()-1,Calcs!AO$2:AO$200,Display_All!AX$2:AX$200,)</f>
        <v/>
      </c>
    </row>
    <row r="65">
      <c r="A65" s="264" t="str">
        <f t="array" ref="A65">xlookup(row()-1,Calcs!AO$2:AO$200,Raw!A$2:A$200,)</f>
        <v/>
      </c>
      <c r="B65" s="264" t="str">
        <f t="array" ref="B65">xlookup(row()-1,Calcs!AO$2:AO$200,Raw!B$2:B$200,)</f>
        <v/>
      </c>
      <c r="C65" s="264" t="str">
        <f t="array" ref="C65">xlookup(row()-1,Calcs!AO$2:AO$200,Raw!I$2:I$200,)</f>
        <v/>
      </c>
      <c r="D65" s="264" t="str">
        <f t="array" ref="D65">xlookup(row()-1,Calcs!AO$2:AO$200,Raw!J$2:J$200,)</f>
        <v/>
      </c>
      <c r="E65" s="264" t="str">
        <f t="array" ref="E65">xlookup(row()-1,Calcs!AO$2:AO$200,Raw!AO$2:AO$200,)</f>
        <v/>
      </c>
      <c r="F65" s="264"/>
      <c r="G65" s="264" t="str">
        <f t="array" ref="G65">xlookup(row()-1,Calcs!AO$2:AO$200,Display_All!AC$2:AC$200,)</f>
        <v/>
      </c>
      <c r="H65" s="264" t="str">
        <f t="array" ref="H65">xlookup(row()-1,Calcs!AO$2:AO$200,Display_All!AE$2:AE$200,)</f>
        <v/>
      </c>
      <c r="I65" s="264" t="str">
        <f t="array" ref="I65">xlookup(row()-1,Calcs!AO$2:AO$200,Display_All!AH$2:AH$200,)</f>
        <v/>
      </c>
      <c r="J65" s="264" t="str">
        <f t="array" ref="J65">xlookup(row()-1,Calcs!AO$2:AO$200,Display_All!AG$2:AG$200,)</f>
        <v/>
      </c>
      <c r="K65" s="264" t="str">
        <f t="array" ref="K65">xlookup(row()-1,Calcs!AO$2:AO$200,Display_All!AU$2:AU$200,)</f>
        <v/>
      </c>
      <c r="L65" s="264" t="str">
        <f t="array" ref="L65">xlookup(row()-1,Calcs!AO$2:AO$200,Display_All!AW$2:AW$200,)</f>
        <v/>
      </c>
      <c r="M65" s="264" t="str">
        <f t="array" ref="M65">xlookup(row()-1,Calcs!AO$2:AO$200,Display_All!AX$2:AX$200,)</f>
        <v/>
      </c>
    </row>
    <row r="66">
      <c r="A66" s="264" t="str">
        <f t="array" ref="A66">xlookup(row()-1,Calcs!AO$2:AO$200,Raw!A$2:A$200,)</f>
        <v/>
      </c>
      <c r="B66" s="264" t="str">
        <f t="array" ref="B66">xlookup(row()-1,Calcs!AO$2:AO$200,Raw!B$2:B$200,)</f>
        <v/>
      </c>
      <c r="C66" s="264" t="str">
        <f t="array" ref="C66">xlookup(row()-1,Calcs!AO$2:AO$200,Raw!I$2:I$200,)</f>
        <v/>
      </c>
      <c r="D66" s="264" t="str">
        <f t="array" ref="D66">xlookup(row()-1,Calcs!AO$2:AO$200,Raw!J$2:J$200,)</f>
        <v/>
      </c>
      <c r="E66" s="264" t="str">
        <f t="array" ref="E66">xlookup(row()-1,Calcs!AO$2:AO$200,Raw!AO$2:AO$200,)</f>
        <v/>
      </c>
      <c r="F66" s="264"/>
      <c r="G66" s="264" t="str">
        <f t="array" ref="G66">xlookup(row()-1,Calcs!AO$2:AO$200,Display_All!AC$2:AC$200,)</f>
        <v/>
      </c>
      <c r="H66" s="264" t="str">
        <f t="array" ref="H66">xlookup(row()-1,Calcs!AO$2:AO$200,Display_All!AE$2:AE$200,)</f>
        <v/>
      </c>
      <c r="I66" s="264" t="str">
        <f t="array" ref="I66">xlookup(row()-1,Calcs!AO$2:AO$200,Display_All!AH$2:AH$200,)</f>
        <v/>
      </c>
      <c r="J66" s="264" t="str">
        <f t="array" ref="J66">xlookup(row()-1,Calcs!AO$2:AO$200,Display_All!AG$2:AG$200,)</f>
        <v/>
      </c>
      <c r="K66" s="264" t="str">
        <f t="array" ref="K66">xlookup(row()-1,Calcs!AO$2:AO$200,Display_All!AU$2:AU$200,)</f>
        <v/>
      </c>
      <c r="L66" s="264" t="str">
        <f t="array" ref="L66">xlookup(row()-1,Calcs!AO$2:AO$200,Display_All!AW$2:AW$200,)</f>
        <v/>
      </c>
      <c r="M66" s="264" t="str">
        <f t="array" ref="M66">xlookup(row()-1,Calcs!AO$2:AO$200,Display_All!AX$2:AX$200,)</f>
        <v/>
      </c>
    </row>
    <row r="67">
      <c r="A67" s="264" t="str">
        <f t="array" ref="A67">xlookup(row()-1,Calcs!AO$2:AO$200,Raw!A$2:A$200,)</f>
        <v/>
      </c>
      <c r="B67" s="264" t="str">
        <f t="array" ref="B67">xlookup(row()-1,Calcs!AO$2:AO$200,Raw!B$2:B$200,)</f>
        <v/>
      </c>
      <c r="C67" s="264" t="str">
        <f t="array" ref="C67">xlookup(row()-1,Calcs!AO$2:AO$200,Raw!I$2:I$200,)</f>
        <v/>
      </c>
      <c r="D67" s="264" t="str">
        <f t="array" ref="D67">xlookup(row()-1,Calcs!AO$2:AO$200,Raw!J$2:J$200,)</f>
        <v/>
      </c>
      <c r="E67" s="264" t="str">
        <f t="array" ref="E67">xlookup(row()-1,Calcs!AO$2:AO$200,Raw!AO$2:AO$200,)</f>
        <v/>
      </c>
      <c r="F67" s="264"/>
      <c r="G67" s="264" t="str">
        <f t="array" ref="G67">xlookup(row()-1,Calcs!AO$2:AO$200,Display_All!AC$2:AC$200,)</f>
        <v/>
      </c>
      <c r="H67" s="264" t="str">
        <f t="array" ref="H67">xlookup(row()-1,Calcs!AO$2:AO$200,Display_All!AE$2:AE$200,)</f>
        <v/>
      </c>
      <c r="I67" s="264" t="str">
        <f t="array" ref="I67">xlookup(row()-1,Calcs!AO$2:AO$200,Display_All!AH$2:AH$200,)</f>
        <v/>
      </c>
      <c r="J67" s="264" t="str">
        <f t="array" ref="J67">xlookup(row()-1,Calcs!AO$2:AO$200,Display_All!AG$2:AG$200,)</f>
        <v/>
      </c>
      <c r="K67" s="264" t="str">
        <f t="array" ref="K67">xlookup(row()-1,Calcs!AO$2:AO$200,Display_All!AU$2:AU$200,)</f>
        <v/>
      </c>
      <c r="L67" s="264" t="str">
        <f t="array" ref="L67">xlookup(row()-1,Calcs!AO$2:AO$200,Display_All!AW$2:AW$200,)</f>
        <v/>
      </c>
      <c r="M67" s="264" t="str">
        <f t="array" ref="M67">xlookup(row()-1,Calcs!AO$2:AO$200,Display_All!AX$2:AX$200,)</f>
        <v/>
      </c>
    </row>
    <row r="68">
      <c r="A68" s="264" t="str">
        <f t="array" ref="A68">xlookup(row()-1,Calcs!AO$2:AO$200,Raw!A$2:A$200,)</f>
        <v/>
      </c>
      <c r="B68" s="264" t="str">
        <f t="array" ref="B68">xlookup(row()-1,Calcs!AO$2:AO$200,Raw!B$2:B$200,)</f>
        <v/>
      </c>
      <c r="C68" s="264" t="str">
        <f t="array" ref="C68">xlookup(row()-1,Calcs!AO$2:AO$200,Raw!I$2:I$200,)</f>
        <v/>
      </c>
      <c r="D68" s="264" t="str">
        <f t="array" ref="D68">xlookup(row()-1,Calcs!AO$2:AO$200,Raw!J$2:J$200,)</f>
        <v/>
      </c>
      <c r="E68" s="264" t="str">
        <f t="array" ref="E68">xlookup(row()-1,Calcs!AO$2:AO$200,Raw!AO$2:AO$200,)</f>
        <v/>
      </c>
      <c r="F68" s="264"/>
      <c r="G68" s="264" t="str">
        <f t="array" ref="G68">xlookup(row()-1,Calcs!AO$2:AO$200,Display_All!AC$2:AC$200,)</f>
        <v/>
      </c>
      <c r="H68" s="264" t="str">
        <f t="array" ref="H68">xlookup(row()-1,Calcs!AO$2:AO$200,Display_All!AE$2:AE$200,)</f>
        <v/>
      </c>
      <c r="I68" s="264" t="str">
        <f t="array" ref="I68">xlookup(row()-1,Calcs!AO$2:AO$200,Display_All!AH$2:AH$200,)</f>
        <v/>
      </c>
      <c r="J68" s="264" t="str">
        <f t="array" ref="J68">xlookup(row()-1,Calcs!AO$2:AO$200,Display_All!AG$2:AG$200,)</f>
        <v/>
      </c>
      <c r="K68" s="264" t="str">
        <f t="array" ref="K68">xlookup(row()-1,Calcs!AO$2:AO$200,Display_All!AU$2:AU$200,)</f>
        <v/>
      </c>
      <c r="L68" s="264" t="str">
        <f t="array" ref="L68">xlookup(row()-1,Calcs!AO$2:AO$200,Display_All!AW$2:AW$200,)</f>
        <v/>
      </c>
      <c r="M68" s="264" t="str">
        <f t="array" ref="M68">xlookup(row()-1,Calcs!AO$2:AO$200,Display_All!AX$2:AX$200,)</f>
        <v/>
      </c>
    </row>
    <row r="69">
      <c r="A69" s="264" t="str">
        <f t="array" ref="A69">xlookup(row()-1,Calcs!AO$2:AO$200,Raw!A$2:A$200,)</f>
        <v/>
      </c>
      <c r="B69" s="264" t="str">
        <f t="array" ref="B69">xlookup(row()-1,Calcs!AO$2:AO$200,Raw!B$2:B$200,)</f>
        <v/>
      </c>
      <c r="C69" s="264" t="str">
        <f t="array" ref="C69">xlookup(row()-1,Calcs!AO$2:AO$200,Raw!I$2:I$200,)</f>
        <v/>
      </c>
      <c r="D69" s="264" t="str">
        <f t="array" ref="D69">xlookup(row()-1,Calcs!AO$2:AO$200,Raw!J$2:J$200,)</f>
        <v/>
      </c>
      <c r="E69" s="264" t="str">
        <f t="array" ref="E69">xlookup(row()-1,Calcs!AO$2:AO$200,Raw!AO$2:AO$200,)</f>
        <v/>
      </c>
      <c r="F69" s="264"/>
      <c r="G69" s="264" t="str">
        <f t="array" ref="G69">xlookup(row()-1,Calcs!AO$2:AO$200,Display_All!AC$2:AC$200,)</f>
        <v/>
      </c>
      <c r="H69" s="264" t="str">
        <f t="array" ref="H69">xlookup(row()-1,Calcs!AO$2:AO$200,Display_All!AE$2:AE$200,)</f>
        <v/>
      </c>
      <c r="I69" s="264" t="str">
        <f t="array" ref="I69">xlookup(row()-1,Calcs!AO$2:AO$200,Display_All!AH$2:AH$200,)</f>
        <v/>
      </c>
      <c r="J69" s="264" t="str">
        <f t="array" ref="J69">xlookup(row()-1,Calcs!AO$2:AO$200,Display_All!AG$2:AG$200,)</f>
        <v/>
      </c>
      <c r="K69" s="264" t="str">
        <f t="array" ref="K69">xlookup(row()-1,Calcs!AO$2:AO$200,Display_All!AU$2:AU$200,)</f>
        <v/>
      </c>
      <c r="L69" s="264" t="str">
        <f t="array" ref="L69">xlookup(row()-1,Calcs!AO$2:AO$200,Display_All!AW$2:AW$200,)</f>
        <v/>
      </c>
      <c r="M69" s="264" t="str">
        <f t="array" ref="M69">xlookup(row()-1,Calcs!AO$2:AO$200,Display_All!AX$2:AX$200,)</f>
        <v/>
      </c>
    </row>
    <row r="70">
      <c r="A70" s="264" t="str">
        <f t="array" ref="A70">xlookup(row()-1,Calcs!AO$2:AO$200,Raw!A$2:A$200,)</f>
        <v/>
      </c>
      <c r="B70" s="264" t="str">
        <f t="array" ref="B70">xlookup(row()-1,Calcs!AO$2:AO$200,Raw!B$2:B$200,)</f>
        <v/>
      </c>
      <c r="C70" s="264" t="str">
        <f t="array" ref="C70">xlookup(row()-1,Calcs!AO$2:AO$200,Raw!I$2:I$200,)</f>
        <v/>
      </c>
      <c r="D70" s="264" t="str">
        <f t="array" ref="D70">xlookup(row()-1,Calcs!AO$2:AO$200,Raw!J$2:J$200,)</f>
        <v/>
      </c>
      <c r="E70" s="264" t="str">
        <f t="array" ref="E70">xlookup(row()-1,Calcs!AO$2:AO$200,Raw!AO$2:AO$200,)</f>
        <v/>
      </c>
      <c r="F70" s="264"/>
      <c r="G70" s="264" t="str">
        <f t="array" ref="G70">xlookup(row()-1,Calcs!AO$2:AO$200,Display_All!AC$2:AC$200,)</f>
        <v/>
      </c>
      <c r="H70" s="264" t="str">
        <f t="array" ref="H70">xlookup(row()-1,Calcs!AO$2:AO$200,Display_All!AE$2:AE$200,)</f>
        <v/>
      </c>
      <c r="I70" s="264" t="str">
        <f t="array" ref="I70">xlookup(row()-1,Calcs!AO$2:AO$200,Display_All!AH$2:AH$200,)</f>
        <v/>
      </c>
      <c r="J70" s="264" t="str">
        <f t="array" ref="J70">xlookup(row()-1,Calcs!AO$2:AO$200,Display_All!AG$2:AG$200,)</f>
        <v/>
      </c>
      <c r="K70" s="264" t="str">
        <f t="array" ref="K70">xlookup(row()-1,Calcs!AO$2:AO$200,Display_All!AU$2:AU$200,)</f>
        <v/>
      </c>
      <c r="L70" s="264" t="str">
        <f t="array" ref="L70">xlookup(row()-1,Calcs!AO$2:AO$200,Display_All!AW$2:AW$200,)</f>
        <v/>
      </c>
      <c r="M70" s="264" t="str">
        <f t="array" ref="M70">xlookup(row()-1,Calcs!AO$2:AO$200,Display_All!AX$2:AX$200,)</f>
        <v/>
      </c>
    </row>
    <row r="71">
      <c r="A71" s="264" t="str">
        <f t="array" ref="A71">xlookup(row()-1,Calcs!AO$2:AO$200,Raw!A$2:A$200,)</f>
        <v/>
      </c>
      <c r="B71" s="264" t="str">
        <f t="array" ref="B71">xlookup(row()-1,Calcs!AO$2:AO$200,Raw!B$2:B$200,)</f>
        <v/>
      </c>
      <c r="C71" s="264" t="str">
        <f t="array" ref="C71">xlookup(row()-1,Calcs!AO$2:AO$200,Raw!I$2:I$200,)</f>
        <v/>
      </c>
      <c r="D71" s="264" t="str">
        <f t="array" ref="D71">xlookup(row()-1,Calcs!AO$2:AO$200,Raw!J$2:J$200,)</f>
        <v/>
      </c>
      <c r="E71" s="264" t="str">
        <f t="array" ref="E71">xlookup(row()-1,Calcs!AO$2:AO$200,Raw!AO$2:AO$200,)</f>
        <v/>
      </c>
      <c r="F71" s="264"/>
      <c r="G71" s="264" t="str">
        <f t="array" ref="G71">xlookup(row()-1,Calcs!AO$2:AO$200,Display_All!AC$2:AC$200,)</f>
        <v/>
      </c>
      <c r="H71" s="264" t="str">
        <f t="array" ref="H71">xlookup(row()-1,Calcs!AO$2:AO$200,Display_All!AE$2:AE$200,)</f>
        <v/>
      </c>
      <c r="I71" s="264" t="str">
        <f t="array" ref="I71">xlookup(row()-1,Calcs!AO$2:AO$200,Display_All!AH$2:AH$200,)</f>
        <v/>
      </c>
      <c r="J71" s="264" t="str">
        <f t="array" ref="J71">xlookup(row()-1,Calcs!AO$2:AO$200,Display_All!AG$2:AG$200,)</f>
        <v/>
      </c>
      <c r="K71" s="264" t="str">
        <f t="array" ref="K71">xlookup(row()-1,Calcs!AO$2:AO$200,Display_All!AU$2:AU$200,)</f>
        <v/>
      </c>
      <c r="L71" s="264" t="str">
        <f t="array" ref="L71">xlookup(row()-1,Calcs!AO$2:AO$200,Display_All!AW$2:AW$200,)</f>
        <v/>
      </c>
      <c r="M71" s="264" t="str">
        <f t="array" ref="M71">xlookup(row()-1,Calcs!AO$2:AO$200,Display_All!AX$2:AX$200,)</f>
        <v/>
      </c>
    </row>
    <row r="72">
      <c r="A72" s="264" t="str">
        <f t="array" ref="A72">xlookup(row()-1,Calcs!AO$2:AO$200,Raw!A$2:A$200,)</f>
        <v/>
      </c>
      <c r="B72" s="264" t="str">
        <f t="array" ref="B72">xlookup(row()-1,Calcs!AO$2:AO$200,Raw!B$2:B$200,)</f>
        <v/>
      </c>
      <c r="C72" s="264" t="str">
        <f t="array" ref="C72">xlookup(row()-1,Calcs!AO$2:AO$200,Raw!I$2:I$200,)</f>
        <v/>
      </c>
      <c r="D72" s="264" t="str">
        <f t="array" ref="D72">xlookup(row()-1,Calcs!AO$2:AO$200,Raw!J$2:J$200,)</f>
        <v/>
      </c>
      <c r="E72" s="264" t="str">
        <f t="array" ref="E72">xlookup(row()-1,Calcs!AO$2:AO$200,Raw!AO$2:AO$200,)</f>
        <v/>
      </c>
      <c r="F72" s="264"/>
      <c r="G72" s="264" t="str">
        <f t="array" ref="G72">xlookup(row()-1,Calcs!AO$2:AO$200,Display_All!AC$2:AC$200,)</f>
        <v/>
      </c>
      <c r="H72" s="264" t="str">
        <f t="array" ref="H72">xlookup(row()-1,Calcs!AO$2:AO$200,Display_All!AE$2:AE$200,)</f>
        <v/>
      </c>
      <c r="I72" s="264" t="str">
        <f t="array" ref="I72">xlookup(row()-1,Calcs!AO$2:AO$200,Display_All!AH$2:AH$200,)</f>
        <v/>
      </c>
      <c r="J72" s="264" t="str">
        <f t="array" ref="J72">xlookup(row()-1,Calcs!AO$2:AO$200,Display_All!AG$2:AG$200,)</f>
        <v/>
      </c>
      <c r="K72" s="264" t="str">
        <f t="array" ref="K72">xlookup(row()-1,Calcs!AO$2:AO$200,Display_All!AU$2:AU$200,)</f>
        <v/>
      </c>
      <c r="L72" s="264" t="str">
        <f t="array" ref="L72">xlookup(row()-1,Calcs!AO$2:AO$200,Display_All!AW$2:AW$200,)</f>
        <v/>
      </c>
      <c r="M72" s="264" t="str">
        <f t="array" ref="M72">xlookup(row()-1,Calcs!AO$2:AO$200,Display_All!AX$2:AX$200,)</f>
        <v/>
      </c>
    </row>
    <row r="73">
      <c r="A73" s="264" t="str">
        <f t="array" ref="A73">xlookup(row()-1,Calcs!AO$2:AO$200,Raw!A$2:A$200,)</f>
        <v/>
      </c>
      <c r="B73" s="264" t="str">
        <f t="array" ref="B73">xlookup(row()-1,Calcs!AO$2:AO$200,Raw!B$2:B$200,)</f>
        <v/>
      </c>
      <c r="C73" s="264" t="str">
        <f t="array" ref="C73">xlookup(row()-1,Calcs!AO$2:AO$200,Raw!I$2:I$200,)</f>
        <v/>
      </c>
      <c r="D73" s="264" t="str">
        <f t="array" ref="D73">xlookup(row()-1,Calcs!AO$2:AO$200,Raw!J$2:J$200,)</f>
        <v/>
      </c>
      <c r="E73" s="264" t="str">
        <f t="array" ref="E73">xlookup(row()-1,Calcs!AO$2:AO$200,Raw!AO$2:AO$200,)</f>
        <v/>
      </c>
      <c r="F73" s="264"/>
      <c r="G73" s="264" t="str">
        <f t="array" ref="G73">xlookup(row()-1,Calcs!AO$2:AO$200,Display_All!AC$2:AC$200,)</f>
        <v/>
      </c>
      <c r="H73" s="264" t="str">
        <f t="array" ref="H73">xlookup(row()-1,Calcs!AO$2:AO$200,Display_All!AE$2:AE$200,)</f>
        <v/>
      </c>
      <c r="I73" s="264" t="str">
        <f t="array" ref="I73">xlookup(row()-1,Calcs!AO$2:AO$200,Display_All!AH$2:AH$200,)</f>
        <v/>
      </c>
      <c r="J73" s="264" t="str">
        <f t="array" ref="J73">xlookup(row()-1,Calcs!AO$2:AO$200,Display_All!AG$2:AG$200,)</f>
        <v/>
      </c>
      <c r="K73" s="264" t="str">
        <f t="array" ref="K73">xlookup(row()-1,Calcs!AO$2:AO$200,Display_All!AU$2:AU$200,)</f>
        <v/>
      </c>
      <c r="L73" s="264" t="str">
        <f t="array" ref="L73">xlookup(row()-1,Calcs!AO$2:AO$200,Display_All!AW$2:AW$200,)</f>
        <v/>
      </c>
      <c r="M73" s="264" t="str">
        <f t="array" ref="M73">xlookup(row()-1,Calcs!AO$2:AO$200,Display_All!AX$2:AX$200,)</f>
        <v/>
      </c>
    </row>
    <row r="74">
      <c r="A74" s="264" t="str">
        <f t="array" ref="A74">xlookup(row()-1,Calcs!AO$2:AO$200,Raw!A$2:A$200,)</f>
        <v/>
      </c>
      <c r="B74" s="264" t="str">
        <f t="array" ref="B74">xlookup(row()-1,Calcs!AO$2:AO$200,Raw!B$2:B$200,)</f>
        <v/>
      </c>
      <c r="C74" s="264" t="str">
        <f t="array" ref="C74">xlookup(row()-1,Calcs!AO$2:AO$200,Raw!I$2:I$200,)</f>
        <v/>
      </c>
      <c r="D74" s="264" t="str">
        <f t="array" ref="D74">xlookup(row()-1,Calcs!AO$2:AO$200,Raw!J$2:J$200,)</f>
        <v/>
      </c>
      <c r="E74" s="264" t="str">
        <f t="array" ref="E74">xlookup(row()-1,Calcs!AO$2:AO$200,Raw!AO$2:AO$200,)</f>
        <v/>
      </c>
      <c r="F74" s="264"/>
      <c r="G74" s="264" t="str">
        <f t="array" ref="G74">xlookup(row()-1,Calcs!AO$2:AO$200,Display_All!AC$2:AC$200,)</f>
        <v/>
      </c>
      <c r="H74" s="264" t="str">
        <f t="array" ref="H74">xlookup(row()-1,Calcs!AO$2:AO$200,Display_All!AE$2:AE$200,)</f>
        <v/>
      </c>
      <c r="I74" s="264" t="str">
        <f t="array" ref="I74">xlookup(row()-1,Calcs!AO$2:AO$200,Display_All!AH$2:AH$200,)</f>
        <v/>
      </c>
      <c r="J74" s="264" t="str">
        <f t="array" ref="J74">xlookup(row()-1,Calcs!AO$2:AO$200,Display_All!AG$2:AG$200,)</f>
        <v/>
      </c>
      <c r="K74" s="264" t="str">
        <f t="array" ref="K74">xlookup(row()-1,Calcs!AO$2:AO$200,Display_All!AU$2:AU$200,)</f>
        <v/>
      </c>
      <c r="L74" s="264" t="str">
        <f t="array" ref="L74">xlookup(row()-1,Calcs!AO$2:AO$200,Display_All!AW$2:AW$200,)</f>
        <v/>
      </c>
      <c r="M74" s="264" t="str">
        <f t="array" ref="M74">xlookup(row()-1,Calcs!AO$2:AO$200,Display_All!AX$2:AX$200,)</f>
        <v/>
      </c>
    </row>
    <row r="75">
      <c r="A75" s="264" t="str">
        <f t="array" ref="A75">xlookup(row()-1,Calcs!AO$2:AO$200,Raw!A$2:A$200,)</f>
        <v/>
      </c>
      <c r="B75" s="264" t="str">
        <f t="array" ref="B75">xlookup(row()-1,Calcs!AO$2:AO$200,Raw!B$2:B$200,)</f>
        <v/>
      </c>
      <c r="C75" s="264" t="str">
        <f t="array" ref="C75">xlookup(row()-1,Calcs!AO$2:AO$200,Raw!I$2:I$200,)</f>
        <v/>
      </c>
      <c r="D75" s="264" t="str">
        <f t="array" ref="D75">xlookup(row()-1,Calcs!AO$2:AO$200,Raw!J$2:J$200,)</f>
        <v/>
      </c>
      <c r="E75" s="264" t="str">
        <f t="array" ref="E75">xlookup(row()-1,Calcs!AO$2:AO$200,Raw!AO$2:AO$200,)</f>
        <v/>
      </c>
      <c r="F75" s="264"/>
      <c r="G75" s="264" t="str">
        <f t="array" ref="G75">xlookup(row()-1,Calcs!AO$2:AO$200,Display_All!AC$2:AC$200,)</f>
        <v/>
      </c>
      <c r="H75" s="264" t="str">
        <f t="array" ref="H75">xlookup(row()-1,Calcs!AO$2:AO$200,Display_All!AE$2:AE$200,)</f>
        <v/>
      </c>
      <c r="I75" s="264" t="str">
        <f t="array" ref="I75">xlookup(row()-1,Calcs!AO$2:AO$200,Display_All!AH$2:AH$200,)</f>
        <v/>
      </c>
      <c r="J75" s="264" t="str">
        <f t="array" ref="J75">xlookup(row()-1,Calcs!AO$2:AO$200,Display_All!AG$2:AG$200,)</f>
        <v/>
      </c>
      <c r="K75" s="264" t="str">
        <f t="array" ref="K75">xlookup(row()-1,Calcs!AO$2:AO$200,Display_All!AU$2:AU$200,)</f>
        <v/>
      </c>
      <c r="L75" s="264" t="str">
        <f t="array" ref="L75">xlookup(row()-1,Calcs!AO$2:AO$200,Display_All!AW$2:AW$200,)</f>
        <v/>
      </c>
      <c r="M75" s="264" t="str">
        <f t="array" ref="M75">xlookup(row()-1,Calcs!AO$2:AO$200,Display_All!AX$2:AX$200,)</f>
        <v/>
      </c>
    </row>
    <row r="76">
      <c r="A76" s="264" t="str">
        <f t="array" ref="A76">xlookup(row()-1,Calcs!AO$2:AO$200,Raw!A$2:A$200,)</f>
        <v/>
      </c>
      <c r="B76" s="264" t="str">
        <f t="array" ref="B76">xlookup(row()-1,Calcs!AO$2:AO$200,Raw!B$2:B$200,)</f>
        <v/>
      </c>
      <c r="C76" s="264" t="str">
        <f t="array" ref="C76">xlookup(row()-1,Calcs!AO$2:AO$200,Raw!I$2:I$200,)</f>
        <v/>
      </c>
      <c r="D76" s="264" t="str">
        <f t="array" ref="D76">xlookup(row()-1,Calcs!AO$2:AO$200,Raw!J$2:J$200,)</f>
        <v/>
      </c>
      <c r="E76" s="264" t="str">
        <f t="array" ref="E76">xlookup(row()-1,Calcs!AO$2:AO$200,Raw!AO$2:AO$200,)</f>
        <v/>
      </c>
      <c r="F76" s="264"/>
      <c r="G76" s="264" t="str">
        <f t="array" ref="G76">xlookup(row()-1,Calcs!AO$2:AO$200,Display_All!AC$2:AC$200,)</f>
        <v/>
      </c>
      <c r="H76" s="264" t="str">
        <f t="array" ref="H76">xlookup(row()-1,Calcs!AO$2:AO$200,Display_All!AE$2:AE$200,)</f>
        <v/>
      </c>
      <c r="I76" s="264" t="str">
        <f t="array" ref="I76">xlookup(row()-1,Calcs!AO$2:AO$200,Display_All!AH$2:AH$200,)</f>
        <v/>
      </c>
      <c r="J76" s="264" t="str">
        <f t="array" ref="J76">xlookup(row()-1,Calcs!AO$2:AO$200,Display_All!AG$2:AG$200,)</f>
        <v/>
      </c>
      <c r="K76" s="264" t="str">
        <f t="array" ref="K76">xlookup(row()-1,Calcs!AO$2:AO$200,Display_All!AU$2:AU$200,)</f>
        <v/>
      </c>
      <c r="L76" s="264" t="str">
        <f t="array" ref="L76">xlookup(row()-1,Calcs!AO$2:AO$200,Display_All!AW$2:AW$200,)</f>
        <v/>
      </c>
      <c r="M76" s="264" t="str">
        <f t="array" ref="M76">xlookup(row()-1,Calcs!AO$2:AO$200,Display_All!AX$2:AX$200,)</f>
        <v/>
      </c>
    </row>
    <row r="77">
      <c r="A77" s="264" t="str">
        <f t="array" ref="A77">xlookup(row()-1,Calcs!AO$2:AO$200,Raw!A$2:A$200,)</f>
        <v/>
      </c>
      <c r="B77" s="264" t="str">
        <f t="array" ref="B77">xlookup(row()-1,Calcs!AO$2:AO$200,Raw!B$2:B$200,)</f>
        <v/>
      </c>
      <c r="C77" s="264" t="str">
        <f t="array" ref="C77">xlookup(row()-1,Calcs!AO$2:AO$200,Raw!I$2:I$200,)</f>
        <v/>
      </c>
      <c r="D77" s="264" t="str">
        <f t="array" ref="D77">xlookup(row()-1,Calcs!AO$2:AO$200,Raw!J$2:J$200,)</f>
        <v/>
      </c>
      <c r="E77" s="264" t="str">
        <f t="array" ref="E77">xlookup(row()-1,Calcs!AO$2:AO$200,Raw!AO$2:AO$200,)</f>
        <v/>
      </c>
      <c r="F77" s="264"/>
      <c r="G77" s="264" t="str">
        <f t="array" ref="G77">xlookup(row()-1,Calcs!AO$2:AO$200,Display_All!AC$2:AC$200,)</f>
        <v/>
      </c>
      <c r="H77" s="264" t="str">
        <f t="array" ref="H77">xlookup(row()-1,Calcs!AO$2:AO$200,Display_All!AE$2:AE$200,)</f>
        <v/>
      </c>
      <c r="I77" s="264" t="str">
        <f t="array" ref="I77">xlookup(row()-1,Calcs!AO$2:AO$200,Display_All!AH$2:AH$200,)</f>
        <v/>
      </c>
      <c r="J77" s="264" t="str">
        <f t="array" ref="J77">xlookup(row()-1,Calcs!AO$2:AO$200,Display_All!AG$2:AG$200,)</f>
        <v/>
      </c>
      <c r="K77" s="264" t="str">
        <f t="array" ref="K77">xlookup(row()-1,Calcs!AO$2:AO$200,Display_All!AU$2:AU$200,)</f>
        <v/>
      </c>
      <c r="L77" s="264" t="str">
        <f t="array" ref="L77">xlookup(row()-1,Calcs!AO$2:AO$200,Display_All!AW$2:AW$200,)</f>
        <v/>
      </c>
      <c r="M77" s="264" t="str">
        <f t="array" ref="M77">xlookup(row()-1,Calcs!AO$2:AO$200,Display_All!AX$2:AX$200,)</f>
        <v/>
      </c>
    </row>
    <row r="78">
      <c r="A78" s="264" t="str">
        <f t="array" ref="A78">xlookup(row()-1,Calcs!AO$2:AO$200,Raw!A$2:A$200,)</f>
        <v/>
      </c>
      <c r="B78" s="264" t="str">
        <f t="array" ref="B78">xlookup(row()-1,Calcs!AO$2:AO$200,Raw!B$2:B$200,)</f>
        <v/>
      </c>
      <c r="C78" s="264" t="str">
        <f t="array" ref="C78">xlookup(row()-1,Calcs!AO$2:AO$200,Raw!I$2:I$200,)</f>
        <v/>
      </c>
      <c r="D78" s="264" t="str">
        <f t="array" ref="D78">xlookup(row()-1,Calcs!AO$2:AO$200,Raw!J$2:J$200,)</f>
        <v/>
      </c>
      <c r="E78" s="264" t="str">
        <f t="array" ref="E78">xlookup(row()-1,Calcs!AO$2:AO$200,Raw!AO$2:AO$200,)</f>
        <v/>
      </c>
      <c r="F78" s="264"/>
      <c r="G78" s="264" t="str">
        <f t="array" ref="G78">xlookup(row()-1,Calcs!AO$2:AO$200,Display_All!AC$2:AC$200,)</f>
        <v/>
      </c>
      <c r="H78" s="264" t="str">
        <f t="array" ref="H78">xlookup(row()-1,Calcs!AO$2:AO$200,Display_All!AE$2:AE$200,)</f>
        <v/>
      </c>
      <c r="I78" s="264" t="str">
        <f t="array" ref="I78">xlookup(row()-1,Calcs!AO$2:AO$200,Display_All!AH$2:AH$200,)</f>
        <v/>
      </c>
      <c r="J78" s="264" t="str">
        <f t="array" ref="J78">xlookup(row()-1,Calcs!AO$2:AO$200,Display_All!AG$2:AG$200,)</f>
        <v/>
      </c>
      <c r="K78" s="264" t="str">
        <f t="array" ref="K78">xlookup(row()-1,Calcs!AO$2:AO$200,Display_All!AU$2:AU$200,)</f>
        <v/>
      </c>
      <c r="L78" s="264" t="str">
        <f t="array" ref="L78">xlookup(row()-1,Calcs!AO$2:AO$200,Display_All!AW$2:AW$200,)</f>
        <v/>
      </c>
      <c r="M78" s="264" t="str">
        <f t="array" ref="M78">xlookup(row()-1,Calcs!AO$2:AO$200,Display_All!AX$2:AX$200,)</f>
        <v/>
      </c>
    </row>
    <row r="79">
      <c r="A79" s="264" t="str">
        <f t="array" ref="A79">xlookup(row()-1,Calcs!AO$2:AO$200,Raw!A$2:A$200,)</f>
        <v/>
      </c>
      <c r="B79" s="264" t="str">
        <f t="array" ref="B79">xlookup(row()-1,Calcs!AO$2:AO$200,Raw!B$2:B$200,)</f>
        <v/>
      </c>
      <c r="C79" s="264" t="str">
        <f t="array" ref="C79">xlookup(row()-1,Calcs!AO$2:AO$200,Raw!I$2:I$200,)</f>
        <v/>
      </c>
      <c r="D79" s="264" t="str">
        <f t="array" ref="D79">xlookup(row()-1,Calcs!AO$2:AO$200,Raw!J$2:J$200,)</f>
        <v/>
      </c>
      <c r="E79" s="264" t="str">
        <f t="array" ref="E79">xlookup(row()-1,Calcs!AO$2:AO$200,Raw!AO$2:AO$200,)</f>
        <v/>
      </c>
      <c r="F79" s="264"/>
      <c r="G79" s="264" t="str">
        <f t="array" ref="G79">xlookup(row()-1,Calcs!AO$2:AO$200,Display_All!AC$2:AC$200,)</f>
        <v/>
      </c>
      <c r="H79" s="264" t="str">
        <f t="array" ref="H79">xlookup(row()-1,Calcs!AO$2:AO$200,Display_All!AE$2:AE$200,)</f>
        <v/>
      </c>
      <c r="I79" s="264" t="str">
        <f t="array" ref="I79">xlookup(row()-1,Calcs!AO$2:AO$200,Display_All!AH$2:AH$200,)</f>
        <v/>
      </c>
      <c r="J79" s="264" t="str">
        <f t="array" ref="J79">xlookup(row()-1,Calcs!AO$2:AO$200,Display_All!AG$2:AG$200,)</f>
        <v/>
      </c>
      <c r="K79" s="264" t="str">
        <f t="array" ref="K79">xlookup(row()-1,Calcs!AO$2:AO$200,Display_All!AU$2:AU$200,)</f>
        <v/>
      </c>
      <c r="L79" s="264" t="str">
        <f t="array" ref="L79">xlookup(row()-1,Calcs!AO$2:AO$200,Display_All!AW$2:AW$200,)</f>
        <v/>
      </c>
      <c r="M79" s="264" t="str">
        <f t="array" ref="M79">xlookup(row()-1,Calcs!AO$2:AO$200,Display_All!AX$2:AX$200,)</f>
        <v/>
      </c>
    </row>
    <row r="80">
      <c r="A80" s="264" t="str">
        <f t="array" ref="A80">xlookup(row()-1,Calcs!AO$2:AO$200,Raw!A$2:A$200,)</f>
        <v/>
      </c>
      <c r="B80" s="264" t="str">
        <f t="array" ref="B80">xlookup(row()-1,Calcs!AO$2:AO$200,Raw!B$2:B$200,)</f>
        <v/>
      </c>
      <c r="C80" s="264" t="str">
        <f t="array" ref="C80">xlookup(row()-1,Calcs!AO$2:AO$200,Raw!I$2:I$200,)</f>
        <v/>
      </c>
      <c r="D80" s="264" t="str">
        <f t="array" ref="D80">xlookup(row()-1,Calcs!AO$2:AO$200,Raw!J$2:J$200,)</f>
        <v/>
      </c>
      <c r="E80" s="264" t="str">
        <f t="array" ref="E80">xlookup(row()-1,Calcs!AO$2:AO$200,Raw!AO$2:AO$200,)</f>
        <v/>
      </c>
      <c r="F80" s="264"/>
      <c r="G80" s="264" t="str">
        <f t="array" ref="G80">xlookup(row()-1,Calcs!AO$2:AO$200,Display_All!AC$2:AC$200,)</f>
        <v/>
      </c>
      <c r="H80" s="264" t="str">
        <f t="array" ref="H80">xlookup(row()-1,Calcs!AO$2:AO$200,Display_All!AE$2:AE$200,)</f>
        <v/>
      </c>
      <c r="I80" s="264" t="str">
        <f t="array" ref="I80">xlookup(row()-1,Calcs!AO$2:AO$200,Display_All!AH$2:AH$200,)</f>
        <v/>
      </c>
      <c r="J80" s="264" t="str">
        <f t="array" ref="J80">xlookup(row()-1,Calcs!AO$2:AO$200,Display_All!AG$2:AG$200,)</f>
        <v/>
      </c>
      <c r="K80" s="264" t="str">
        <f t="array" ref="K80">xlookup(row()-1,Calcs!AO$2:AO$200,Display_All!AU$2:AU$200,)</f>
        <v/>
      </c>
      <c r="L80" s="264" t="str">
        <f t="array" ref="L80">xlookup(row()-1,Calcs!AO$2:AO$200,Display_All!AW$2:AW$200,)</f>
        <v/>
      </c>
      <c r="M80" s="264" t="str">
        <f t="array" ref="M80">xlookup(row()-1,Calcs!AO$2:AO$200,Display_All!AX$2:AX$200,)</f>
        <v/>
      </c>
    </row>
    <row r="81">
      <c r="A81" s="264" t="str">
        <f t="array" ref="A81">xlookup(row()-1,Calcs!AO$2:AO$200,Raw!A$2:A$200,)</f>
        <v/>
      </c>
      <c r="B81" s="264" t="str">
        <f t="array" ref="B81">xlookup(row()-1,Calcs!AO$2:AO$200,Raw!B$2:B$200,)</f>
        <v/>
      </c>
      <c r="C81" s="264" t="str">
        <f t="array" ref="C81">xlookup(row()-1,Calcs!AO$2:AO$200,Raw!I$2:I$200,)</f>
        <v/>
      </c>
      <c r="D81" s="264" t="str">
        <f t="array" ref="D81">xlookup(row()-1,Calcs!AO$2:AO$200,Raw!J$2:J$200,)</f>
        <v/>
      </c>
      <c r="E81" s="264" t="str">
        <f t="array" ref="E81">xlookup(row()-1,Calcs!AO$2:AO$200,Raw!AO$2:AO$200,)</f>
        <v/>
      </c>
      <c r="F81" s="264"/>
      <c r="G81" s="264" t="str">
        <f t="array" ref="G81">xlookup(row()-1,Calcs!AO$2:AO$200,Display_All!AC$2:AC$200,)</f>
        <v/>
      </c>
      <c r="H81" s="264" t="str">
        <f t="array" ref="H81">xlookup(row()-1,Calcs!AO$2:AO$200,Display_All!AE$2:AE$200,)</f>
        <v/>
      </c>
      <c r="I81" s="264" t="str">
        <f t="array" ref="I81">xlookup(row()-1,Calcs!AO$2:AO$200,Display_All!AH$2:AH$200,)</f>
        <v/>
      </c>
      <c r="J81" s="264" t="str">
        <f t="array" ref="J81">xlookup(row()-1,Calcs!AO$2:AO$200,Display_All!AG$2:AG$200,)</f>
        <v/>
      </c>
      <c r="K81" s="264" t="str">
        <f t="array" ref="K81">xlookup(row()-1,Calcs!AO$2:AO$200,Display_All!AU$2:AU$200,)</f>
        <v/>
      </c>
      <c r="L81" s="264" t="str">
        <f t="array" ref="L81">xlookup(row()-1,Calcs!AO$2:AO$200,Display_All!AW$2:AW$200,)</f>
        <v/>
      </c>
      <c r="M81" s="264" t="str">
        <f t="array" ref="M81">xlookup(row()-1,Calcs!AO$2:AO$200,Display_All!AX$2:AX$200,)</f>
        <v/>
      </c>
    </row>
    <row r="82">
      <c r="A82" s="264" t="str">
        <f t="array" ref="A82">xlookup(row()-1,Calcs!AO$2:AO$200,Raw!A$2:A$200,)</f>
        <v/>
      </c>
      <c r="B82" s="264" t="str">
        <f t="array" ref="B82">xlookup(row()-1,Calcs!AO$2:AO$200,Raw!B$2:B$200,)</f>
        <v/>
      </c>
      <c r="C82" s="264" t="str">
        <f t="array" ref="C82">xlookup(row()-1,Calcs!AO$2:AO$200,Raw!I$2:I$200,)</f>
        <v/>
      </c>
      <c r="D82" s="264" t="str">
        <f t="array" ref="D82">xlookup(row()-1,Calcs!AO$2:AO$200,Raw!J$2:J$200,)</f>
        <v/>
      </c>
      <c r="E82" s="264" t="str">
        <f t="array" ref="E82">xlookup(row()-1,Calcs!AO$2:AO$200,Raw!AO$2:AO$200,)</f>
        <v/>
      </c>
      <c r="F82" s="264"/>
      <c r="G82" s="264" t="str">
        <f t="array" ref="G82">xlookup(row()-1,Calcs!AO$2:AO$200,Display_All!AC$2:AC$200,)</f>
        <v/>
      </c>
      <c r="H82" s="264" t="str">
        <f t="array" ref="H82">xlookup(row()-1,Calcs!AO$2:AO$200,Display_All!AE$2:AE$200,)</f>
        <v/>
      </c>
      <c r="I82" s="264" t="str">
        <f t="array" ref="I82">xlookup(row()-1,Calcs!AO$2:AO$200,Display_All!AH$2:AH$200,)</f>
        <v/>
      </c>
      <c r="J82" s="264" t="str">
        <f t="array" ref="J82">xlookup(row()-1,Calcs!AO$2:AO$200,Display_All!AG$2:AG$200,)</f>
        <v/>
      </c>
      <c r="K82" s="264" t="str">
        <f t="array" ref="K82">xlookup(row()-1,Calcs!AO$2:AO$200,Display_All!AU$2:AU$200,)</f>
        <v/>
      </c>
      <c r="L82" s="264" t="str">
        <f t="array" ref="L82">xlookup(row()-1,Calcs!AO$2:AO$200,Display_All!AW$2:AW$200,)</f>
        <v/>
      </c>
      <c r="M82" s="264" t="str">
        <f t="array" ref="M82">xlookup(row()-1,Calcs!AO$2:AO$200,Display_All!AX$2:AX$200,)</f>
        <v/>
      </c>
    </row>
    <row r="83">
      <c r="A83" s="264" t="str">
        <f t="array" ref="A83">xlookup(row()-1,Calcs!AO$2:AO$200,Raw!A$2:A$200,)</f>
        <v/>
      </c>
      <c r="B83" s="264" t="str">
        <f t="array" ref="B83">xlookup(row()-1,Calcs!AO$2:AO$200,Raw!B$2:B$200,)</f>
        <v/>
      </c>
      <c r="C83" s="264" t="str">
        <f t="array" ref="C83">xlookup(row()-1,Calcs!AO$2:AO$200,Raw!I$2:I$200,)</f>
        <v/>
      </c>
      <c r="D83" s="264" t="str">
        <f t="array" ref="D83">xlookup(row()-1,Calcs!AO$2:AO$200,Raw!J$2:J$200,)</f>
        <v/>
      </c>
      <c r="E83" s="264" t="str">
        <f t="array" ref="E83">xlookup(row()-1,Calcs!AO$2:AO$200,Raw!AO$2:AO$200,)</f>
        <v/>
      </c>
      <c r="F83" s="264"/>
      <c r="G83" s="264" t="str">
        <f t="array" ref="G83">xlookup(row()-1,Calcs!AO$2:AO$200,Display_All!AC$2:AC$200,)</f>
        <v/>
      </c>
      <c r="H83" s="264" t="str">
        <f t="array" ref="H83">xlookup(row()-1,Calcs!AO$2:AO$200,Display_All!AE$2:AE$200,)</f>
        <v/>
      </c>
      <c r="I83" s="264" t="str">
        <f t="array" ref="I83">xlookup(row()-1,Calcs!AO$2:AO$200,Display_All!AH$2:AH$200,)</f>
        <v/>
      </c>
      <c r="J83" s="264" t="str">
        <f t="array" ref="J83">xlookup(row()-1,Calcs!AO$2:AO$200,Display_All!AG$2:AG$200,)</f>
        <v/>
      </c>
      <c r="K83" s="264" t="str">
        <f t="array" ref="K83">xlookup(row()-1,Calcs!AO$2:AO$200,Display_All!AU$2:AU$200,)</f>
        <v/>
      </c>
      <c r="L83" s="264" t="str">
        <f t="array" ref="L83">xlookup(row()-1,Calcs!AO$2:AO$200,Display_All!AW$2:AW$200,)</f>
        <v/>
      </c>
      <c r="M83" s="264" t="str">
        <f t="array" ref="M83">xlookup(row()-1,Calcs!AO$2:AO$200,Display_All!AX$2:AX$200,)</f>
        <v/>
      </c>
    </row>
    <row r="84">
      <c r="A84" s="264" t="str">
        <f t="array" ref="A84">xlookup(row()-1,Calcs!AO$2:AO$200,Raw!A$2:A$200,)</f>
        <v/>
      </c>
      <c r="B84" s="264" t="str">
        <f t="array" ref="B84">xlookup(row()-1,Calcs!AO$2:AO$200,Raw!B$2:B$200,)</f>
        <v/>
      </c>
      <c r="C84" s="264" t="str">
        <f t="array" ref="C84">xlookup(row()-1,Calcs!AO$2:AO$200,Raw!I$2:I$200,)</f>
        <v/>
      </c>
      <c r="D84" s="264" t="str">
        <f t="array" ref="D84">xlookup(row()-1,Calcs!AO$2:AO$200,Raw!J$2:J$200,)</f>
        <v/>
      </c>
      <c r="E84" s="264" t="str">
        <f t="array" ref="E84">xlookup(row()-1,Calcs!AO$2:AO$200,Raw!AO$2:AO$200,)</f>
        <v/>
      </c>
      <c r="F84" s="264"/>
      <c r="G84" s="264" t="str">
        <f t="array" ref="G84">xlookup(row()-1,Calcs!AO$2:AO$200,Display_All!AC$2:AC$200,)</f>
        <v/>
      </c>
      <c r="H84" s="264" t="str">
        <f t="array" ref="H84">xlookup(row()-1,Calcs!AO$2:AO$200,Display_All!AE$2:AE$200,)</f>
        <v/>
      </c>
      <c r="I84" s="264" t="str">
        <f t="array" ref="I84">xlookup(row()-1,Calcs!AO$2:AO$200,Display_All!AH$2:AH$200,)</f>
        <v/>
      </c>
      <c r="J84" s="264" t="str">
        <f t="array" ref="J84">xlookup(row()-1,Calcs!AO$2:AO$200,Display_All!AG$2:AG$200,)</f>
        <v/>
      </c>
      <c r="K84" s="264" t="str">
        <f t="array" ref="K84">xlookup(row()-1,Calcs!AO$2:AO$200,Display_All!AU$2:AU$200,)</f>
        <v/>
      </c>
      <c r="L84" s="264" t="str">
        <f t="array" ref="L84">xlookup(row()-1,Calcs!AO$2:AO$200,Display_All!AW$2:AW$200,)</f>
        <v/>
      </c>
      <c r="M84" s="264" t="str">
        <f t="array" ref="M84">xlookup(row()-1,Calcs!AO$2:AO$200,Display_All!AX$2:AX$200,)</f>
        <v/>
      </c>
    </row>
    <row r="85">
      <c r="A85" s="264" t="str">
        <f t="array" ref="A85">xlookup(row()-1,Calcs!AO$2:AO$200,Raw!A$2:A$200,)</f>
        <v/>
      </c>
      <c r="B85" s="264" t="str">
        <f t="array" ref="B85">xlookup(row()-1,Calcs!AO$2:AO$200,Raw!B$2:B$200,)</f>
        <v/>
      </c>
      <c r="C85" s="264" t="str">
        <f t="array" ref="C85">xlookup(row()-1,Calcs!AO$2:AO$200,Raw!I$2:I$200,)</f>
        <v/>
      </c>
      <c r="D85" s="264" t="str">
        <f t="array" ref="D85">xlookup(row()-1,Calcs!AO$2:AO$200,Raw!J$2:J$200,)</f>
        <v/>
      </c>
      <c r="E85" s="264" t="str">
        <f t="array" ref="E85">xlookup(row()-1,Calcs!AO$2:AO$200,Raw!AO$2:AO$200,)</f>
        <v/>
      </c>
      <c r="F85" s="264"/>
      <c r="G85" s="264" t="str">
        <f t="array" ref="G85">xlookup(row()-1,Calcs!AO$2:AO$200,Display_All!AC$2:AC$200,)</f>
        <v/>
      </c>
      <c r="H85" s="264" t="str">
        <f t="array" ref="H85">xlookup(row()-1,Calcs!AO$2:AO$200,Display_All!AE$2:AE$200,)</f>
        <v/>
      </c>
      <c r="I85" s="264" t="str">
        <f t="array" ref="I85">xlookup(row()-1,Calcs!AO$2:AO$200,Display_All!AH$2:AH$200,)</f>
        <v/>
      </c>
      <c r="J85" s="264" t="str">
        <f t="array" ref="J85">xlookup(row()-1,Calcs!AO$2:AO$200,Display_All!AG$2:AG$200,)</f>
        <v/>
      </c>
      <c r="K85" s="264" t="str">
        <f t="array" ref="K85">xlookup(row()-1,Calcs!AO$2:AO$200,Display_All!AU$2:AU$200,)</f>
        <v/>
      </c>
      <c r="L85" s="264" t="str">
        <f t="array" ref="L85">xlookup(row()-1,Calcs!AO$2:AO$200,Display_All!AW$2:AW$200,)</f>
        <v/>
      </c>
      <c r="M85" s="264" t="str">
        <f t="array" ref="M85">xlookup(row()-1,Calcs!AO$2:AO$200,Display_All!AX$2:AX$200,)</f>
        <v/>
      </c>
    </row>
    <row r="86">
      <c r="A86" s="264" t="str">
        <f t="array" ref="A86">xlookup(row()-1,Calcs!AO$2:AO$200,Raw!A$2:A$200,)</f>
        <v/>
      </c>
      <c r="B86" s="264" t="str">
        <f t="array" ref="B86">xlookup(row()-1,Calcs!AO$2:AO$200,Raw!B$2:B$200,)</f>
        <v/>
      </c>
      <c r="C86" s="264" t="str">
        <f t="array" ref="C86">xlookup(row()-1,Calcs!AO$2:AO$200,Raw!I$2:I$200,)</f>
        <v/>
      </c>
      <c r="D86" s="264" t="str">
        <f t="array" ref="D86">xlookup(row()-1,Calcs!AO$2:AO$200,Raw!J$2:J$200,)</f>
        <v/>
      </c>
      <c r="E86" s="264" t="str">
        <f t="array" ref="E86">xlookup(row()-1,Calcs!AO$2:AO$200,Raw!AO$2:AO$200,)</f>
        <v/>
      </c>
      <c r="F86" s="264"/>
      <c r="G86" s="264" t="str">
        <f t="array" ref="G86">xlookup(row()-1,Calcs!AO$2:AO$200,Display_All!AC$2:AC$200,)</f>
        <v/>
      </c>
      <c r="H86" s="264" t="str">
        <f t="array" ref="H86">xlookup(row()-1,Calcs!AO$2:AO$200,Display_All!AE$2:AE$200,)</f>
        <v/>
      </c>
      <c r="I86" s="264" t="str">
        <f t="array" ref="I86">xlookup(row()-1,Calcs!AO$2:AO$200,Display_All!AH$2:AH$200,)</f>
        <v/>
      </c>
      <c r="J86" s="264" t="str">
        <f t="array" ref="J86">xlookup(row()-1,Calcs!AO$2:AO$200,Display_All!AG$2:AG$200,)</f>
        <v/>
      </c>
      <c r="K86" s="264" t="str">
        <f t="array" ref="K86">xlookup(row()-1,Calcs!AO$2:AO$200,Display_All!AU$2:AU$200,)</f>
        <v/>
      </c>
      <c r="L86" s="264" t="str">
        <f t="array" ref="L86">xlookup(row()-1,Calcs!AO$2:AO$200,Display_All!AW$2:AW$200,)</f>
        <v/>
      </c>
      <c r="M86" s="264" t="str">
        <f t="array" ref="M86">xlookup(row()-1,Calcs!AO$2:AO$200,Display_All!AX$2:AX$200,)</f>
        <v/>
      </c>
    </row>
    <row r="87">
      <c r="A87" s="264" t="str">
        <f t="array" ref="A87">xlookup(row()-1,Calcs!AO$2:AO$200,Raw!A$2:A$200,)</f>
        <v/>
      </c>
      <c r="B87" s="264" t="str">
        <f t="array" ref="B87">xlookup(row()-1,Calcs!AO$2:AO$200,Raw!B$2:B$200,)</f>
        <v/>
      </c>
      <c r="C87" s="264" t="str">
        <f t="array" ref="C87">xlookup(row()-1,Calcs!AO$2:AO$200,Raw!I$2:I$200,)</f>
        <v/>
      </c>
      <c r="D87" s="264" t="str">
        <f t="array" ref="D87">xlookup(row()-1,Calcs!AO$2:AO$200,Raw!J$2:J$200,)</f>
        <v/>
      </c>
      <c r="E87" s="264" t="str">
        <f t="array" ref="E87">xlookup(row()-1,Calcs!AO$2:AO$200,Raw!AO$2:AO$200,)</f>
        <v/>
      </c>
      <c r="F87" s="264"/>
      <c r="G87" s="264" t="str">
        <f t="array" ref="G87">xlookup(row()-1,Calcs!AO$2:AO$200,Display_All!AC$2:AC$200,)</f>
        <v/>
      </c>
      <c r="H87" s="264" t="str">
        <f t="array" ref="H87">xlookup(row()-1,Calcs!AO$2:AO$200,Display_All!AE$2:AE$200,)</f>
        <v/>
      </c>
      <c r="I87" s="264" t="str">
        <f t="array" ref="I87">xlookup(row()-1,Calcs!AO$2:AO$200,Display_All!AH$2:AH$200,)</f>
        <v/>
      </c>
      <c r="J87" s="264" t="str">
        <f t="array" ref="J87">xlookup(row()-1,Calcs!AO$2:AO$200,Display_All!AG$2:AG$200,)</f>
        <v/>
      </c>
      <c r="K87" s="264" t="str">
        <f t="array" ref="K87">xlookup(row()-1,Calcs!AO$2:AO$200,Display_All!AU$2:AU$200,)</f>
        <v/>
      </c>
      <c r="L87" s="264" t="str">
        <f t="array" ref="L87">xlookup(row()-1,Calcs!AO$2:AO$200,Display_All!AW$2:AW$200,)</f>
        <v/>
      </c>
      <c r="M87" s="264" t="str">
        <f t="array" ref="M87">xlookup(row()-1,Calcs!AO$2:AO$200,Display_All!AX$2:AX$200,)</f>
        <v/>
      </c>
    </row>
    <row r="88">
      <c r="A88" s="264" t="str">
        <f t="array" ref="A88">xlookup(row()-1,Calcs!AO$2:AO$200,Raw!A$2:A$200,)</f>
        <v/>
      </c>
      <c r="B88" s="264" t="str">
        <f t="array" ref="B88">xlookup(row()-1,Calcs!AO$2:AO$200,Raw!B$2:B$200,)</f>
        <v/>
      </c>
      <c r="C88" s="264" t="str">
        <f t="array" ref="C88">xlookup(row()-1,Calcs!AO$2:AO$200,Raw!I$2:I$200,)</f>
        <v/>
      </c>
      <c r="D88" s="264" t="str">
        <f t="array" ref="D88">xlookup(row()-1,Calcs!AO$2:AO$200,Raw!J$2:J$200,)</f>
        <v/>
      </c>
      <c r="E88" s="264" t="str">
        <f t="array" ref="E88">xlookup(row()-1,Calcs!AO$2:AO$200,Raw!AO$2:AO$200,)</f>
        <v/>
      </c>
      <c r="F88" s="264"/>
      <c r="G88" s="264" t="str">
        <f t="array" ref="G88">xlookup(row()-1,Calcs!AO$2:AO$200,Display_All!AC$2:AC$200,)</f>
        <v/>
      </c>
      <c r="H88" s="264" t="str">
        <f t="array" ref="H88">xlookup(row()-1,Calcs!AO$2:AO$200,Display_All!AE$2:AE$200,)</f>
        <v/>
      </c>
      <c r="I88" s="264" t="str">
        <f t="array" ref="I88">xlookup(row()-1,Calcs!AO$2:AO$200,Display_All!AH$2:AH$200,)</f>
        <v/>
      </c>
      <c r="J88" s="264" t="str">
        <f t="array" ref="J88">xlookup(row()-1,Calcs!AO$2:AO$200,Display_All!AG$2:AG$200,)</f>
        <v/>
      </c>
      <c r="K88" s="264" t="str">
        <f t="array" ref="K88">xlookup(row()-1,Calcs!AO$2:AO$200,Display_All!AU$2:AU$200,)</f>
        <v/>
      </c>
      <c r="L88" s="264" t="str">
        <f t="array" ref="L88">xlookup(row()-1,Calcs!AO$2:AO$200,Display_All!AW$2:AW$200,)</f>
        <v/>
      </c>
      <c r="M88" s="264" t="str">
        <f t="array" ref="M88">xlookup(row()-1,Calcs!AO$2:AO$200,Display_All!AX$2:AX$200,)</f>
        <v/>
      </c>
    </row>
    <row r="89">
      <c r="A89" s="264" t="str">
        <f t="array" ref="A89">xlookup(row()-1,Calcs!AO$2:AO$200,Raw!A$2:A$200,)</f>
        <v/>
      </c>
      <c r="B89" s="264" t="str">
        <f t="array" ref="B89">xlookup(row()-1,Calcs!AO$2:AO$200,Raw!B$2:B$200,)</f>
        <v/>
      </c>
      <c r="C89" s="264" t="str">
        <f t="array" ref="C89">xlookup(row()-1,Calcs!AO$2:AO$200,Raw!I$2:I$200,)</f>
        <v/>
      </c>
      <c r="D89" s="264" t="str">
        <f t="array" ref="D89">xlookup(row()-1,Calcs!AO$2:AO$200,Raw!J$2:J$200,)</f>
        <v/>
      </c>
      <c r="E89" s="264" t="str">
        <f t="array" ref="E89">xlookup(row()-1,Calcs!AO$2:AO$200,Raw!AO$2:AO$200,)</f>
        <v/>
      </c>
      <c r="F89" s="264"/>
      <c r="G89" s="264" t="str">
        <f t="array" ref="G89">xlookup(row()-1,Calcs!AO$2:AO$200,Display_All!AC$2:AC$200,)</f>
        <v/>
      </c>
      <c r="H89" s="264" t="str">
        <f t="array" ref="H89">xlookup(row()-1,Calcs!AO$2:AO$200,Display_All!AE$2:AE$200,)</f>
        <v/>
      </c>
      <c r="I89" s="264" t="str">
        <f t="array" ref="I89">xlookup(row()-1,Calcs!AO$2:AO$200,Display_All!AH$2:AH$200,)</f>
        <v/>
      </c>
      <c r="J89" s="264" t="str">
        <f t="array" ref="J89">xlookup(row()-1,Calcs!AO$2:AO$200,Display_All!AG$2:AG$200,)</f>
        <v/>
      </c>
      <c r="K89" s="264" t="str">
        <f t="array" ref="K89">xlookup(row()-1,Calcs!AO$2:AO$200,Display_All!AU$2:AU$200,)</f>
        <v/>
      </c>
      <c r="L89" s="264" t="str">
        <f t="array" ref="L89">xlookup(row()-1,Calcs!AO$2:AO$200,Display_All!AW$2:AW$200,)</f>
        <v/>
      </c>
      <c r="M89" s="264" t="str">
        <f t="array" ref="M89">xlookup(row()-1,Calcs!AO$2:AO$200,Display_All!AX$2:AX$200,)</f>
        <v/>
      </c>
    </row>
    <row r="90">
      <c r="A90" s="264" t="str">
        <f t="array" ref="A90">xlookup(row()-1,Calcs!AO$2:AO$200,Raw!A$2:A$200,)</f>
        <v/>
      </c>
      <c r="B90" s="264" t="str">
        <f t="array" ref="B90">xlookup(row()-1,Calcs!AO$2:AO$200,Raw!B$2:B$200,)</f>
        <v/>
      </c>
      <c r="C90" s="264" t="str">
        <f t="array" ref="C90">xlookup(row()-1,Calcs!AO$2:AO$200,Raw!I$2:I$200,)</f>
        <v/>
      </c>
      <c r="D90" s="264" t="str">
        <f t="array" ref="D90">xlookup(row()-1,Calcs!AO$2:AO$200,Raw!J$2:J$200,)</f>
        <v/>
      </c>
      <c r="E90" s="264" t="str">
        <f t="array" ref="E90">xlookup(row()-1,Calcs!AO$2:AO$200,Raw!AO$2:AO$200,)</f>
        <v/>
      </c>
      <c r="F90" s="264"/>
      <c r="G90" s="264" t="str">
        <f t="array" ref="G90">xlookup(row()-1,Calcs!AO$2:AO$200,Display_All!AC$2:AC$200,)</f>
        <v/>
      </c>
      <c r="H90" s="264" t="str">
        <f t="array" ref="H90">xlookup(row()-1,Calcs!AO$2:AO$200,Display_All!AE$2:AE$200,)</f>
        <v/>
      </c>
      <c r="I90" s="264" t="str">
        <f t="array" ref="I90">xlookup(row()-1,Calcs!AO$2:AO$200,Display_All!AH$2:AH$200,)</f>
        <v/>
      </c>
      <c r="J90" s="264" t="str">
        <f t="array" ref="J90">xlookup(row()-1,Calcs!AO$2:AO$200,Display_All!AG$2:AG$200,)</f>
        <v/>
      </c>
      <c r="K90" s="264" t="str">
        <f t="array" ref="K90">xlookup(row()-1,Calcs!AO$2:AO$200,Display_All!AU$2:AU$200,)</f>
        <v/>
      </c>
      <c r="L90" s="264" t="str">
        <f t="array" ref="L90">xlookup(row()-1,Calcs!AO$2:AO$200,Display_All!AW$2:AW$200,)</f>
        <v/>
      </c>
      <c r="M90" s="264" t="str">
        <f t="array" ref="M90">xlookup(row()-1,Calcs!AO$2:AO$200,Display_All!AX$2:AX$200,)</f>
        <v/>
      </c>
    </row>
    <row r="91">
      <c r="A91" s="264" t="str">
        <f t="array" ref="A91">xlookup(row()-1,Calcs!AO$2:AO$200,Raw!A$2:A$200,)</f>
        <v/>
      </c>
      <c r="B91" s="264" t="str">
        <f t="array" ref="B91">xlookup(row()-1,Calcs!AO$2:AO$200,Raw!B$2:B$200,)</f>
        <v/>
      </c>
      <c r="C91" s="264" t="str">
        <f t="array" ref="C91">xlookup(row()-1,Calcs!AO$2:AO$200,Raw!I$2:I$200,)</f>
        <v/>
      </c>
      <c r="D91" s="264" t="str">
        <f t="array" ref="D91">xlookup(row()-1,Calcs!AO$2:AO$200,Raw!J$2:J$200,)</f>
        <v/>
      </c>
      <c r="E91" s="264" t="str">
        <f t="array" ref="E91">xlookup(row()-1,Calcs!AO$2:AO$200,Raw!AO$2:AO$200,)</f>
        <v/>
      </c>
      <c r="F91" s="264"/>
      <c r="G91" s="264" t="str">
        <f t="array" ref="G91">xlookup(row()-1,Calcs!AO$2:AO$200,Display_All!AC$2:AC$200,)</f>
        <v/>
      </c>
      <c r="H91" s="264" t="str">
        <f t="array" ref="H91">xlookup(row()-1,Calcs!AO$2:AO$200,Display_All!AE$2:AE$200,)</f>
        <v/>
      </c>
      <c r="I91" s="264" t="str">
        <f t="array" ref="I91">xlookup(row()-1,Calcs!AO$2:AO$200,Display_All!AH$2:AH$200,)</f>
        <v/>
      </c>
      <c r="J91" s="264" t="str">
        <f t="array" ref="J91">xlookup(row()-1,Calcs!AO$2:AO$200,Display_All!AG$2:AG$200,)</f>
        <v/>
      </c>
      <c r="K91" s="264" t="str">
        <f t="array" ref="K91">xlookup(row()-1,Calcs!AO$2:AO$200,Display_All!AU$2:AU$200,)</f>
        <v/>
      </c>
      <c r="L91" s="264" t="str">
        <f t="array" ref="L91">xlookup(row()-1,Calcs!AO$2:AO$200,Display_All!AW$2:AW$200,)</f>
        <v/>
      </c>
      <c r="M91" s="264" t="str">
        <f t="array" ref="M91">xlookup(row()-1,Calcs!AO$2:AO$200,Display_All!AX$2:AX$200,)</f>
        <v/>
      </c>
    </row>
    <row r="92">
      <c r="A92" s="264" t="str">
        <f t="array" ref="A92">xlookup(row()-1,Calcs!AO$2:AO$200,Raw!A$2:A$200,)</f>
        <v/>
      </c>
      <c r="B92" s="264" t="str">
        <f t="array" ref="B92">xlookup(row()-1,Calcs!AO$2:AO$200,Raw!B$2:B$200,)</f>
        <v/>
      </c>
      <c r="C92" s="264" t="str">
        <f t="array" ref="C92">xlookup(row()-1,Calcs!AO$2:AO$200,Raw!I$2:I$200,)</f>
        <v/>
      </c>
      <c r="D92" s="264" t="str">
        <f t="array" ref="D92">xlookup(row()-1,Calcs!AO$2:AO$200,Raw!J$2:J$200,)</f>
        <v/>
      </c>
      <c r="E92" s="264" t="str">
        <f t="array" ref="E92">xlookup(row()-1,Calcs!AO$2:AO$200,Raw!AO$2:AO$200,)</f>
        <v/>
      </c>
      <c r="F92" s="264"/>
      <c r="G92" s="264" t="str">
        <f t="array" ref="G92">xlookup(row()-1,Calcs!AO$2:AO$200,Display_All!AC$2:AC$200,)</f>
        <v/>
      </c>
      <c r="H92" s="264" t="str">
        <f t="array" ref="H92">xlookup(row()-1,Calcs!AO$2:AO$200,Display_All!AE$2:AE$200,)</f>
        <v/>
      </c>
      <c r="I92" s="264" t="str">
        <f t="array" ref="I92">xlookup(row()-1,Calcs!AO$2:AO$200,Display_All!AH$2:AH$200,)</f>
        <v/>
      </c>
      <c r="J92" s="264" t="str">
        <f t="array" ref="J92">xlookup(row()-1,Calcs!AO$2:AO$200,Display_All!AG$2:AG$200,)</f>
        <v/>
      </c>
      <c r="K92" s="264" t="str">
        <f t="array" ref="K92">xlookup(row()-1,Calcs!AO$2:AO$200,Display_All!AU$2:AU$200,)</f>
        <v/>
      </c>
      <c r="L92" s="264" t="str">
        <f t="array" ref="L92">xlookup(row()-1,Calcs!AO$2:AO$200,Display_All!AW$2:AW$200,)</f>
        <v/>
      </c>
      <c r="M92" s="264" t="str">
        <f t="array" ref="M92">xlookup(row()-1,Calcs!AO$2:AO$200,Display_All!AX$2:AX$200,)</f>
        <v/>
      </c>
    </row>
    <row r="93">
      <c r="A93" s="264" t="str">
        <f t="array" ref="A93">xlookup(row()-1,Calcs!AO$2:AO$200,Raw!A$2:A$200,)</f>
        <v/>
      </c>
      <c r="B93" s="264" t="str">
        <f t="array" ref="B93">xlookup(row()-1,Calcs!AO$2:AO$200,Raw!B$2:B$200,)</f>
        <v/>
      </c>
      <c r="C93" s="264" t="str">
        <f t="array" ref="C93">xlookup(row()-1,Calcs!AO$2:AO$200,Raw!I$2:I$200,)</f>
        <v/>
      </c>
      <c r="D93" s="264" t="str">
        <f t="array" ref="D93">xlookup(row()-1,Calcs!AO$2:AO$200,Raw!J$2:J$200,)</f>
        <v/>
      </c>
      <c r="E93" s="264" t="str">
        <f t="array" ref="E93">xlookup(row()-1,Calcs!AO$2:AO$200,Raw!AO$2:AO$200,)</f>
        <v/>
      </c>
      <c r="F93" s="264"/>
      <c r="G93" s="264" t="str">
        <f t="array" ref="G93">xlookup(row()-1,Calcs!AO$2:AO$200,Display_All!AC$2:AC$200,)</f>
        <v/>
      </c>
      <c r="H93" s="264" t="str">
        <f t="array" ref="H93">xlookup(row()-1,Calcs!AO$2:AO$200,Display_All!AE$2:AE$200,)</f>
        <v/>
      </c>
      <c r="I93" s="264" t="str">
        <f t="array" ref="I93">xlookup(row()-1,Calcs!AO$2:AO$200,Display_All!AH$2:AH$200,)</f>
        <v/>
      </c>
      <c r="J93" s="264" t="str">
        <f t="array" ref="J93">xlookup(row()-1,Calcs!AO$2:AO$200,Display_All!AG$2:AG$200,)</f>
        <v/>
      </c>
      <c r="K93" s="264" t="str">
        <f t="array" ref="K93">xlookup(row()-1,Calcs!AO$2:AO$200,Display_All!AU$2:AU$200,)</f>
        <v/>
      </c>
      <c r="L93" s="264" t="str">
        <f t="array" ref="L93">xlookup(row()-1,Calcs!AO$2:AO$200,Display_All!AW$2:AW$200,)</f>
        <v/>
      </c>
      <c r="M93" s="264" t="str">
        <f t="array" ref="M93">xlookup(row()-1,Calcs!AO$2:AO$200,Display_All!AX$2:AX$200,)</f>
        <v/>
      </c>
    </row>
    <row r="94">
      <c r="A94" s="264" t="str">
        <f t="array" ref="A94">xlookup(row()-1,Calcs!AO$2:AO$200,Raw!A$2:A$200,)</f>
        <v/>
      </c>
      <c r="B94" s="264" t="str">
        <f t="array" ref="B94">xlookup(row()-1,Calcs!AO$2:AO$200,Raw!B$2:B$200,)</f>
        <v/>
      </c>
      <c r="C94" s="264" t="str">
        <f t="array" ref="C94">xlookup(row()-1,Calcs!AO$2:AO$200,Raw!I$2:I$200,)</f>
        <v/>
      </c>
      <c r="D94" s="264" t="str">
        <f t="array" ref="D94">xlookup(row()-1,Calcs!AO$2:AO$200,Raw!J$2:J$200,)</f>
        <v/>
      </c>
      <c r="E94" s="264" t="str">
        <f t="array" ref="E94">xlookup(row()-1,Calcs!AO$2:AO$200,Raw!AO$2:AO$200,)</f>
        <v/>
      </c>
      <c r="F94" s="264"/>
      <c r="G94" s="264" t="str">
        <f t="array" ref="G94">xlookup(row()-1,Calcs!AO$2:AO$200,Display_All!AC$2:AC$200,)</f>
        <v/>
      </c>
      <c r="H94" s="264" t="str">
        <f t="array" ref="H94">xlookup(row()-1,Calcs!AO$2:AO$200,Display_All!AE$2:AE$200,)</f>
        <v/>
      </c>
      <c r="I94" s="264" t="str">
        <f t="array" ref="I94">xlookup(row()-1,Calcs!AO$2:AO$200,Display_All!AH$2:AH$200,)</f>
        <v/>
      </c>
      <c r="J94" s="264" t="str">
        <f t="array" ref="J94">xlookup(row()-1,Calcs!AO$2:AO$200,Display_All!AG$2:AG$200,)</f>
        <v/>
      </c>
      <c r="K94" s="264" t="str">
        <f t="array" ref="K94">xlookup(row()-1,Calcs!AO$2:AO$200,Display_All!AU$2:AU$200,)</f>
        <v/>
      </c>
      <c r="L94" s="264" t="str">
        <f t="array" ref="L94">xlookup(row()-1,Calcs!AO$2:AO$200,Display_All!AW$2:AW$200,)</f>
        <v/>
      </c>
      <c r="M94" s="264" t="str">
        <f t="array" ref="M94">xlookup(row()-1,Calcs!AO$2:AO$200,Display_All!AX$2:AX$200,)</f>
        <v/>
      </c>
    </row>
    <row r="95">
      <c r="A95" s="264" t="str">
        <f t="array" ref="A95">xlookup(row()-1,Calcs!AO$2:AO$200,Raw!A$2:A$200,)</f>
        <v/>
      </c>
      <c r="B95" s="264" t="str">
        <f t="array" ref="B95">xlookup(row()-1,Calcs!AO$2:AO$200,Raw!B$2:B$200,)</f>
        <v/>
      </c>
      <c r="C95" s="264" t="str">
        <f t="array" ref="C95">xlookup(row()-1,Calcs!AO$2:AO$200,Raw!I$2:I$200,)</f>
        <v/>
      </c>
      <c r="D95" s="264" t="str">
        <f t="array" ref="D95">xlookup(row()-1,Calcs!AO$2:AO$200,Raw!J$2:J$200,)</f>
        <v/>
      </c>
      <c r="E95" s="264" t="str">
        <f t="array" ref="E95">xlookup(row()-1,Calcs!AO$2:AO$200,Raw!AO$2:AO$200,)</f>
        <v/>
      </c>
      <c r="F95" s="264"/>
      <c r="G95" s="264" t="str">
        <f t="array" ref="G95">xlookup(row()-1,Calcs!AO$2:AO$200,Display_All!AC$2:AC$200,)</f>
        <v/>
      </c>
      <c r="H95" s="264" t="str">
        <f t="array" ref="H95">xlookup(row()-1,Calcs!AO$2:AO$200,Display_All!AE$2:AE$200,)</f>
        <v/>
      </c>
      <c r="I95" s="264" t="str">
        <f t="array" ref="I95">xlookup(row()-1,Calcs!AO$2:AO$200,Display_All!AH$2:AH$200,)</f>
        <v/>
      </c>
      <c r="J95" s="264" t="str">
        <f t="array" ref="J95">xlookup(row()-1,Calcs!AO$2:AO$200,Display_All!AG$2:AG$200,)</f>
        <v/>
      </c>
      <c r="K95" s="264" t="str">
        <f t="array" ref="K95">xlookup(row()-1,Calcs!AO$2:AO$200,Display_All!AU$2:AU$200,)</f>
        <v/>
      </c>
      <c r="L95" s="264" t="str">
        <f t="array" ref="L95">xlookup(row()-1,Calcs!AO$2:AO$200,Display_All!AW$2:AW$200,)</f>
        <v/>
      </c>
      <c r="M95" s="264" t="str">
        <f t="array" ref="M95">xlookup(row()-1,Calcs!AO$2:AO$200,Display_All!AX$2:AX$200,)</f>
        <v/>
      </c>
    </row>
    <row r="96">
      <c r="A96" s="264" t="str">
        <f t="array" ref="A96">xlookup(row()-1,Calcs!AO$2:AO$200,Raw!A$2:A$200,)</f>
        <v/>
      </c>
      <c r="B96" s="264" t="str">
        <f t="array" ref="B96">xlookup(row()-1,Calcs!AO$2:AO$200,Raw!B$2:B$200,)</f>
        <v/>
      </c>
      <c r="C96" s="264" t="str">
        <f t="array" ref="C96">xlookup(row()-1,Calcs!AO$2:AO$200,Raw!I$2:I$200,)</f>
        <v/>
      </c>
      <c r="D96" s="264" t="str">
        <f t="array" ref="D96">xlookup(row()-1,Calcs!AO$2:AO$200,Raw!J$2:J$200,)</f>
        <v/>
      </c>
      <c r="E96" s="264" t="str">
        <f t="array" ref="E96">xlookup(row()-1,Calcs!AO$2:AO$200,Raw!AO$2:AO$200,)</f>
        <v/>
      </c>
      <c r="F96" s="264"/>
      <c r="G96" s="264" t="str">
        <f t="array" ref="G96">xlookup(row()-1,Calcs!AO$2:AO$200,Display_All!AC$2:AC$200,)</f>
        <v/>
      </c>
      <c r="H96" s="264" t="str">
        <f t="array" ref="H96">xlookup(row()-1,Calcs!AO$2:AO$200,Display_All!AE$2:AE$200,)</f>
        <v/>
      </c>
      <c r="I96" s="264" t="str">
        <f t="array" ref="I96">xlookup(row()-1,Calcs!AO$2:AO$200,Display_All!AH$2:AH$200,)</f>
        <v/>
      </c>
      <c r="J96" s="264" t="str">
        <f t="array" ref="J96">xlookup(row()-1,Calcs!AO$2:AO$200,Display_All!AG$2:AG$200,)</f>
        <v/>
      </c>
      <c r="K96" s="264" t="str">
        <f t="array" ref="K96">xlookup(row()-1,Calcs!AO$2:AO$200,Display_All!AU$2:AU$200,)</f>
        <v/>
      </c>
      <c r="L96" s="264" t="str">
        <f t="array" ref="L96">xlookup(row()-1,Calcs!AO$2:AO$200,Display_All!AW$2:AW$200,)</f>
        <v/>
      </c>
      <c r="M96" s="264" t="str">
        <f t="array" ref="M96">xlookup(row()-1,Calcs!AO$2:AO$200,Display_All!AX$2:AX$200,)</f>
        <v/>
      </c>
    </row>
    <row r="97">
      <c r="A97" s="264" t="str">
        <f t="array" ref="A97">xlookup(row()-1,Calcs!AO$2:AO$200,Raw!A$2:A$200,)</f>
        <v/>
      </c>
      <c r="B97" s="264" t="str">
        <f t="array" ref="B97">xlookup(row()-1,Calcs!AO$2:AO$200,Raw!B$2:B$200,)</f>
        <v/>
      </c>
      <c r="C97" s="264" t="str">
        <f t="array" ref="C97">xlookup(row()-1,Calcs!AO$2:AO$200,Raw!I$2:I$200,)</f>
        <v/>
      </c>
      <c r="D97" s="264" t="str">
        <f t="array" ref="D97">xlookup(row()-1,Calcs!AO$2:AO$200,Raw!J$2:J$200,)</f>
        <v/>
      </c>
      <c r="E97" s="264" t="str">
        <f t="array" ref="E97">xlookup(row()-1,Calcs!AO$2:AO$200,Raw!AO$2:AO$200,)</f>
        <v/>
      </c>
      <c r="F97" s="264"/>
      <c r="G97" s="264" t="str">
        <f t="array" ref="G97">xlookup(row()-1,Calcs!AO$2:AO$200,Display_All!AC$2:AC$200,)</f>
        <v/>
      </c>
      <c r="H97" s="264" t="str">
        <f t="array" ref="H97">xlookup(row()-1,Calcs!AO$2:AO$200,Display_All!AE$2:AE$200,)</f>
        <v/>
      </c>
      <c r="I97" s="264" t="str">
        <f t="array" ref="I97">xlookup(row()-1,Calcs!AO$2:AO$200,Display_All!AH$2:AH$200,)</f>
        <v/>
      </c>
      <c r="J97" s="264" t="str">
        <f t="array" ref="J97">xlookup(row()-1,Calcs!AO$2:AO$200,Display_All!AG$2:AG$200,)</f>
        <v/>
      </c>
      <c r="K97" s="264" t="str">
        <f t="array" ref="K97">xlookup(row()-1,Calcs!AO$2:AO$200,Display_All!AU$2:AU$200,)</f>
        <v/>
      </c>
      <c r="L97" s="264" t="str">
        <f t="array" ref="L97">xlookup(row()-1,Calcs!AO$2:AO$200,Display_All!AW$2:AW$200,)</f>
        <v/>
      </c>
      <c r="M97" s="264" t="str">
        <f t="array" ref="M97">xlookup(row()-1,Calcs!AO$2:AO$200,Display_All!AX$2:AX$200,)</f>
        <v/>
      </c>
    </row>
    <row r="98">
      <c r="A98" s="264" t="str">
        <f t="array" ref="A98">xlookup(row()-1,Calcs!AO$2:AO$200,Raw!A$2:A$200,)</f>
        <v/>
      </c>
      <c r="B98" s="264" t="str">
        <f t="array" ref="B98">xlookup(row()-1,Calcs!AO$2:AO$200,Raw!B$2:B$200,)</f>
        <v/>
      </c>
      <c r="C98" s="264" t="str">
        <f t="array" ref="C98">xlookup(row()-1,Calcs!AO$2:AO$200,Raw!I$2:I$200,)</f>
        <v/>
      </c>
      <c r="D98" s="264" t="str">
        <f t="array" ref="D98">xlookup(row()-1,Calcs!AO$2:AO$200,Raw!J$2:J$200,)</f>
        <v/>
      </c>
      <c r="E98" s="264" t="str">
        <f t="array" ref="E98">xlookup(row()-1,Calcs!AO$2:AO$200,Raw!AO$2:AO$200,)</f>
        <v/>
      </c>
      <c r="F98" s="264"/>
      <c r="G98" s="264" t="str">
        <f t="array" ref="G98">xlookup(row()-1,Calcs!AO$2:AO$200,Display_All!AC$2:AC$200,)</f>
        <v/>
      </c>
      <c r="H98" s="264" t="str">
        <f t="array" ref="H98">xlookup(row()-1,Calcs!AO$2:AO$200,Display_All!AE$2:AE$200,)</f>
        <v/>
      </c>
      <c r="I98" s="264" t="str">
        <f t="array" ref="I98">xlookup(row()-1,Calcs!AO$2:AO$200,Display_All!AH$2:AH$200,)</f>
        <v/>
      </c>
      <c r="J98" s="264" t="str">
        <f t="array" ref="J98">xlookup(row()-1,Calcs!AO$2:AO$200,Display_All!AG$2:AG$200,)</f>
        <v/>
      </c>
      <c r="K98" s="264" t="str">
        <f t="array" ref="K98">xlookup(row()-1,Calcs!AO$2:AO$200,Display_All!AU$2:AU$200,)</f>
        <v/>
      </c>
      <c r="L98" s="264" t="str">
        <f t="array" ref="L98">xlookup(row()-1,Calcs!AO$2:AO$200,Display_All!AW$2:AW$200,)</f>
        <v/>
      </c>
      <c r="M98" s="264" t="str">
        <f t="array" ref="M98">xlookup(row()-1,Calcs!AO$2:AO$200,Display_All!AX$2:AX$200,)</f>
        <v/>
      </c>
    </row>
    <row r="99">
      <c r="A99" s="264" t="str">
        <f t="array" ref="A99">xlookup(row()-1,Calcs!AO$2:AO$200,Raw!A$2:A$200,)</f>
        <v/>
      </c>
      <c r="B99" s="264" t="str">
        <f t="array" ref="B99">xlookup(row()-1,Calcs!AO$2:AO$200,Raw!B$2:B$200,)</f>
        <v/>
      </c>
      <c r="C99" s="264" t="str">
        <f t="array" ref="C99">xlookup(row()-1,Calcs!AO$2:AO$200,Raw!I$2:I$200,)</f>
        <v/>
      </c>
      <c r="D99" s="264" t="str">
        <f t="array" ref="D99">xlookup(row()-1,Calcs!AO$2:AO$200,Raw!J$2:J$200,)</f>
        <v/>
      </c>
      <c r="E99" s="264" t="str">
        <f t="array" ref="E99">xlookup(row()-1,Calcs!AO$2:AO$200,Raw!AO$2:AO$200,)</f>
        <v/>
      </c>
      <c r="F99" s="264"/>
      <c r="G99" s="264" t="str">
        <f t="array" ref="G99">xlookup(row()-1,Calcs!AO$2:AO$200,Display_All!AC$2:AC$200,)</f>
        <v/>
      </c>
      <c r="H99" s="264" t="str">
        <f t="array" ref="H99">xlookup(row()-1,Calcs!AO$2:AO$200,Display_All!AE$2:AE$200,)</f>
        <v/>
      </c>
      <c r="I99" s="264" t="str">
        <f t="array" ref="I99">xlookup(row()-1,Calcs!AO$2:AO$200,Display_All!AH$2:AH$200,)</f>
        <v/>
      </c>
      <c r="J99" s="264" t="str">
        <f t="array" ref="J99">xlookup(row()-1,Calcs!AO$2:AO$200,Display_All!AG$2:AG$200,)</f>
        <v/>
      </c>
      <c r="K99" s="264" t="str">
        <f t="array" ref="K99">xlookup(row()-1,Calcs!AO$2:AO$200,Display_All!AU$2:AU$200,)</f>
        <v/>
      </c>
      <c r="L99" s="264" t="str">
        <f t="array" ref="L99">xlookup(row()-1,Calcs!AO$2:AO$200,Display_All!AW$2:AW$200,)</f>
        <v/>
      </c>
      <c r="M99" s="264" t="str">
        <f t="array" ref="M99">xlookup(row()-1,Calcs!AO$2:AO$200,Display_All!AX$2:AX$200,)</f>
        <v/>
      </c>
    </row>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9.57"/>
    <col customWidth="1" min="2" max="2" width="13.43"/>
    <col customWidth="1" min="3" max="3" width="18.43"/>
    <col customWidth="1" min="4" max="4" width="17.43"/>
    <col customWidth="1" min="5" max="5" width="12.29"/>
    <col customWidth="1" min="6" max="7" width="10.0"/>
    <col customWidth="1" min="8" max="8" width="30.57"/>
    <col customWidth="1" min="9" max="9" width="6.0"/>
    <col customWidth="1" min="10" max="10" width="9.86"/>
    <col customWidth="1" min="11" max="11" width="11.86"/>
    <col customWidth="1" min="12" max="12" width="8.29"/>
    <col customWidth="1" min="13" max="13" width="9.0"/>
  </cols>
  <sheetData>
    <row r="1">
      <c r="A1" s="228" t="str">
        <f>Raw!A1</f>
        <v>Reference</v>
      </c>
      <c r="B1" s="229" t="str">
        <f>Raw!B1</f>
        <v>Name</v>
      </c>
      <c r="C1" s="229" t="str">
        <f>Raw!I1</f>
        <v>Furnace Type</v>
      </c>
      <c r="D1" s="229" t="str">
        <f>Raw!J1</f>
        <v>Construction</v>
      </c>
      <c r="E1" s="229" t="str">
        <f>Raw!AO1</f>
        <v>Tuyere Above Base (cm)</v>
      </c>
      <c r="F1" s="229" t="str">
        <f>Display_All!O1</f>
        <v>Stack Ht (cm)</v>
      </c>
      <c r="G1" s="229" t="str">
        <f>Display_All!AC1</f>
        <v>Air Volume Avg (L/min)</v>
      </c>
      <c r="H1" s="229" t="str">
        <f>Display_All!AE1</f>
        <v>Ore Type</v>
      </c>
      <c r="I1" s="229" t="str">
        <f>Display_All!AH1</f>
        <v>Fe %</v>
      </c>
      <c r="J1" s="229" t="str">
        <f>Display_All!AG1</f>
        <v>Total Ore (Kg)</v>
      </c>
      <c r="K1" s="229" t="str">
        <f>Display_All!AU1</f>
        <v>Bloom Weight (Kg)</v>
      </c>
      <c r="L1" s="232" t="str">
        <f>Display_All!AW1</f>
        <v>Yield (%)</v>
      </c>
      <c r="M1" s="297" t="str">
        <f>Display_All!AX1</f>
        <v>Yield % Fe</v>
      </c>
      <c r="O1" s="214" t="s">
        <v>1129</v>
      </c>
      <c r="P1" s="125" t="s">
        <v>29</v>
      </c>
    </row>
    <row r="2">
      <c r="A2" s="238">
        <f t="array" ref="A2">xlookup(row()-1,Calcs!AP$2:AP$200,Raw!A$2:A$200,)</f>
        <v>26</v>
      </c>
      <c r="B2" s="239" t="str">
        <f t="array" ref="B2">xlookup(row()-1,Calcs!AP$2:AP$200,Raw!B$2:B$200,)</f>
        <v>Icelandic 1</v>
      </c>
      <c r="C2" s="239" t="str">
        <f t="array" ref="C2">xlookup(row()-1,Calcs!AP$2:AP$200,Raw!I$2:I$200,)</f>
        <v>half banked short shaft</v>
      </c>
      <c r="D2" s="239" t="str">
        <f t="array" ref="D2">xlookup(row()-1,Calcs!AP$2:AP$200,Raw!J$2:J$200,)</f>
        <v>clay,  stone slab front</v>
      </c>
      <c r="E2" s="239">
        <f t="array" ref="E2">xlookup(row()-1,Calcs!AP$2:AP$200,Raw!AO$2:AO$200,)</f>
        <v>10</v>
      </c>
      <c r="F2" s="212">
        <f t="array" ref="F2">xlookup(row()-1,Calcs!AP$2:AP$200,Display_All!O$2:O$200,)</f>
        <v>53.5</v>
      </c>
      <c r="G2" s="239" t="str">
        <f t="array" ref="G2">xlookup(row()-1,Calcs!AP$2:AP$200,Display_All!AC$2:AC$200,)</f>
        <v>800</v>
      </c>
      <c r="H2" s="239" t="str">
        <f t="array" ref="H2">xlookup(row()-1,Calcs!AP$2:AP$200,Display_All!AE$2:AE$200,)</f>
        <v>Opta Hematite</v>
      </c>
      <c r="I2" s="376">
        <f t="array" ref="I2">xlookup(row()-1,Calcs!AP$2:AP$200,Display_All!AH$2:AH$200,)</f>
        <v>0.6867011216</v>
      </c>
      <c r="J2" s="241">
        <f t="array" ref="J2">xlookup(row()-1,Calcs!AP$2:AP$200,Display_All!AG$2:AG$200,)</f>
        <v>12.3</v>
      </c>
      <c r="K2" s="241">
        <f t="array" ref="K2">xlookup(row()-1,Calcs!AP$2:AP$200,Display_All!AU$2:AU$200,)</f>
        <v>6</v>
      </c>
      <c r="L2" s="377">
        <f t="array" ref="L2">xlookup(row()-1,Calcs!AP$2:AP$200,Display_All!AW$2:AW$200,)</f>
        <v>0.487804878</v>
      </c>
      <c r="M2" s="302">
        <f t="array" ref="M2">xlookup(row()-1,Calcs!AP$2:AP$200,Display_All!AX$2:AX$200,)</f>
        <v>0.7103598097</v>
      </c>
      <c r="O2" s="126">
        <f t="array" ref="O2">xlookup(row()-1,Calcs!AP$2:AP$200,Calcs!U$2:U$200,)</f>
        <v>800</v>
      </c>
      <c r="P2" s="126" t="str">
        <f t="array" ref="P2">xlookup(A2,Raw!A:A,Raw!AD:AD)</f>
        <v>ceramic tube</v>
      </c>
    </row>
    <row r="3">
      <c r="A3" s="238" t="str">
        <f t="array" ref="A3">xlookup(row()-1,Calcs!AP$2:AP$200,Raw!A$2:A$200,)</f>
        <v>27 / D13</v>
      </c>
      <c r="B3" s="239" t="str">
        <f t="array" ref="B3">xlookup(row()-1,Calcs!AP$2:AP$200,Raw!B$2:B$200,)</f>
        <v> Icelandic 2</v>
      </c>
      <c r="C3" s="239" t="str">
        <f t="array" ref="C3">xlookup(row()-1,Calcs!AP$2:AP$200,Raw!I$2:I$200,)</f>
        <v>half banked short shaft</v>
      </c>
      <c r="D3" s="239" t="str">
        <f t="array" ref="D3">xlookup(row()-1,Calcs!AP$2:AP$200,Raw!J$2:J$200,)</f>
        <v>stone slabs, clay seal</v>
      </c>
      <c r="E3" s="239">
        <f t="array" ref="E3">xlookup(row()-1,Calcs!AP$2:AP$200,Raw!AO$2:AO$200,)</f>
        <v>18</v>
      </c>
      <c r="F3" s="212">
        <f t="array" ref="F3">xlookup(row()-1,Calcs!AP$2:AP$200,Display_All!O$2:O$200,)</f>
        <v>45</v>
      </c>
      <c r="G3" s="239" t="str">
        <f t="array" ref="G3">xlookup(row()-1,Calcs!AP$2:AP$200,Display_All!AC$2:AC$200,)</f>
        <v>410</v>
      </c>
      <c r="H3" s="239" t="str">
        <f t="array" ref="H3">xlookup(row()-1,Calcs!AP$2:AP$200,Display_All!AE$2:AE$200,)</f>
        <v>Opta Hematite/Bratton's Run Goethite</v>
      </c>
      <c r="I3" s="376">
        <f t="array" ref="I3">xlookup(row()-1,Calcs!AP$2:AP$200,Display_All!AH$2:AH$200,)</f>
        <v>0.6430964471</v>
      </c>
      <c r="J3" s="241">
        <f t="array" ref="J3">xlookup(row()-1,Calcs!AP$2:AP$200,Display_All!AG$2:AG$200,)</f>
        <v>12.3</v>
      </c>
      <c r="K3" s="241">
        <f t="array" ref="K3">xlookup(row()-1,Calcs!AP$2:AP$200,Display_All!AU$2:AU$200,)</f>
        <v>2</v>
      </c>
      <c r="L3" s="377">
        <f t="array" ref="L3">xlookup(row()-1,Calcs!AP$2:AP$200,Display_All!AW$2:AW$200,)</f>
        <v>0.162601626</v>
      </c>
      <c r="M3" s="302">
        <f t="array" ref="M3">xlookup(row()-1,Calcs!AP$2:AP$200,Display_All!AX$2:AX$200,)</f>
        <v>0.2528417421</v>
      </c>
      <c r="O3" s="126">
        <f t="array" ref="O3">xlookup(row()-1,Calcs!AP$2:AP$200,Calcs!U$2:U$200,)</f>
        <v>410</v>
      </c>
      <c r="P3" s="126" t="str">
        <f t="array" ref="P3">xlookup(A3,Raw!A:A,Raw!AD:AD)</f>
        <v>ceramic tube</v>
      </c>
    </row>
    <row r="4">
      <c r="A4" s="238" t="str">
        <f t="array" ref="A4">xlookup(row()-1,Calcs!AP$2:AP$200,Raw!A$2:A$200,)</f>
        <v>38 / D16</v>
      </c>
      <c r="B4" s="239" t="str">
        <f t="array" ref="B4">xlookup(row()-1,Calcs!AP$2:AP$200,Raw!B$2:B$200,)</f>
        <v>Work Dynamic</v>
      </c>
      <c r="C4" s="239" t="str">
        <f t="array" ref="C4">xlookup(row()-1,Calcs!AP$2:AP$200,Raw!I$2:I$200,)</f>
        <v>banked short shaft</v>
      </c>
      <c r="D4" s="239" t="str">
        <f t="array" ref="D4">xlookup(row()-1,Calcs!AP$2:AP$200,Raw!J$2:J$200,)</f>
        <v>straw cobb</v>
      </c>
      <c r="E4" s="239">
        <f t="array" ref="E4">xlookup(row()-1,Calcs!AP$2:AP$200,Raw!AO$2:AO$200,)</f>
        <v>20</v>
      </c>
      <c r="F4" s="212">
        <f t="array" ref="F4">xlookup(row()-1,Calcs!AP$2:AP$200,Display_All!O$2:O$200,)</f>
        <v>37</v>
      </c>
      <c r="G4" s="239" t="str">
        <f t="array" ref="G4">xlookup(row()-1,Calcs!AP$2:AP$200,Display_All!AC$2:AC$200,)</f>
        <v>625 to 740</v>
      </c>
      <c r="H4" s="239" t="str">
        <f t="array" ref="H4">xlookup(row()-1,Calcs!AP$2:AP$200,Display_All!AE$2:AE$200,)</f>
        <v>Bratton's Run Goethite/Stelco Taconite</v>
      </c>
      <c r="I4" s="376">
        <f t="array" ref="I4">xlookup(row()-1,Calcs!AP$2:AP$200,Display_All!AH$2:AH$200,)</f>
        <v>0.584243638</v>
      </c>
      <c r="J4" s="241">
        <f t="array" ref="J4">xlookup(row()-1,Calcs!AP$2:AP$200,Display_All!AG$2:AG$200,)</f>
        <v>23</v>
      </c>
      <c r="K4" s="241">
        <f t="array" ref="K4">xlookup(row()-1,Calcs!AP$2:AP$200,Display_All!AU$2:AU$200,)</f>
        <v>4.9</v>
      </c>
      <c r="L4" s="377">
        <f t="array" ref="L4">xlookup(row()-1,Calcs!AP$2:AP$200,Display_All!AW$2:AW$200,)</f>
        <v>0.2130434783</v>
      </c>
      <c r="M4" s="302">
        <f t="array" ref="M4">xlookup(row()-1,Calcs!AP$2:AP$200,Display_All!AX$2:AX$200,)</f>
        <v>0.3646483494</v>
      </c>
      <c r="O4" s="126">
        <f t="array" ref="O4">xlookup(row()-1,Calcs!AP$2:AP$200,Calcs!U$2:U$200,)</f>
        <v>740</v>
      </c>
      <c r="P4" s="126" t="str">
        <f t="array" ref="P4">xlookup(A4,Raw!A:A,Raw!AD:AD)</f>
        <v>plate &amp; hole</v>
      </c>
    </row>
    <row r="5">
      <c r="A5" s="238" t="str">
        <f t="array" ref="A5">xlookup(row()-1,Calcs!AP$2:AP$200,Raw!A$2:A$200,)</f>
        <v>39 / D17</v>
      </c>
      <c r="B5" s="239" t="str">
        <f t="array" ref="B5">xlookup(row()-1,Calcs!AP$2:AP$200,Raw!B$2:B$200,)</f>
        <v>Icelandic 4</v>
      </c>
      <c r="C5" s="239" t="str">
        <f t="array" ref="C5">xlookup(row()-1,Calcs!AP$2:AP$200,Raw!I$2:I$200,)</f>
        <v>banked short shaft</v>
      </c>
      <c r="D5" s="239" t="str">
        <f t="array" ref="D5">xlookup(row()-1,Calcs!AP$2:AP$200,Raw!J$2:J$200,)</f>
        <v>straw cobb</v>
      </c>
      <c r="E5" s="239">
        <f t="array" ref="E5">xlookup(row()-1,Calcs!AP$2:AP$200,Raw!AO$2:AO$200,)</f>
        <v>20</v>
      </c>
      <c r="F5" s="212">
        <f t="array" ref="F5">xlookup(row()-1,Calcs!AP$2:AP$200,Display_All!O$2:O$200,)</f>
        <v>42</v>
      </c>
      <c r="G5" s="239" t="str">
        <f t="array" ref="G5">xlookup(row()-1,Calcs!AP$2:AP$200,Display_All!AC$2:AC$200,)</f>
        <v>400 to 1000</v>
      </c>
      <c r="H5" s="239" t="str">
        <f t="array" ref="H5">xlookup(row()-1,Calcs!AP$2:AP$200,Display_All!AE$2:AE$200,)</f>
        <v>Bratton's Run Goethite/Opta Hematite</v>
      </c>
      <c r="I5" s="376">
        <f t="array" ref="I5">xlookup(row()-1,Calcs!AP$2:AP$200,Display_All!AH$2:AH$200,)</f>
        <v>0.6043986924</v>
      </c>
      <c r="J5" s="241">
        <f t="array" ref="J5">xlookup(row()-1,Calcs!AP$2:AP$200,Display_All!AG$2:AG$200,)</f>
        <v>23.8</v>
      </c>
      <c r="K5" s="241">
        <f t="array" ref="K5">xlookup(row()-1,Calcs!AP$2:AP$200,Display_All!AU$2:AU$200,)</f>
        <v>3.25</v>
      </c>
      <c r="L5" s="377">
        <f t="array" ref="L5">xlookup(row()-1,Calcs!AP$2:AP$200,Display_All!AW$2:AW$200,)</f>
        <v>0.1365546218</v>
      </c>
      <c r="M5" s="302">
        <f t="array" ref="M5">xlookup(row()-1,Calcs!AP$2:AP$200,Display_All!AX$2:AX$200,)</f>
        <v>0.2259346745</v>
      </c>
      <c r="O5" s="126">
        <f t="array" ref="O5">xlookup(row()-1,Calcs!AP$2:AP$200,Calcs!U$2:U$200,)</f>
        <v>1000</v>
      </c>
      <c r="P5" s="126" t="str">
        <f t="array" ref="P5">xlookup(A5,Raw!A:A,Raw!AD:AD)</f>
        <v>plate &amp; hole</v>
      </c>
    </row>
    <row r="6">
      <c r="A6" s="238" t="str">
        <f t="array" ref="A6">xlookup(row()-1,Calcs!AP$2:AP$200,Raw!A$2:A$200,)</f>
        <v>51 / D27</v>
      </c>
      <c r="B6" s="239" t="str">
        <f t="array" ref="B6">xlookup(row()-1,Calcs!AP$2:AP$200,Raw!B$2:B$200,)</f>
        <v>Icelandic 5</v>
      </c>
      <c r="C6" s="239" t="str">
        <f t="array" ref="C6">xlookup(row()-1,Calcs!AP$2:AP$200,Raw!I$2:I$200,)</f>
        <v>banked short shaft</v>
      </c>
      <c r="D6" s="239" t="str">
        <f t="array" ref="D6">xlookup(row()-1,Calcs!AP$2:AP$200,Raw!J$2:J$200,)</f>
        <v>clay</v>
      </c>
      <c r="E6" s="239">
        <f t="array" ref="E6">xlookup(row()-1,Calcs!AP$2:AP$200,Raw!AO$2:AO$200,)</f>
        <v>10</v>
      </c>
      <c r="F6" s="212">
        <f t="array" ref="F6">xlookup(row()-1,Calcs!AP$2:AP$200,Display_All!O$2:O$200,)</f>
        <v>48</v>
      </c>
      <c r="G6" s="239" t="str">
        <f t="array" ref="G6">xlookup(row()-1,Calcs!AP$2:AP$200,Display_All!AC$2:AC$200,)</f>
        <v>800</v>
      </c>
      <c r="H6" s="239" t="str">
        <f t="array" ref="H6">xlookup(row()-1,Calcs!AP$2:AP$200,Display_All!AE$2:AE$200,)</f>
        <v>DD1Sb</v>
      </c>
      <c r="I6" s="376">
        <f t="array" ref="I6">xlookup(row()-1,Calcs!AP$2:AP$200,Display_All!AH$2:AH$200,)</f>
        <v>0.5237823369</v>
      </c>
      <c r="J6" s="241">
        <f t="array" ref="J6">xlookup(row()-1,Calcs!AP$2:AP$200,Display_All!AG$2:AG$200,)</f>
        <v>31.8</v>
      </c>
      <c r="K6" s="241">
        <f t="array" ref="K6">xlookup(row()-1,Calcs!AP$2:AP$200,Display_All!AU$2:AU$200,)</f>
        <v>5.8</v>
      </c>
      <c r="L6" s="377">
        <f t="array" ref="L6">xlookup(row()-1,Calcs!AP$2:AP$200,Display_All!AW$2:AW$200,)</f>
        <v>0.1823899371</v>
      </c>
      <c r="M6" s="302">
        <f t="array" ref="M6">xlookup(row()-1,Calcs!AP$2:AP$200,Display_All!AX$2:AX$200,)</f>
        <v>0.3482170441</v>
      </c>
      <c r="O6" s="126">
        <f t="array" ref="O6">xlookup(row()-1,Calcs!AP$2:AP$200,Calcs!U$2:U$200,)</f>
        <v>800</v>
      </c>
      <c r="P6" s="126" t="str">
        <f t="array" ref="P6">xlookup(A6,Raw!A:A,Raw!AD:AD)</f>
        <v>ceramic tube</v>
      </c>
    </row>
    <row r="7">
      <c r="A7" s="238" t="str">
        <f t="array" ref="A7">xlookup(row()-1,Calcs!AP$2:AP$200,Raw!A$2:A$200,)</f>
        <v>60 / D28</v>
      </c>
      <c r="B7" s="239" t="str">
        <f t="array" ref="B7">xlookup(row()-1,Calcs!AP$2:AP$200,Raw!B$2:B$200,)</f>
        <v>Icelandic 6</v>
      </c>
      <c r="C7" s="239" t="str">
        <f t="array" ref="C7">xlookup(row()-1,Calcs!AP$2:AP$200,Raw!I$2:I$200,)</f>
        <v>banked short shaft</v>
      </c>
      <c r="D7" s="239" t="str">
        <f t="array" ref="D7">xlookup(row()-1,Calcs!AP$2:AP$200,Raw!J$2:J$200,)</f>
        <v>sod only</v>
      </c>
      <c r="E7" s="239">
        <f t="array" ref="E7">xlookup(row()-1,Calcs!AP$2:AP$200,Raw!AO$2:AO$200,)</f>
        <v>23</v>
      </c>
      <c r="F7" s="212">
        <f t="array" ref="F7">xlookup(row()-1,Calcs!AP$2:AP$200,Display_All!O$2:O$200,)</f>
        <v>50</v>
      </c>
      <c r="G7" s="239" t="str">
        <f t="array" ref="G7">xlookup(row()-1,Calcs!AP$2:AP$200,Display_All!AC$2:AC$200,)</f>
        <v>1400- (E)</v>
      </c>
      <c r="H7" s="239" t="str">
        <f t="array" ref="H7">xlookup(row()-1,Calcs!AP$2:AP$200,Display_All!AE$2:AE$200,)</f>
        <v>DD1Fa</v>
      </c>
      <c r="I7" s="376">
        <f t="array" ref="I7">xlookup(row()-1,Calcs!AP$2:AP$200,Display_All!AH$2:AH$200,)</f>
        <v>0.561817121</v>
      </c>
      <c r="J7" s="241">
        <f t="array" ref="J7">xlookup(row()-1,Calcs!AP$2:AP$200,Display_All!AG$2:AG$200,)</f>
        <v>31</v>
      </c>
      <c r="K7" s="241">
        <f t="array" ref="K7">xlookup(row()-1,Calcs!AP$2:AP$200,Display_All!AU$2:AU$200,)</f>
        <v>7.7</v>
      </c>
      <c r="L7" s="377">
        <f t="array" ref="L7">xlookup(row()-1,Calcs!AP$2:AP$200,Display_All!AW$2:AW$200,)</f>
        <v>0.2483870968</v>
      </c>
      <c r="M7" s="302">
        <f t="array" ref="M7">xlookup(row()-1,Calcs!AP$2:AP$200,Display_All!AX$2:AX$200,)</f>
        <v>0.4421137902</v>
      </c>
      <c r="O7" s="126">
        <f t="array" ref="O7">xlookup(row()-1,Calcs!AP$2:AP$200,Calcs!U$2:U$200,)</f>
        <v>1400</v>
      </c>
      <c r="P7" s="126" t="str">
        <f t="array" ref="P7">xlookup(A7,Raw!A:A,Raw!AD:AD)</f>
        <v>ceramic tube</v>
      </c>
    </row>
    <row r="8">
      <c r="A8" s="238" t="str">
        <f t="array" ref="A8">xlookup(row()-1,Calcs!AP$2:AP$200,Raw!A$2:A$200,)</f>
        <v>61 / D29</v>
      </c>
      <c r="B8" s="239" t="str">
        <f t="array" ref="B8">xlookup(row()-1,Calcs!AP$2:AP$200,Raw!B$2:B$200,)</f>
        <v>Icelandic 7</v>
      </c>
      <c r="C8" s="239" t="str">
        <f t="array" ref="C8">xlookup(row()-1,Calcs!AP$2:AP$200,Raw!I$2:I$200,)</f>
        <v>banked short shaft</v>
      </c>
      <c r="D8" s="239" t="str">
        <f t="array" ref="D8">xlookup(row()-1,Calcs!AP$2:AP$200,Raw!J$2:J$200,)</f>
        <v>sod w clay liner</v>
      </c>
      <c r="E8" s="239">
        <f t="array" ref="E8">xlookup(row()-1,Calcs!AP$2:AP$200,Raw!AO$2:AO$200,)</f>
        <v>14</v>
      </c>
      <c r="F8" s="212">
        <f t="array" ref="F8">xlookup(row()-1,Calcs!AP$2:AP$200,Display_All!O$2:O$200,)</f>
        <v>72</v>
      </c>
      <c r="G8" s="239" t="str">
        <f t="array" ref="G8">xlookup(row()-1,Calcs!AP$2:AP$200,Display_All!AC$2:AC$200,)</f>
        <v>1000</v>
      </c>
      <c r="H8" s="239" t="str">
        <f t="array" ref="H8">xlookup(row()-1,Calcs!AP$2:AP$200,Display_All!AE$2:AE$200,)</f>
        <v>DD1Fa</v>
      </c>
      <c r="I8" s="376">
        <f t="array" ref="I8">xlookup(row()-1,Calcs!AP$2:AP$200,Display_All!AH$2:AH$200,)</f>
        <v>0.561817121</v>
      </c>
      <c r="J8" s="241">
        <f t="array" ref="J8">xlookup(row()-1,Calcs!AP$2:AP$200,Display_All!AG$2:AG$200,)</f>
        <v>30.5</v>
      </c>
      <c r="K8" s="241">
        <f t="array" ref="K8">xlookup(row()-1,Calcs!AP$2:AP$200,Display_All!AU$2:AU$200,)</f>
        <v>4.3</v>
      </c>
      <c r="L8" s="377">
        <f t="array" ref="L8">xlookup(row()-1,Calcs!AP$2:AP$200,Display_All!AW$2:AW$200,)</f>
        <v>0.1409836066</v>
      </c>
      <c r="M8" s="302">
        <f t="array" ref="M8">xlookup(row()-1,Calcs!AP$2:AP$200,Display_All!AX$2:AX$200,)</f>
        <v>0.2509421683</v>
      </c>
      <c r="O8" s="126">
        <f t="array" ref="O8">xlookup(row()-1,Calcs!AP$2:AP$200,Calcs!U$2:U$200,)</f>
        <v>1000</v>
      </c>
      <c r="P8" s="126" t="str">
        <f t="array" ref="P8">xlookup(A8,Raw!A:A,Raw!AD:AD)</f>
        <v>ceramic tube</v>
      </c>
    </row>
    <row r="9">
      <c r="A9" s="238" t="str">
        <f t="array" ref="A9">xlookup(row()-1,Calcs!AP$2:AP$200,Raw!A$2:A$200,)</f>
        <v>70 / D30</v>
      </c>
      <c r="B9" s="239" t="str">
        <f t="array" ref="B9">xlookup(row()-1,Calcs!AP$2:AP$200,Raw!B$2:B$200,)</f>
        <v>Icelandic 8</v>
      </c>
      <c r="C9" s="239" t="str">
        <f t="array" ref="C9">xlookup(row()-1,Calcs!AP$2:AP$200,Raw!I$2:I$200,)</f>
        <v>mounded short shaft</v>
      </c>
      <c r="D9" s="239" t="str">
        <f t="array" ref="D9">xlookup(row()-1,Calcs!AP$2:AP$200,Raw!J$2:J$200,)</f>
        <v>sod w clay liner</v>
      </c>
      <c r="E9" s="239">
        <f t="array" ref="E9">xlookup(row()-1,Calcs!AP$2:AP$200,Raw!AO$2:AO$200,)</f>
        <v>11</v>
      </c>
      <c r="F9" s="212">
        <f t="array" ref="F9">xlookup(row()-1,Calcs!AP$2:AP$200,Display_All!O$2:O$200,)</f>
        <v>55</v>
      </c>
      <c r="G9" s="239" t="str">
        <f t="array" ref="G9">xlookup(row()-1,Calcs!AP$2:AP$200,Display_All!AC$2:AC$200,)</f>
        <v>1400- (E)</v>
      </c>
      <c r="H9" s="239" t="str">
        <f t="array" ref="H9">xlookup(row()-1,Calcs!AP$2:AP$200,Display_All!AE$2:AE$200,)</f>
        <v>DD1</v>
      </c>
      <c r="I9" s="376">
        <f t="array" ref="I9">xlookup(row()-1,Calcs!AP$2:AP$200,Display_All!AH$2:AH$200,)</f>
        <v>0.5482634678</v>
      </c>
      <c r="J9" s="241">
        <f t="array" ref="J9">xlookup(row()-1,Calcs!AP$2:AP$200,Display_All!AG$2:AG$200,)</f>
        <v>25</v>
      </c>
      <c r="K9" s="241">
        <f t="array" ref="K9">xlookup(row()-1,Calcs!AP$2:AP$200,Display_All!AU$2:AU$200,)</f>
        <v>2.5</v>
      </c>
      <c r="L9" s="377">
        <f t="array" ref="L9">xlookup(row()-1,Calcs!AP$2:AP$200,Display_All!AW$2:AW$200,)</f>
        <v>0.1</v>
      </c>
      <c r="M9" s="302">
        <f t="array" ref="M9">xlookup(row()-1,Calcs!AP$2:AP$200,Display_All!AX$2:AX$200,)</f>
        <v>0.1823940603</v>
      </c>
      <c r="O9" s="126">
        <f t="array" ref="O9">xlookup(row()-1,Calcs!AP$2:AP$200,Calcs!U$2:U$200,)</f>
        <v>1400</v>
      </c>
      <c r="P9" s="126" t="str">
        <f t="array" ref="P9">xlookup(A9,Raw!A:A,Raw!AD:AD)</f>
        <v>forged copper</v>
      </c>
    </row>
    <row r="10">
      <c r="A10" s="238" t="str">
        <f t="array" ref="A10">xlookup(row()-1,Calcs!AP$2:AP$200,Raw!A$2:A$200,)</f>
        <v>88 / D33</v>
      </c>
      <c r="B10" s="239" t="str">
        <f t="array" ref="B10">xlookup(row()-1,Calcs!AP$2:AP$200,Raw!B$2:B$200,)</f>
        <v>Icelandic Clay A</v>
      </c>
      <c r="C10" s="239" t="str">
        <f t="array" ref="C10">xlookup(row()-1,Calcs!AP$2:AP$200,Raw!I$2:I$200,)</f>
        <v>mounded short shaft</v>
      </c>
      <c r="D10" s="239" t="str">
        <f t="array" ref="D10">xlookup(row()-1,Calcs!AP$2:AP$200,Raw!J$2:J$200,)</f>
        <v>sod w clay liner</v>
      </c>
      <c r="E10" s="239">
        <f t="array" ref="E10">xlookup(row()-1,Calcs!AP$2:AP$200,Raw!AO$2:AO$200,)</f>
        <v>15</v>
      </c>
      <c r="F10" s="212">
        <f t="array" ref="F10">xlookup(row()-1,Calcs!AP$2:AP$200,Display_All!O$2:O$200,)</f>
        <v>50</v>
      </c>
      <c r="G10" s="239" t="str">
        <f t="array" ref="G10">xlookup(row()-1,Calcs!AP$2:AP$200,Display_All!AC$2:AC$200,)</f>
        <v>700 to 800</v>
      </c>
      <c r="H10" s="239" t="str">
        <f t="array" ref="H10">xlookup(row()-1,Calcs!AP$2:AP$200,Display_All!AE$2:AE$200,)</f>
        <v>DD1</v>
      </c>
      <c r="I10" s="376">
        <f t="array" ref="I10">xlookup(row()-1,Calcs!AP$2:AP$200,Display_All!AH$2:AH$200,)</f>
        <v>0.5482634678</v>
      </c>
      <c r="J10" s="241">
        <f t="array" ref="J10">xlookup(row()-1,Calcs!AP$2:AP$200,Display_All!AG$2:AG$200,)</f>
        <v>25.5</v>
      </c>
      <c r="K10" s="241">
        <f t="array" ref="K10">xlookup(row()-1,Calcs!AP$2:AP$200,Display_All!AU$2:AU$200,)</f>
        <v>8.9</v>
      </c>
      <c r="L10" s="377">
        <f t="array" ref="L10">xlookup(row()-1,Calcs!AP$2:AP$200,Display_All!AW$2:AW$200,)</f>
        <v>0.3490196078</v>
      </c>
      <c r="M10" s="302">
        <f t="array" ref="M10">xlookup(row()-1,Calcs!AP$2:AP$200,Display_All!AX$2:AX$200,)</f>
        <v>0.6365910339</v>
      </c>
      <c r="O10" s="126">
        <f t="array" ref="O10">xlookup(row()-1,Calcs!AP$2:AP$200,Calcs!U$2:U$200,)</f>
        <v>800</v>
      </c>
      <c r="P10" s="126" t="str">
        <f t="array" ref="P10">xlookup(A10,Raw!A:A,Raw!AD:AD)</f>
        <v>forged copper</v>
      </c>
    </row>
    <row r="11">
      <c r="A11" s="238" t="str">
        <f t="array" ref="A11">xlookup(row()-1,Calcs!AP$2:AP$200,Raw!A$2:A$200,)</f>
        <v>89 / D34</v>
      </c>
      <c r="B11" s="239" t="str">
        <f t="array" ref="B11">xlookup(row()-1,Calcs!AP$2:AP$200,Raw!B$2:B$200,)</f>
        <v>Icelandic Clay B</v>
      </c>
      <c r="C11" s="239" t="str">
        <f t="array" ref="C11">xlookup(row()-1,Calcs!AP$2:AP$200,Raw!I$2:I$200,)</f>
        <v>mounded short shaft</v>
      </c>
      <c r="D11" s="239" t="str">
        <f t="array" ref="D11">xlookup(row()-1,Calcs!AP$2:AP$200,Raw!J$2:J$200,)</f>
        <v>sod w clay liner</v>
      </c>
      <c r="E11" s="239">
        <f t="array" ref="E11">xlookup(row()-1,Calcs!AP$2:AP$200,Raw!AO$2:AO$200,)</f>
        <v>14</v>
      </c>
      <c r="F11" s="239">
        <f t="array" ref="F11">xlookup(row()-1,Calcs!AP$2:AP$200,Display_All!O$2:O$200,)</f>
        <v>43</v>
      </c>
      <c r="G11" s="239" t="str">
        <f t="array" ref="G11">xlookup(row()-1,Calcs!AP$2:AP$200,Display_All!AC$2:AC$200,)</f>
        <v>900</v>
      </c>
      <c r="H11" s="239" t="str">
        <f t="array" ref="H11">xlookup(row()-1,Calcs!AP$2:AP$200,Display_All!AE$2:AE$200,)</f>
        <v>DD1</v>
      </c>
      <c r="I11" s="376">
        <f t="array" ref="I11">xlookup(row()-1,Calcs!AP$2:AP$200,Display_All!AH$2:AH$200,)</f>
        <v>0.5482634678</v>
      </c>
      <c r="J11" s="241">
        <f t="array" ref="J11">xlookup(row()-1,Calcs!AP$2:AP$200,Display_All!AG$2:AG$200,)</f>
        <v>26</v>
      </c>
      <c r="K11" s="241">
        <f t="array" ref="K11">xlookup(row()-1,Calcs!AP$2:AP$200,Display_All!AU$2:AU$200,)</f>
        <v>8.2</v>
      </c>
      <c r="L11" s="377">
        <f t="array" ref="L11">xlookup(row()-1,Calcs!AP$2:AP$200,Display_All!AW$2:AW$200,)</f>
        <v>0.3153846154</v>
      </c>
      <c r="M11" s="302">
        <f t="array" ref="M11">xlookup(row()-1,Calcs!AP$2:AP$200,Display_All!AX$2:AX$200,)</f>
        <v>0.5752428055</v>
      </c>
      <c r="O11" s="126">
        <f t="array" ref="O11">xlookup(row()-1,Calcs!AP$2:AP$200,Calcs!U$2:U$200,)</f>
        <v>900</v>
      </c>
      <c r="P11" s="126" t="str">
        <f t="array" ref="P11">xlookup(A11,Raw!A:A,Raw!AD:AD)</f>
        <v>forged copper</v>
      </c>
    </row>
    <row r="12">
      <c r="A12" s="265" t="str">
        <f t="array" ref="A12">xlookup(row()-1,Calcs!AP$2:AP$200,Raw!A$2:A$200,)</f>
        <v>98 / D40</v>
      </c>
      <c r="B12" s="266" t="str">
        <f t="array" ref="B12">xlookup(row()-1,Calcs!AP$2:AP$200,Raw!B$2:B$200,)</f>
        <v>Return to Icelandic</v>
      </c>
      <c r="C12" s="266" t="str">
        <f t="array" ref="C12">xlookup(row()-1,Calcs!AP$2:AP$200,Raw!I$2:I$200,)</f>
        <v>mounded short shaft</v>
      </c>
      <c r="D12" s="266" t="str">
        <f t="array" ref="D12">xlookup(row()-1,Calcs!AP$2:AP$200,Raw!J$2:J$200,)</f>
        <v>sod w clay liner</v>
      </c>
      <c r="E12" s="266">
        <f t="array" ref="E12">xlookup(row()-1,Calcs!AP$2:AP$200,Raw!AO$2:AO$200,)</f>
        <v>19</v>
      </c>
      <c r="F12" s="387">
        <f t="array" ref="F12">xlookup(row()-1,Calcs!AP$2:AP$200,Display_All!O$2:O$200,)</f>
        <v>40</v>
      </c>
      <c r="G12" s="266" t="str">
        <f t="array" ref="G12">xlookup(row()-1,Calcs!AP$2:AP$200,Display_All!AC$2:AC$200,)</f>
        <v>525 (A) (E)</v>
      </c>
      <c r="H12" s="266" t="str">
        <f t="array" ref="H12">xlookup(row()-1,Calcs!AP$2:AP$200,Display_All!AE$2:AE$200,)</f>
        <v>DD1</v>
      </c>
      <c r="I12" s="388">
        <f t="array" ref="I12">xlookup(row()-1,Calcs!AP$2:AP$200,Display_All!AH$2:AH$200,)</f>
        <v>0.5482634678</v>
      </c>
      <c r="J12" s="269">
        <f t="array" ref="J12">xlookup(row()-1,Calcs!AP$2:AP$200,Display_All!AG$2:AG$200,)</f>
        <v>16.952</v>
      </c>
      <c r="K12" s="266">
        <f t="array" ref="K12">xlookup(row()-1,Calcs!AP$2:AP$200,Display_All!AU$2:AU$200,)</f>
        <v>0.971</v>
      </c>
      <c r="L12" s="389">
        <f t="array" ref="L12">xlookup(row()-1,Calcs!AP$2:AP$200,Display_All!AW$2:AW$200,)</f>
        <v>0.05727937706</v>
      </c>
      <c r="M12" s="390">
        <f t="array" ref="M12">xlookup(row()-1,Calcs!AP$2:AP$200,Display_All!AX$2:AX$200,)</f>
        <v>0.1044741815</v>
      </c>
      <c r="O12" s="126">
        <f t="array" ref="O12">xlookup(row()-1,Calcs!AP$2:AP$200,Calcs!U$2:U$200,)</f>
        <v>525</v>
      </c>
      <c r="P12" s="126" t="str">
        <f t="array" ref="P12">xlookup(A12,Raw!A:A,Raw!AD:AD)</f>
        <v>ceramic tube</v>
      </c>
    </row>
    <row r="13">
      <c r="A13" s="66" t="s">
        <v>938</v>
      </c>
      <c r="B13" s="264" t="str">
        <f t="array" ref="B13">xlookup(row()-1,Calcs!AO$2:AO$200,Raw!B$2:B$200,)</f>
        <v/>
      </c>
      <c r="C13" s="264" t="str">
        <f t="array" ref="C13">xlookup(row()-1,Calcs!AO$2:AO$200,Raw!I$2:I$200,)</f>
        <v/>
      </c>
      <c r="D13" s="264" t="str">
        <f t="array" ref="D13">xlookup(row()-1,Calcs!AO$2:AO$200,Raw!J$2:J$200,)</f>
        <v/>
      </c>
      <c r="E13" s="208">
        <f t="shared" ref="E13:F13" si="1">average(E2:E12)</f>
        <v>15.81818182</v>
      </c>
      <c r="F13" s="208">
        <f t="shared" si="1"/>
        <v>48.68181818</v>
      </c>
      <c r="G13" s="208">
        <f>average(O2:O12)</f>
        <v>888.6363636</v>
      </c>
      <c r="H13" s="264" t="str">
        <f t="array" ref="H13">xlookup(row()-1,Calcs!AO$2:AO$200,Display_All!AE$2:AE$200,)</f>
        <v/>
      </c>
      <c r="I13" s="385">
        <f t="shared" ref="I13:M13" si="2">average(I2:I12)</f>
        <v>0.578082759</v>
      </c>
      <c r="J13" s="208">
        <f t="shared" si="2"/>
        <v>23.46836364</v>
      </c>
      <c r="K13" s="208">
        <f t="shared" si="2"/>
        <v>4.956454545</v>
      </c>
      <c r="L13" s="385">
        <f t="shared" si="2"/>
        <v>0.2175862586</v>
      </c>
      <c r="M13" s="385">
        <f t="shared" si="2"/>
        <v>0.3721599691</v>
      </c>
    </row>
    <row r="14">
      <c r="A14" s="386" t="s">
        <v>1130</v>
      </c>
      <c r="B14" s="264"/>
      <c r="C14" s="264" t="str">
        <f t="array" ref="C14">xlookup(row()-1,Calcs!AO$2:AO$200,Raw!I$2:I$200,)</f>
        <v/>
      </c>
      <c r="D14" s="264" t="str">
        <f t="array" ref="D14">xlookup(row()-1,Calcs!AO$2:AO$200,Raw!J$2:J$200,)</f>
        <v/>
      </c>
      <c r="E14" s="264">
        <f t="shared" ref="E14:F14" si="3">trimmean(E2:E12,0.3)</f>
        <v>15.66666667</v>
      </c>
      <c r="F14" s="208">
        <f t="shared" si="3"/>
        <v>47.38888889</v>
      </c>
      <c r="G14" s="264">
        <f>trimmean(O2:O12,0.3)</f>
        <v>885</v>
      </c>
      <c r="H14" s="264" t="str">
        <f t="array" ref="H14">xlookup(row()-1,Calcs!AO$2:AO$200,Display_All!AE$2:AE$200,)</f>
        <v/>
      </c>
      <c r="I14" s="385">
        <f t="shared" ref="I14:M14" si="4">trimmean(I2:I12,0.3)</f>
        <v>0.5720474323</v>
      </c>
      <c r="J14" s="208">
        <f t="shared" si="4"/>
        <v>23.78355556</v>
      </c>
      <c r="K14" s="208">
        <f t="shared" si="4"/>
        <v>4.961111111</v>
      </c>
      <c r="L14" s="385">
        <f t="shared" si="4"/>
        <v>0.2053738433</v>
      </c>
      <c r="M14" s="385">
        <f t="shared" si="4"/>
        <v>0.3643250743</v>
      </c>
    </row>
    <row r="15">
      <c r="A15" s="264" t="str">
        <f t="array" ref="A15">xlookup(row()-1,Calcs!AP$2:AP$200,Raw!A$2:A$200,)</f>
        <v/>
      </c>
      <c r="B15" s="264" t="str">
        <f t="array" ref="B15">xlookup(row()-1,Calcs!AP$2:AP$200,Raw!B$2:B$200,)</f>
        <v/>
      </c>
      <c r="C15" s="264" t="str">
        <f t="array" ref="C15">xlookup(row()-1,Calcs!AP$2:AP$200,Raw!I$2:I$200,)</f>
        <v/>
      </c>
      <c r="D15" s="264" t="str">
        <f t="array" ref="D15">xlookup(row()-1,Calcs!AP$2:AP$200,Raw!J$2:J$200,)</f>
        <v/>
      </c>
      <c r="E15" s="264" t="str">
        <f t="array" ref="E15">xlookup(row()-1,Calcs!AP$2:AP$200,Raw!AO$2:AO$200,)</f>
        <v/>
      </c>
      <c r="F15" s="264"/>
      <c r="G15" s="264" t="str">
        <f t="array" ref="G15">xlookup(row()-1,Calcs!AP$2:AP$200,Display_All!AC$2:AC$200,)</f>
        <v/>
      </c>
      <c r="H15" s="264" t="str">
        <f t="array" ref="H15">xlookup(row()-1,Calcs!AP$2:AP$200,Display_All!AE$2:AE$200,)</f>
        <v/>
      </c>
      <c r="I15" s="264" t="str">
        <f t="array" ref="I15">xlookup(row()-1,Calcs!AP$2:AP$200,Display_All!AH$2:AH$200,)</f>
        <v/>
      </c>
      <c r="J15" s="264" t="str">
        <f t="array" ref="J15">xlookup(row()-1,Calcs!AP$2:AP$200,Display_All!AG$2:AG$200,)</f>
        <v/>
      </c>
      <c r="K15" s="264" t="str">
        <f t="array" ref="K15">xlookup(row()-1,Calcs!AP$2:AP$200,Display_All!AU$2:AU$200,)</f>
        <v/>
      </c>
      <c r="L15" s="391">
        <f t="shared" ref="L15:M15" si="5">average(L2:L5)</f>
        <v>0.250001151</v>
      </c>
      <c r="M15" s="391">
        <f t="shared" si="5"/>
        <v>0.3884461439</v>
      </c>
      <c r="N15" s="125" t="s">
        <v>1131</v>
      </c>
    </row>
    <row r="16">
      <c r="A16" s="264" t="str">
        <f t="array" ref="A16">xlookup(row()-1,Calcs!AP$2:AP$200,Raw!A$2:A$200,)</f>
        <v/>
      </c>
      <c r="B16" s="264" t="str">
        <f t="array" ref="B16">xlookup(row()-1,Calcs!AP$2:AP$200,Raw!B$2:B$200,)</f>
        <v/>
      </c>
      <c r="C16" s="264" t="str">
        <f t="array" ref="C16">xlookup(row()-1,Calcs!AP$2:AP$200,Raw!I$2:I$200,)</f>
        <v/>
      </c>
      <c r="D16" s="264" t="str">
        <f t="array" ref="D16">xlookup(row()-1,Calcs!AP$2:AP$200,Raw!J$2:J$200,)</f>
        <v/>
      </c>
      <c r="E16" s="264" t="str">
        <f t="array" ref="E16">xlookup(row()-1,Calcs!AP$2:AP$200,Raw!AO$2:AO$200,)</f>
        <v/>
      </c>
      <c r="F16" s="264"/>
      <c r="G16" s="264" t="str">
        <f t="array" ref="G16">xlookup(row()-1,Calcs!AP$2:AP$200,Display_All!AC$2:AC$200,)</f>
        <v/>
      </c>
      <c r="H16" s="264" t="str">
        <f t="array" ref="H16">xlookup(row()-1,Calcs!AP$2:AP$200,Display_All!AE$2:AE$200,)</f>
        <v/>
      </c>
      <c r="I16" s="264" t="str">
        <f t="array" ref="I16">xlookup(row()-1,Calcs!AP$2:AP$200,Display_All!AH$2:AH$200,)</f>
        <v/>
      </c>
      <c r="J16" s="264" t="str">
        <f t="array" ref="J16">xlookup(row()-1,Calcs!AP$2:AP$200,Display_All!AG$2:AG$200,)</f>
        <v/>
      </c>
      <c r="K16" s="264" t="str">
        <f t="array" ref="K16">xlookup(row()-1,Calcs!AP$2:AP$200,Display_All!AU$2:AU$200,)</f>
        <v/>
      </c>
      <c r="L16" s="264" t="str">
        <f t="array" ref="L16">xlookup(row()-1,Calcs!AP$2:AP$200,Display_All!AW$2:AW$200,)</f>
        <v/>
      </c>
      <c r="M16" s="264" t="str">
        <f t="array" ref="M16">xlookup(row()-1,Calcs!AP$2:AP$200,Display_All!AX$2:AX$200,)</f>
        <v/>
      </c>
    </row>
    <row r="17">
      <c r="A17" s="264" t="str">
        <f t="array" ref="A17">xlookup(row()-1,Calcs!AP$2:AP$200,Raw!A$2:A$200,)</f>
        <v/>
      </c>
      <c r="B17" s="264" t="str">
        <f t="array" ref="B17">xlookup(row()-1,Calcs!AP$2:AP$200,Raw!B$2:B$200,)</f>
        <v/>
      </c>
      <c r="C17" s="264" t="str">
        <f t="array" ref="C17">xlookup(row()-1,Calcs!AP$2:AP$200,Raw!I$2:I$200,)</f>
        <v/>
      </c>
      <c r="D17" s="264" t="str">
        <f t="array" ref="D17">xlookup(row()-1,Calcs!AP$2:AP$200,Raw!J$2:J$200,)</f>
        <v/>
      </c>
      <c r="E17" s="264" t="str">
        <f t="array" ref="E17">xlookup(row()-1,Calcs!AP$2:AP$200,Raw!AO$2:AO$200,)</f>
        <v/>
      </c>
      <c r="F17" s="264"/>
      <c r="G17" s="264" t="str">
        <f t="array" ref="G17">xlookup(row()-1,Calcs!AP$2:AP$200,Display_All!AC$2:AC$200,)</f>
        <v/>
      </c>
      <c r="H17" s="66" t="s">
        <v>1132</v>
      </c>
      <c r="I17" s="66" t="s">
        <v>943</v>
      </c>
      <c r="J17" s="391">
        <f>average(L2:L9)</f>
        <v>0.2089706556</v>
      </c>
      <c r="K17" s="66" t="s">
        <v>1133</v>
      </c>
      <c r="L17" s="385">
        <f>trimmean(L2:L9,0.3)</f>
        <v>0.1806600611</v>
      </c>
      <c r="M17" s="264" t="str">
        <f t="array" ref="M17">xlookup(row()-1,Calcs!AP$2:AP$200,Display_All!AX$2:AX$200,)</f>
        <v/>
      </c>
    </row>
    <row r="18">
      <c r="A18" s="264" t="str">
        <f t="array" ref="A18">xlookup(row()-1,Calcs!AP$2:AP$200,Raw!A$2:A$200,)</f>
        <v/>
      </c>
      <c r="B18" s="264" t="str">
        <f t="array" ref="B18">xlookup(row()-1,Calcs!AP$2:AP$200,Raw!B$2:B$200,)</f>
        <v/>
      </c>
      <c r="C18" s="264" t="str">
        <f t="array" ref="C18">xlookup(row()-1,Calcs!AP$2:AP$200,Raw!I$2:I$200,)</f>
        <v/>
      </c>
      <c r="D18" s="264" t="str">
        <f t="array" ref="D18">xlookup(row()-1,Calcs!AP$2:AP$200,Raw!J$2:J$200,)</f>
        <v/>
      </c>
      <c r="E18" s="264" t="str">
        <f t="array" ref="E18">xlookup(row()-1,Calcs!AP$2:AP$200,Raw!AO$2:AO$200,)</f>
        <v/>
      </c>
      <c r="F18" s="264"/>
      <c r="G18" s="264" t="str">
        <f t="array" ref="G18">xlookup(row()-1,Calcs!AP$2:AP$200,Display_All!AC$2:AC$200,)</f>
        <v/>
      </c>
      <c r="H18" s="66" t="s">
        <v>1134</v>
      </c>
      <c r="I18" s="66" t="s">
        <v>943</v>
      </c>
      <c r="J18" s="391">
        <f>average(L10:L12)</f>
        <v>0.2405612001</v>
      </c>
      <c r="K18" s="66" t="s">
        <v>1133</v>
      </c>
      <c r="L18" s="385">
        <f>trimmean(L10:L12,0.3)</f>
        <v>0.2405612001</v>
      </c>
      <c r="M18" s="264" t="str">
        <f t="array" ref="M18">xlookup(row()-1,Calcs!AP$2:AP$200,Display_All!AX$2:AX$200,)</f>
        <v/>
      </c>
    </row>
    <row r="19">
      <c r="A19" s="264" t="str">
        <f t="array" ref="A19">xlookup(row()-1,Calcs!AP$2:AP$200,Raw!A$2:A$200,)</f>
        <v/>
      </c>
      <c r="B19" s="264" t="str">
        <f t="array" ref="B19">xlookup(row()-1,Calcs!AP$2:AP$200,Raw!B$2:B$200,)</f>
        <v/>
      </c>
      <c r="C19" s="264" t="str">
        <f t="array" ref="C19">xlookup(row()-1,Calcs!AP$2:AP$200,Raw!I$2:I$200,)</f>
        <v/>
      </c>
      <c r="D19" s="264" t="str">
        <f t="array" ref="D19">xlookup(row()-1,Calcs!AP$2:AP$200,Raw!J$2:J$200,)</f>
        <v/>
      </c>
      <c r="E19" s="264" t="str">
        <f t="array" ref="E19">xlookup(row()-1,Calcs!AP$2:AP$200,Raw!AO$2:AO$200,)</f>
        <v/>
      </c>
      <c r="F19" s="264"/>
      <c r="G19" s="264" t="str">
        <f t="array" ref="G19">xlookup(row()-1,Calcs!AP$2:AP$200,Display_All!AC$2:AC$200,)</f>
        <v/>
      </c>
      <c r="H19" s="264" t="str">
        <f t="array" ref="H19">xlookup(row()-1,Calcs!AP$2:AP$200,Display_All!AE$2:AE$200,)</f>
        <v/>
      </c>
      <c r="I19" s="66" t="s">
        <v>1135</v>
      </c>
      <c r="J19" s="392">
        <f>(J18-J17)/J17</f>
        <v>0.1511721559</v>
      </c>
      <c r="K19" s="264" t="str">
        <f t="array" ref="K19">xlookup(row()-1,Calcs!AP$2:AP$200,Display_All!AU$2:AU$200,)</f>
        <v/>
      </c>
      <c r="L19" s="392">
        <f>(L18-L17)/L17</f>
        <v>0.3315682428</v>
      </c>
      <c r="M19" s="264" t="str">
        <f t="array" ref="M19">xlookup(row()-1,Calcs!AP$2:AP$200,Display_All!AX$2:AX$200,)</f>
        <v/>
      </c>
    </row>
    <row r="20">
      <c r="A20" s="264" t="str">
        <f t="array" ref="A20">xlookup(row()-1,Calcs!AP$2:AP$200,Raw!A$2:A$200,)</f>
        <v/>
      </c>
      <c r="B20" s="264" t="str">
        <f t="array" ref="B20">xlookup(row()-1,Calcs!AP$2:AP$200,Raw!B$2:B$200,)</f>
        <v/>
      </c>
      <c r="C20" s="264" t="str">
        <f t="array" ref="C20">xlookup(row()-1,Calcs!AP$2:AP$200,Raw!I$2:I$200,)</f>
        <v/>
      </c>
      <c r="D20" s="264" t="str">
        <f t="array" ref="D20">xlookup(row()-1,Calcs!AP$2:AP$200,Raw!J$2:J$200,)</f>
        <v/>
      </c>
      <c r="E20" s="264" t="str">
        <f t="array" ref="E20">xlookup(row()-1,Calcs!AP$2:AP$200,Raw!AO$2:AO$200,)</f>
        <v/>
      </c>
      <c r="F20" s="264"/>
      <c r="G20" s="264" t="str">
        <f t="array" ref="G20">xlookup(row()-1,Calcs!AP$2:AP$200,Display_All!AC$2:AC$200,)</f>
        <v/>
      </c>
      <c r="H20" s="264" t="str">
        <f t="array" ref="H20">xlookup(row()-1,Calcs!AP$2:AP$200,Display_All!AE$2:AE$200,)</f>
        <v/>
      </c>
      <c r="I20" s="264" t="str">
        <f t="array" ref="I20">xlookup(row()-1,Calcs!AP$2:AP$200,Display_All!AH$2:AH$200,)</f>
        <v/>
      </c>
      <c r="J20" s="264" t="str">
        <f t="array" ref="J20">xlookup(row()-1,Calcs!AP$2:AP$200,Display_All!AG$2:AG$200,)</f>
        <v/>
      </c>
      <c r="K20" s="264" t="str">
        <f t="array" ref="K20">xlookup(row()-1,Calcs!AP$2:AP$200,Display_All!AU$2:AU$200,)</f>
        <v/>
      </c>
      <c r="L20" s="264" t="str">
        <f t="array" ref="L20">xlookup(row()-1,Calcs!AP$2:AP$200,Display_All!AW$2:AW$200,)</f>
        <v/>
      </c>
      <c r="M20" s="264" t="str">
        <f t="array" ref="M20">xlookup(row()-1,Calcs!AP$2:AP$200,Display_All!AX$2:AX$200,)</f>
        <v/>
      </c>
    </row>
    <row r="21">
      <c r="A21" s="264" t="str">
        <f t="array" ref="A21">xlookup(row()-1,Calcs!AP$2:AP$200,Raw!A$2:A$200,)</f>
        <v/>
      </c>
      <c r="B21" s="264" t="str">
        <f t="array" ref="B21">xlookup(row()-1,Calcs!AP$2:AP$200,Raw!B$2:B$200,)</f>
        <v/>
      </c>
      <c r="C21" s="264" t="str">
        <f t="array" ref="C21">xlookup(row()-1,Calcs!AP$2:AP$200,Raw!I$2:I$200,)</f>
        <v/>
      </c>
      <c r="D21" s="264" t="str">
        <f t="array" ref="D21">xlookup(row()-1,Calcs!AP$2:AP$200,Raw!J$2:J$200,)</f>
        <v/>
      </c>
      <c r="E21" s="264" t="str">
        <f t="array" ref="E21">xlookup(row()-1,Calcs!AP$2:AP$200,Raw!AO$2:AO$200,)</f>
        <v/>
      </c>
      <c r="F21" s="264"/>
      <c r="G21" s="264" t="str">
        <f t="array" ref="G21">xlookup(row()-1,Calcs!AP$2:AP$200,Display_All!AC$2:AC$200,)</f>
        <v/>
      </c>
      <c r="H21" s="264" t="str">
        <f t="array" ref="H21">xlookup(row()-1,Calcs!AP$2:AP$200,Display_All!AE$2:AE$200,)</f>
        <v/>
      </c>
      <c r="I21" s="264" t="str">
        <f t="array" ref="I21">xlookup(row()-1,Calcs!AP$2:AP$200,Display_All!AH$2:AH$200,)</f>
        <v/>
      </c>
      <c r="J21" s="264" t="str">
        <f t="array" ref="J21">xlookup(row()-1,Calcs!AP$2:AP$200,Display_All!AG$2:AG$200,)</f>
        <v/>
      </c>
      <c r="K21" s="264" t="str">
        <f t="array" ref="K21">xlookup(row()-1,Calcs!AP$2:AP$200,Display_All!AU$2:AU$200,)</f>
        <v/>
      </c>
      <c r="L21" s="264" t="str">
        <f t="array" ref="L21">xlookup(row()-1,Calcs!AP$2:AP$200,Display_All!AW$2:AW$200,)</f>
        <v/>
      </c>
      <c r="M21" s="264" t="str">
        <f t="array" ref="M21">xlookup(row()-1,Calcs!AP$2:AP$200,Display_All!AX$2:AX$200,)</f>
        <v/>
      </c>
    </row>
    <row r="22">
      <c r="A22" s="264" t="str">
        <f t="array" ref="A22">xlookup(row()-1,Calcs!AP$2:AP$200,Raw!A$2:A$200,)</f>
        <v/>
      </c>
      <c r="B22" s="264" t="str">
        <f t="array" ref="B22">xlookup(row()-1,Calcs!AP$2:AP$200,Raw!B$2:B$200,)</f>
        <v/>
      </c>
      <c r="C22" s="264" t="str">
        <f t="array" ref="C22">xlookup(row()-1,Calcs!AP$2:AP$200,Raw!I$2:I$200,)</f>
        <v/>
      </c>
      <c r="D22" s="264" t="str">
        <f t="array" ref="D22">xlookup(row()-1,Calcs!AP$2:AP$200,Raw!J$2:J$200,)</f>
        <v/>
      </c>
      <c r="E22" s="264" t="str">
        <f t="array" ref="E22">xlookup(row()-1,Calcs!AP$2:AP$200,Raw!AO$2:AO$200,)</f>
        <v/>
      </c>
      <c r="F22" s="264"/>
      <c r="G22" s="264" t="str">
        <f t="array" ref="G22">xlookup(row()-1,Calcs!AP$2:AP$200,Display_All!AC$2:AC$200,)</f>
        <v/>
      </c>
      <c r="H22" s="264" t="str">
        <f t="array" ref="H22">xlookup(row()-1,Calcs!AP$2:AP$200,Display_All!AE$2:AE$200,)</f>
        <v/>
      </c>
      <c r="I22" s="264" t="str">
        <f t="array" ref="I22">xlookup(row()-1,Calcs!AP$2:AP$200,Display_All!AH$2:AH$200,)</f>
        <v/>
      </c>
      <c r="J22" s="264" t="str">
        <f t="array" ref="J22">xlookup(row()-1,Calcs!AP$2:AP$200,Display_All!AG$2:AG$200,)</f>
        <v/>
      </c>
      <c r="K22" s="264" t="str">
        <f t="array" ref="K22">xlookup(row()-1,Calcs!AP$2:AP$200,Display_All!AU$2:AU$200,)</f>
        <v/>
      </c>
      <c r="L22" s="264" t="str">
        <f t="array" ref="L22">xlookup(row()-1,Calcs!AP$2:AP$200,Display_All!AW$2:AW$200,)</f>
        <v/>
      </c>
      <c r="M22" s="264" t="str">
        <f t="array" ref="M22">xlookup(row()-1,Calcs!AP$2:AP$200,Display_All!AX$2:AX$200,)</f>
        <v/>
      </c>
    </row>
    <row r="23">
      <c r="A23" s="264" t="str">
        <f t="array" ref="A23">xlookup(row()-1,Calcs!AP$2:AP$200,Raw!A$2:A$200,)</f>
        <v/>
      </c>
      <c r="B23" s="264" t="str">
        <f t="array" ref="B23">xlookup(row()-1,Calcs!AP$2:AP$200,Raw!B$2:B$200,)</f>
        <v/>
      </c>
      <c r="C23" s="264" t="str">
        <f t="array" ref="C23">xlookup(row()-1,Calcs!AP$2:AP$200,Raw!I$2:I$200,)</f>
        <v/>
      </c>
      <c r="D23" s="264" t="str">
        <f t="array" ref="D23">xlookup(row()-1,Calcs!AP$2:AP$200,Raw!J$2:J$200,)</f>
        <v/>
      </c>
      <c r="E23" s="264" t="str">
        <f t="array" ref="E23">xlookup(row()-1,Calcs!AP$2:AP$200,Raw!AO$2:AO$200,)</f>
        <v/>
      </c>
      <c r="F23" s="264"/>
      <c r="G23" s="264" t="str">
        <f t="array" ref="G23">xlookup(row()-1,Calcs!AP$2:AP$200,Display_All!AC$2:AC$200,)</f>
        <v/>
      </c>
      <c r="H23" s="264" t="str">
        <f t="array" ref="H23">xlookup(row()-1,Calcs!AP$2:AP$200,Display_All!AE$2:AE$200,)</f>
        <v/>
      </c>
      <c r="I23" s="264" t="str">
        <f t="array" ref="I23">xlookup(row()-1,Calcs!AP$2:AP$200,Display_All!AH$2:AH$200,)</f>
        <v/>
      </c>
      <c r="J23" s="264" t="str">
        <f t="array" ref="J23">xlookup(row()-1,Calcs!AP$2:AP$200,Display_All!AG$2:AG$200,)</f>
        <v/>
      </c>
      <c r="K23" s="264" t="str">
        <f t="array" ref="K23">xlookup(row()-1,Calcs!AP$2:AP$200,Display_All!AU$2:AU$200,)</f>
        <v/>
      </c>
      <c r="L23" s="264" t="str">
        <f t="array" ref="L23">xlookup(row()-1,Calcs!AP$2:AP$200,Display_All!AW$2:AW$200,)</f>
        <v/>
      </c>
      <c r="M23" s="264" t="str">
        <f t="array" ref="M23">xlookup(row()-1,Calcs!AP$2:AP$200,Display_All!AX$2:AX$200,)</f>
        <v/>
      </c>
    </row>
    <row r="24">
      <c r="A24" s="264" t="str">
        <f t="array" ref="A24">xlookup(row()-1,Calcs!AP$2:AP$200,Raw!A$2:A$200,)</f>
        <v/>
      </c>
      <c r="B24" s="264" t="str">
        <f t="array" ref="B24">xlookup(row()-1,Calcs!AP$2:AP$200,Raw!B$2:B$200,)</f>
        <v/>
      </c>
      <c r="C24" s="264" t="str">
        <f t="array" ref="C24">xlookup(row()-1,Calcs!AP$2:AP$200,Raw!I$2:I$200,)</f>
        <v/>
      </c>
      <c r="D24" s="264" t="str">
        <f t="array" ref="D24">xlookup(row()-1,Calcs!AP$2:AP$200,Raw!J$2:J$200,)</f>
        <v/>
      </c>
      <c r="E24" s="264" t="str">
        <f t="array" ref="E24">xlookup(row()-1,Calcs!AP$2:AP$200,Raw!AO$2:AO$200,)</f>
        <v/>
      </c>
      <c r="F24" s="264"/>
      <c r="G24" s="264" t="str">
        <f t="array" ref="G24">xlookup(row()-1,Calcs!AP$2:AP$200,Display_All!AC$2:AC$200,)</f>
        <v/>
      </c>
      <c r="H24" s="264" t="str">
        <f t="array" ref="H24">xlookup(row()-1,Calcs!AP$2:AP$200,Display_All!AE$2:AE$200,)</f>
        <v/>
      </c>
      <c r="I24" s="264" t="str">
        <f t="array" ref="I24">xlookup(row()-1,Calcs!AP$2:AP$200,Display_All!AH$2:AH$200,)</f>
        <v/>
      </c>
      <c r="J24" s="264" t="str">
        <f t="array" ref="J24">xlookup(row()-1,Calcs!AP$2:AP$200,Display_All!AG$2:AG$200,)</f>
        <v/>
      </c>
      <c r="K24" s="264" t="str">
        <f t="array" ref="K24">xlookup(row()-1,Calcs!AP$2:AP$200,Display_All!AU$2:AU$200,)</f>
        <v/>
      </c>
      <c r="L24" s="264" t="str">
        <f t="array" ref="L24">xlookup(row()-1,Calcs!AP$2:AP$200,Display_All!AW$2:AW$200,)</f>
        <v/>
      </c>
      <c r="M24" s="264" t="str">
        <f t="array" ref="M24">xlookup(row()-1,Calcs!AP$2:AP$200,Display_All!AX$2:AX$200,)</f>
        <v/>
      </c>
    </row>
    <row r="25">
      <c r="A25" s="264" t="str">
        <f t="array" ref="A25">xlookup(row()-1,Calcs!AP$2:AP$200,Raw!A$2:A$200,)</f>
        <v/>
      </c>
      <c r="B25" s="264" t="str">
        <f t="array" ref="B25">xlookup(row()-1,Calcs!AP$2:AP$200,Raw!B$2:B$200,)</f>
        <v/>
      </c>
      <c r="C25" s="264" t="str">
        <f t="array" ref="C25">xlookup(row()-1,Calcs!AP$2:AP$200,Raw!I$2:I$200,)</f>
        <v/>
      </c>
      <c r="D25" s="264" t="str">
        <f t="array" ref="D25">xlookup(row()-1,Calcs!AP$2:AP$200,Raw!J$2:J$200,)</f>
        <v/>
      </c>
      <c r="E25" s="264" t="str">
        <f t="array" ref="E25">xlookup(row()-1,Calcs!AP$2:AP$200,Raw!AO$2:AO$200,)</f>
        <v/>
      </c>
      <c r="F25" s="264"/>
      <c r="G25" s="264" t="str">
        <f t="array" ref="G25">xlookup(row()-1,Calcs!AP$2:AP$200,Display_All!AC$2:AC$200,)</f>
        <v/>
      </c>
      <c r="H25" s="264" t="str">
        <f t="array" ref="H25">xlookup(row()-1,Calcs!AP$2:AP$200,Display_All!AE$2:AE$200,)</f>
        <v/>
      </c>
      <c r="I25" s="264" t="str">
        <f t="array" ref="I25">xlookup(row()-1,Calcs!AP$2:AP$200,Display_All!AH$2:AH$200,)</f>
        <v/>
      </c>
      <c r="J25" s="264" t="str">
        <f t="array" ref="J25">xlookup(row()-1,Calcs!AP$2:AP$200,Display_All!AG$2:AG$200,)</f>
        <v/>
      </c>
      <c r="K25" s="264" t="str">
        <f t="array" ref="K25">xlookup(row()-1,Calcs!AP$2:AP$200,Display_All!AU$2:AU$200,)</f>
        <v/>
      </c>
      <c r="L25" s="264" t="str">
        <f t="array" ref="L25">xlookup(row()-1,Calcs!AP$2:AP$200,Display_All!AW$2:AW$200,)</f>
        <v/>
      </c>
      <c r="M25" s="264" t="str">
        <f t="array" ref="M25">xlookup(row()-1,Calcs!AP$2:AP$200,Display_All!AX$2:AX$200,)</f>
        <v/>
      </c>
    </row>
    <row r="26">
      <c r="A26" s="264" t="str">
        <f t="array" ref="A26">xlookup(row()-1,Calcs!AP$2:AP$200,Raw!A$2:A$200,)</f>
        <v/>
      </c>
      <c r="B26" s="264" t="str">
        <f t="array" ref="B26">xlookup(row()-1,Calcs!AP$2:AP$200,Raw!B$2:B$200,)</f>
        <v/>
      </c>
      <c r="C26" s="264" t="str">
        <f t="array" ref="C26">xlookup(row()-1,Calcs!AP$2:AP$200,Raw!I$2:I$200,)</f>
        <v/>
      </c>
      <c r="D26" s="264" t="str">
        <f t="array" ref="D26">xlookup(row()-1,Calcs!AP$2:AP$200,Raw!J$2:J$200,)</f>
        <v/>
      </c>
      <c r="E26" s="264" t="str">
        <f t="array" ref="E26">xlookup(row()-1,Calcs!AP$2:AP$200,Raw!AO$2:AO$200,)</f>
        <v/>
      </c>
      <c r="F26" s="264"/>
      <c r="G26" s="264" t="str">
        <f t="array" ref="G26">xlookup(row()-1,Calcs!AP$2:AP$200,Display_All!AC$2:AC$200,)</f>
        <v/>
      </c>
      <c r="H26" s="264" t="str">
        <f t="array" ref="H26">xlookup(row()-1,Calcs!AP$2:AP$200,Display_All!AE$2:AE$200,)</f>
        <v/>
      </c>
      <c r="I26" s="264" t="str">
        <f t="array" ref="I26">xlookup(row()-1,Calcs!AP$2:AP$200,Display_All!AH$2:AH$200,)</f>
        <v/>
      </c>
      <c r="J26" s="264" t="str">
        <f t="array" ref="J26">xlookup(row()-1,Calcs!AP$2:AP$200,Display_All!AG$2:AG$200,)</f>
        <v/>
      </c>
      <c r="K26" s="264" t="str">
        <f t="array" ref="K26">xlookup(row()-1,Calcs!AP$2:AP$200,Display_All!AU$2:AU$200,)</f>
        <v/>
      </c>
      <c r="L26" s="264" t="str">
        <f t="array" ref="L26">xlookup(row()-1,Calcs!AP$2:AP$200,Display_All!AW$2:AW$200,)</f>
        <v/>
      </c>
      <c r="M26" s="264" t="str">
        <f t="array" ref="M26">xlookup(row()-1,Calcs!AP$2:AP$200,Display_All!AX$2:AX$200,)</f>
        <v/>
      </c>
    </row>
    <row r="27">
      <c r="A27" s="264" t="str">
        <f t="array" ref="A27">xlookup(row()-1,Calcs!AP$2:AP$200,Raw!A$2:A$200,)</f>
        <v/>
      </c>
      <c r="B27" s="264" t="str">
        <f t="array" ref="B27">xlookup(row()-1,Calcs!AP$2:AP$200,Raw!B$2:B$200,)</f>
        <v/>
      </c>
      <c r="C27" s="264" t="str">
        <f t="array" ref="C27">xlookup(row()-1,Calcs!AP$2:AP$200,Raw!I$2:I$200,)</f>
        <v/>
      </c>
      <c r="D27" s="264" t="str">
        <f t="array" ref="D27">xlookup(row()-1,Calcs!AP$2:AP$200,Raw!J$2:J$200,)</f>
        <v/>
      </c>
      <c r="E27" s="264" t="str">
        <f t="array" ref="E27">xlookup(row()-1,Calcs!AP$2:AP$200,Raw!AO$2:AO$200,)</f>
        <v/>
      </c>
      <c r="F27" s="264"/>
      <c r="G27" s="264" t="str">
        <f t="array" ref="G27">xlookup(row()-1,Calcs!AP$2:AP$200,Display_All!AC$2:AC$200,)</f>
        <v/>
      </c>
      <c r="H27" s="264" t="str">
        <f t="array" ref="H27">xlookup(row()-1,Calcs!AP$2:AP$200,Display_All!AE$2:AE$200,)</f>
        <v/>
      </c>
      <c r="I27" s="264" t="str">
        <f t="array" ref="I27">xlookup(row()-1,Calcs!AP$2:AP$200,Display_All!AH$2:AH$200,)</f>
        <v/>
      </c>
      <c r="J27" s="264" t="str">
        <f t="array" ref="J27">xlookup(row()-1,Calcs!AP$2:AP$200,Display_All!AG$2:AG$200,)</f>
        <v/>
      </c>
      <c r="K27" s="264" t="str">
        <f t="array" ref="K27">xlookup(row()-1,Calcs!AP$2:AP$200,Display_All!AU$2:AU$200,)</f>
        <v/>
      </c>
      <c r="L27" s="264" t="str">
        <f t="array" ref="L27">xlookup(row()-1,Calcs!AP$2:AP$200,Display_All!AW$2:AW$200,)</f>
        <v/>
      </c>
      <c r="M27" s="264" t="str">
        <f t="array" ref="M27">xlookup(row()-1,Calcs!AP$2:AP$200,Display_All!AX$2:AX$200,)</f>
        <v/>
      </c>
    </row>
    <row r="28">
      <c r="A28" s="264" t="str">
        <f t="array" ref="A28">xlookup(row()-1,Calcs!AP$2:AP$200,Raw!A$2:A$200,)</f>
        <v/>
      </c>
      <c r="B28" s="264" t="str">
        <f t="array" ref="B28">xlookup(row()-1,Calcs!AP$2:AP$200,Raw!B$2:B$200,)</f>
        <v/>
      </c>
      <c r="C28" s="264" t="str">
        <f t="array" ref="C28">xlookup(row()-1,Calcs!AP$2:AP$200,Raw!I$2:I$200,)</f>
        <v/>
      </c>
      <c r="D28" s="264" t="str">
        <f t="array" ref="D28">xlookup(row()-1,Calcs!AP$2:AP$200,Raw!J$2:J$200,)</f>
        <v/>
      </c>
      <c r="E28" s="264" t="str">
        <f t="array" ref="E28">xlookup(row()-1,Calcs!AP$2:AP$200,Raw!AO$2:AO$200,)</f>
        <v/>
      </c>
      <c r="F28" s="264"/>
      <c r="G28" s="264" t="str">
        <f t="array" ref="G28">xlookup(row()-1,Calcs!AP$2:AP$200,Display_All!AC$2:AC$200,)</f>
        <v/>
      </c>
      <c r="H28" s="264" t="str">
        <f t="array" ref="H28">xlookup(row()-1,Calcs!AP$2:AP$200,Display_All!AE$2:AE$200,)</f>
        <v/>
      </c>
      <c r="I28" s="264" t="str">
        <f t="array" ref="I28">xlookup(row()-1,Calcs!AP$2:AP$200,Display_All!AH$2:AH$200,)</f>
        <v/>
      </c>
      <c r="J28" s="264" t="str">
        <f t="array" ref="J28">xlookup(row()-1,Calcs!AP$2:AP$200,Display_All!AG$2:AG$200,)</f>
        <v/>
      </c>
      <c r="K28" s="264" t="str">
        <f t="array" ref="K28">xlookup(row()-1,Calcs!AP$2:AP$200,Display_All!AU$2:AU$200,)</f>
        <v/>
      </c>
      <c r="L28" s="264" t="str">
        <f t="array" ref="L28">xlookup(row()-1,Calcs!AP$2:AP$200,Display_All!AW$2:AW$200,)</f>
        <v/>
      </c>
      <c r="M28" s="264" t="str">
        <f t="array" ref="M28">xlookup(row()-1,Calcs!AP$2:AP$200,Display_All!AX$2:AX$200,)</f>
        <v/>
      </c>
    </row>
    <row r="29">
      <c r="A29" s="264" t="str">
        <f t="array" ref="A29">xlookup(row()-1,Calcs!AP$2:AP$200,Raw!A$2:A$200,)</f>
        <v/>
      </c>
      <c r="B29" s="264" t="str">
        <f t="array" ref="B29">xlookup(row()-1,Calcs!AP$2:AP$200,Raw!B$2:B$200,)</f>
        <v/>
      </c>
      <c r="C29" s="264" t="str">
        <f t="array" ref="C29">xlookup(row()-1,Calcs!AP$2:AP$200,Raw!I$2:I$200,)</f>
        <v/>
      </c>
      <c r="D29" s="264" t="str">
        <f t="array" ref="D29">xlookup(row()-1,Calcs!AP$2:AP$200,Raw!J$2:J$200,)</f>
        <v/>
      </c>
      <c r="E29" s="264" t="str">
        <f t="array" ref="E29">xlookup(row()-1,Calcs!AP$2:AP$200,Raw!AO$2:AO$200,)</f>
        <v/>
      </c>
      <c r="F29" s="264"/>
      <c r="G29" s="264" t="str">
        <f t="array" ref="G29">xlookup(row()-1,Calcs!AP$2:AP$200,Display_All!AC$2:AC$200,)</f>
        <v/>
      </c>
      <c r="H29" s="264" t="str">
        <f t="array" ref="H29">xlookup(row()-1,Calcs!AP$2:AP$200,Display_All!AE$2:AE$200,)</f>
        <v/>
      </c>
      <c r="I29" s="264" t="str">
        <f t="array" ref="I29">xlookup(row()-1,Calcs!AP$2:AP$200,Display_All!AH$2:AH$200,)</f>
        <v/>
      </c>
      <c r="J29" s="264" t="str">
        <f t="array" ref="J29">xlookup(row()-1,Calcs!AP$2:AP$200,Display_All!AG$2:AG$200,)</f>
        <v/>
      </c>
      <c r="K29" s="264" t="str">
        <f t="array" ref="K29">xlookup(row()-1,Calcs!AP$2:AP$200,Display_All!AU$2:AU$200,)</f>
        <v/>
      </c>
      <c r="L29" s="264" t="str">
        <f t="array" ref="L29">xlookup(row()-1,Calcs!AP$2:AP$200,Display_All!AW$2:AW$200,)</f>
        <v/>
      </c>
      <c r="M29" s="264" t="str">
        <f t="array" ref="M29">xlookup(row()-1,Calcs!AP$2:AP$200,Display_All!AX$2:AX$200,)</f>
        <v/>
      </c>
    </row>
    <row r="30">
      <c r="A30" s="264" t="str">
        <f t="array" ref="A30">xlookup(row()-1,Calcs!AP$2:AP$200,Raw!A$2:A$200,)</f>
        <v/>
      </c>
      <c r="B30" s="264" t="str">
        <f t="array" ref="B30">xlookup(row()-1,Calcs!AP$2:AP$200,Raw!B$2:B$200,)</f>
        <v/>
      </c>
      <c r="C30" s="264" t="str">
        <f t="array" ref="C30">xlookup(row()-1,Calcs!AP$2:AP$200,Raw!I$2:I$200,)</f>
        <v/>
      </c>
      <c r="D30" s="264" t="str">
        <f t="array" ref="D30">xlookup(row()-1,Calcs!AP$2:AP$200,Raw!J$2:J$200,)</f>
        <v/>
      </c>
      <c r="E30" s="264" t="str">
        <f t="array" ref="E30">xlookup(row()-1,Calcs!AP$2:AP$200,Raw!AO$2:AO$200,)</f>
        <v/>
      </c>
      <c r="F30" s="264"/>
      <c r="G30" s="264" t="str">
        <f t="array" ref="G30">xlookup(row()-1,Calcs!AP$2:AP$200,Display_All!AC$2:AC$200,)</f>
        <v/>
      </c>
      <c r="H30" s="264" t="str">
        <f t="array" ref="H30">xlookup(row()-1,Calcs!AP$2:AP$200,Display_All!AE$2:AE$200,)</f>
        <v/>
      </c>
      <c r="I30" s="264" t="str">
        <f t="array" ref="I30">xlookup(row()-1,Calcs!AP$2:AP$200,Display_All!AH$2:AH$200,)</f>
        <v/>
      </c>
      <c r="J30" s="264" t="str">
        <f t="array" ref="J30">xlookup(row()-1,Calcs!AP$2:AP$200,Display_All!AG$2:AG$200,)</f>
        <v/>
      </c>
      <c r="K30" s="264" t="str">
        <f t="array" ref="K30">xlookup(row()-1,Calcs!AP$2:AP$200,Display_All!AU$2:AU$200,)</f>
        <v/>
      </c>
      <c r="L30" s="264" t="str">
        <f t="array" ref="L30">xlookup(row()-1,Calcs!AP$2:AP$200,Display_All!AW$2:AW$200,)</f>
        <v/>
      </c>
      <c r="M30" s="264" t="str">
        <f t="array" ref="M30">xlookup(row()-1,Calcs!AP$2:AP$200,Display_All!AX$2:AX$200,)</f>
        <v/>
      </c>
    </row>
    <row r="31">
      <c r="A31" s="264" t="str">
        <f t="array" ref="A31">xlookup(row()-1,Calcs!AP$2:AP$200,Raw!A$2:A$200,)</f>
        <v/>
      </c>
      <c r="B31" s="264" t="str">
        <f t="array" ref="B31">xlookup(row()-1,Calcs!AP$2:AP$200,Raw!B$2:B$200,)</f>
        <v/>
      </c>
      <c r="C31" s="264" t="str">
        <f t="array" ref="C31">xlookup(row()-1,Calcs!AP$2:AP$200,Raw!I$2:I$200,)</f>
        <v/>
      </c>
      <c r="D31" s="264" t="str">
        <f t="array" ref="D31">xlookup(row()-1,Calcs!AP$2:AP$200,Raw!J$2:J$200,)</f>
        <v/>
      </c>
      <c r="E31" s="264" t="str">
        <f t="array" ref="E31">xlookup(row()-1,Calcs!AP$2:AP$200,Raw!AO$2:AO$200,)</f>
        <v/>
      </c>
      <c r="F31" s="264"/>
      <c r="G31" s="264" t="str">
        <f t="array" ref="G31">xlookup(row()-1,Calcs!AP$2:AP$200,Display_All!AC$2:AC$200,)</f>
        <v/>
      </c>
      <c r="H31" s="264" t="str">
        <f t="array" ref="H31">xlookup(row()-1,Calcs!AP$2:AP$200,Display_All!AE$2:AE$200,)</f>
        <v/>
      </c>
      <c r="I31" s="264" t="str">
        <f t="array" ref="I31">xlookup(row()-1,Calcs!AP$2:AP$200,Display_All!AH$2:AH$200,)</f>
        <v/>
      </c>
      <c r="J31" s="264" t="str">
        <f t="array" ref="J31">xlookup(row()-1,Calcs!AP$2:AP$200,Display_All!AG$2:AG$200,)</f>
        <v/>
      </c>
      <c r="K31" s="264" t="str">
        <f t="array" ref="K31">xlookup(row()-1,Calcs!AP$2:AP$200,Display_All!AU$2:AU$200,)</f>
        <v/>
      </c>
      <c r="L31" s="264" t="str">
        <f t="array" ref="L31">xlookup(row()-1,Calcs!AP$2:AP$200,Display_All!AW$2:AW$200,)</f>
        <v/>
      </c>
      <c r="M31" s="264" t="str">
        <f t="array" ref="M31">xlookup(row()-1,Calcs!AP$2:AP$200,Display_All!AX$2:AX$200,)</f>
        <v/>
      </c>
    </row>
    <row r="32">
      <c r="A32" s="264" t="str">
        <f t="array" ref="A32">xlookup(row()-1,Calcs!AP$2:AP$200,Raw!A$2:A$200,)</f>
        <v/>
      </c>
      <c r="B32" s="264" t="str">
        <f t="array" ref="B32">xlookup(row()-1,Calcs!AP$2:AP$200,Raw!B$2:B$200,)</f>
        <v/>
      </c>
      <c r="C32" s="264" t="str">
        <f t="array" ref="C32">xlookup(row()-1,Calcs!AP$2:AP$200,Raw!I$2:I$200,)</f>
        <v/>
      </c>
      <c r="D32" s="264" t="str">
        <f t="array" ref="D32">xlookup(row()-1,Calcs!AP$2:AP$200,Raw!J$2:J$200,)</f>
        <v/>
      </c>
      <c r="E32" s="264" t="str">
        <f t="array" ref="E32">xlookup(row()-1,Calcs!AP$2:AP$200,Raw!AO$2:AO$200,)</f>
        <v/>
      </c>
      <c r="F32" s="264"/>
      <c r="G32" s="264" t="str">
        <f t="array" ref="G32">xlookup(row()-1,Calcs!AP$2:AP$200,Display_All!AC$2:AC$200,)</f>
        <v/>
      </c>
      <c r="H32" s="264" t="str">
        <f t="array" ref="H32">xlookup(row()-1,Calcs!AP$2:AP$200,Display_All!AE$2:AE$200,)</f>
        <v/>
      </c>
      <c r="I32" s="264" t="str">
        <f t="array" ref="I32">xlookup(row()-1,Calcs!AP$2:AP$200,Display_All!AH$2:AH$200,)</f>
        <v/>
      </c>
      <c r="J32" s="264" t="str">
        <f t="array" ref="J32">xlookup(row()-1,Calcs!AP$2:AP$200,Display_All!AG$2:AG$200,)</f>
        <v/>
      </c>
      <c r="K32" s="264" t="str">
        <f t="array" ref="K32">xlookup(row()-1,Calcs!AP$2:AP$200,Display_All!AU$2:AU$200,)</f>
        <v/>
      </c>
      <c r="L32" s="264" t="str">
        <f t="array" ref="L32">xlookup(row()-1,Calcs!AP$2:AP$200,Display_All!AW$2:AW$200,)</f>
        <v/>
      </c>
      <c r="M32" s="264" t="str">
        <f t="array" ref="M32">xlookup(row()-1,Calcs!AP$2:AP$200,Display_All!AX$2:AX$200,)</f>
        <v/>
      </c>
    </row>
    <row r="33">
      <c r="A33" s="264" t="str">
        <f t="array" ref="A33">xlookup(row()-1,Calcs!AP$2:AP$200,Raw!A$2:A$200,)</f>
        <v/>
      </c>
      <c r="B33" s="264" t="str">
        <f t="array" ref="B33">xlookup(row()-1,Calcs!AP$2:AP$200,Raw!B$2:B$200,)</f>
        <v/>
      </c>
      <c r="C33" s="264" t="str">
        <f t="array" ref="C33">xlookup(row()-1,Calcs!AP$2:AP$200,Raw!I$2:I$200,)</f>
        <v/>
      </c>
      <c r="D33" s="264" t="str">
        <f t="array" ref="D33">xlookup(row()-1,Calcs!AP$2:AP$200,Raw!J$2:J$200,)</f>
        <v/>
      </c>
      <c r="E33" s="264" t="str">
        <f t="array" ref="E33">xlookup(row()-1,Calcs!AP$2:AP$200,Raw!AO$2:AO$200,)</f>
        <v/>
      </c>
      <c r="F33" s="264"/>
      <c r="G33" s="264" t="str">
        <f t="array" ref="G33">xlookup(row()-1,Calcs!AP$2:AP$200,Display_All!AC$2:AC$200,)</f>
        <v/>
      </c>
      <c r="H33" s="264" t="str">
        <f t="array" ref="H33">xlookup(row()-1,Calcs!AP$2:AP$200,Display_All!AE$2:AE$200,)</f>
        <v/>
      </c>
      <c r="I33" s="264" t="str">
        <f t="array" ref="I33">xlookup(row()-1,Calcs!AP$2:AP$200,Display_All!AH$2:AH$200,)</f>
        <v/>
      </c>
      <c r="J33" s="264" t="str">
        <f t="array" ref="J33">xlookup(row()-1,Calcs!AP$2:AP$200,Display_All!AG$2:AG$200,)</f>
        <v/>
      </c>
      <c r="K33" s="264" t="str">
        <f t="array" ref="K33">xlookup(row()-1,Calcs!AP$2:AP$200,Display_All!AU$2:AU$200,)</f>
        <v/>
      </c>
      <c r="L33" s="264" t="str">
        <f t="array" ref="L33">xlookup(row()-1,Calcs!AP$2:AP$200,Display_All!AW$2:AW$200,)</f>
        <v/>
      </c>
      <c r="M33" s="264" t="str">
        <f t="array" ref="M33">xlookup(row()-1,Calcs!AP$2:AP$200,Display_All!AX$2:AX$200,)</f>
        <v/>
      </c>
    </row>
    <row r="34">
      <c r="A34" s="264" t="str">
        <f t="array" ref="A34">xlookup(row()-1,Calcs!AP$2:AP$200,Raw!A$2:A$200,)</f>
        <v/>
      </c>
      <c r="B34" s="264" t="str">
        <f t="array" ref="B34">xlookup(row()-1,Calcs!AP$2:AP$200,Raw!B$2:B$200,)</f>
        <v/>
      </c>
      <c r="C34" s="264" t="str">
        <f t="array" ref="C34">xlookup(row()-1,Calcs!AP$2:AP$200,Raw!I$2:I$200,)</f>
        <v/>
      </c>
      <c r="D34" s="264" t="str">
        <f t="array" ref="D34">xlookup(row()-1,Calcs!AP$2:AP$200,Raw!J$2:J$200,)</f>
        <v/>
      </c>
      <c r="E34" s="264" t="str">
        <f t="array" ref="E34">xlookup(row()-1,Calcs!AP$2:AP$200,Raw!AO$2:AO$200,)</f>
        <v/>
      </c>
      <c r="F34" s="264"/>
      <c r="G34" s="264" t="str">
        <f t="array" ref="G34">xlookup(row()-1,Calcs!AP$2:AP$200,Display_All!AC$2:AC$200,)</f>
        <v/>
      </c>
      <c r="H34" s="264" t="str">
        <f t="array" ref="H34">xlookup(row()-1,Calcs!AP$2:AP$200,Display_All!AE$2:AE$200,)</f>
        <v/>
      </c>
      <c r="I34" s="264" t="str">
        <f t="array" ref="I34">xlookup(row()-1,Calcs!AP$2:AP$200,Display_All!AH$2:AH$200,)</f>
        <v/>
      </c>
      <c r="J34" s="264" t="str">
        <f t="array" ref="J34">xlookup(row()-1,Calcs!AP$2:AP$200,Display_All!AG$2:AG$200,)</f>
        <v/>
      </c>
      <c r="K34" s="264" t="str">
        <f t="array" ref="K34">xlookup(row()-1,Calcs!AP$2:AP$200,Display_All!AU$2:AU$200,)</f>
        <v/>
      </c>
      <c r="L34" s="264" t="str">
        <f t="array" ref="L34">xlookup(row()-1,Calcs!AP$2:AP$200,Display_All!AW$2:AW$200,)</f>
        <v/>
      </c>
      <c r="M34" s="264" t="str">
        <f t="array" ref="M34">xlookup(row()-1,Calcs!AP$2:AP$200,Display_All!AX$2:AX$200,)</f>
        <v/>
      </c>
    </row>
    <row r="35">
      <c r="A35" s="264" t="str">
        <f t="array" ref="A35">xlookup(row()-1,Calcs!AP$2:AP$200,Raw!A$2:A$200,)</f>
        <v/>
      </c>
      <c r="B35" s="264" t="str">
        <f t="array" ref="B35">xlookup(row()-1,Calcs!AP$2:AP$200,Raw!B$2:B$200,)</f>
        <v/>
      </c>
      <c r="C35" s="264" t="str">
        <f t="array" ref="C35">xlookup(row()-1,Calcs!AP$2:AP$200,Raw!I$2:I$200,)</f>
        <v/>
      </c>
      <c r="D35" s="264" t="str">
        <f t="array" ref="D35">xlookup(row()-1,Calcs!AP$2:AP$200,Raw!J$2:J$200,)</f>
        <v/>
      </c>
      <c r="E35" s="264" t="str">
        <f t="array" ref="E35">xlookup(row()-1,Calcs!AP$2:AP$200,Raw!AO$2:AO$200,)</f>
        <v/>
      </c>
      <c r="F35" s="264"/>
      <c r="G35" s="264" t="str">
        <f t="array" ref="G35">xlookup(row()-1,Calcs!AP$2:AP$200,Display_All!AC$2:AC$200,)</f>
        <v/>
      </c>
      <c r="H35" s="264" t="str">
        <f t="array" ref="H35">xlookup(row()-1,Calcs!AP$2:AP$200,Display_All!AE$2:AE$200,)</f>
        <v/>
      </c>
      <c r="I35" s="264" t="str">
        <f t="array" ref="I35">xlookup(row()-1,Calcs!AP$2:AP$200,Display_All!AH$2:AH$200,)</f>
        <v/>
      </c>
      <c r="J35" s="264" t="str">
        <f t="array" ref="J35">xlookup(row()-1,Calcs!AP$2:AP$200,Display_All!AG$2:AG$200,)</f>
        <v/>
      </c>
      <c r="K35" s="264" t="str">
        <f t="array" ref="K35">xlookup(row()-1,Calcs!AP$2:AP$200,Display_All!AU$2:AU$200,)</f>
        <v/>
      </c>
      <c r="L35" s="264" t="str">
        <f t="array" ref="L35">xlookup(row()-1,Calcs!AP$2:AP$200,Display_All!AW$2:AW$200,)</f>
        <v/>
      </c>
      <c r="M35" s="264" t="str">
        <f t="array" ref="M35">xlookup(row()-1,Calcs!AP$2:AP$200,Display_All!AX$2:AX$200,)</f>
        <v/>
      </c>
    </row>
    <row r="36">
      <c r="A36" s="264" t="str">
        <f t="array" ref="A36">xlookup(row()-1,Calcs!AP$2:AP$200,Raw!A$2:A$200,)</f>
        <v/>
      </c>
      <c r="B36" s="264" t="str">
        <f t="array" ref="B36">xlookup(row()-1,Calcs!AP$2:AP$200,Raw!B$2:B$200,)</f>
        <v/>
      </c>
      <c r="C36" s="264" t="str">
        <f t="array" ref="C36">xlookup(row()-1,Calcs!AP$2:AP$200,Raw!I$2:I$200,)</f>
        <v/>
      </c>
      <c r="D36" s="264" t="str">
        <f t="array" ref="D36">xlookup(row()-1,Calcs!AP$2:AP$200,Raw!J$2:J$200,)</f>
        <v/>
      </c>
      <c r="E36" s="264" t="str">
        <f t="array" ref="E36">xlookup(row()-1,Calcs!AP$2:AP$200,Raw!AO$2:AO$200,)</f>
        <v/>
      </c>
      <c r="F36" s="264"/>
      <c r="G36" s="264" t="str">
        <f t="array" ref="G36">xlookup(row()-1,Calcs!AP$2:AP$200,Display_All!AC$2:AC$200,)</f>
        <v/>
      </c>
      <c r="H36" s="264" t="str">
        <f t="array" ref="H36">xlookup(row()-1,Calcs!AP$2:AP$200,Display_All!AE$2:AE$200,)</f>
        <v/>
      </c>
      <c r="I36" s="264" t="str">
        <f t="array" ref="I36">xlookup(row()-1,Calcs!AP$2:AP$200,Display_All!AH$2:AH$200,)</f>
        <v/>
      </c>
      <c r="J36" s="264" t="str">
        <f t="array" ref="J36">xlookup(row()-1,Calcs!AP$2:AP$200,Display_All!AG$2:AG$200,)</f>
        <v/>
      </c>
      <c r="K36" s="264" t="str">
        <f t="array" ref="K36">xlookup(row()-1,Calcs!AP$2:AP$200,Display_All!AU$2:AU$200,)</f>
        <v/>
      </c>
      <c r="L36" s="264" t="str">
        <f t="array" ref="L36">xlookup(row()-1,Calcs!AP$2:AP$200,Display_All!AW$2:AW$200,)</f>
        <v/>
      </c>
      <c r="M36" s="264" t="str">
        <f t="array" ref="M36">xlookup(row()-1,Calcs!AP$2:AP$200,Display_All!AX$2:AX$200,)</f>
        <v/>
      </c>
    </row>
    <row r="37">
      <c r="A37" s="264" t="str">
        <f t="array" ref="A37">xlookup(row()-1,Calcs!AP$2:AP$200,Raw!A$2:A$200,)</f>
        <v/>
      </c>
      <c r="B37" s="264" t="str">
        <f t="array" ref="B37">xlookup(row()-1,Calcs!AP$2:AP$200,Raw!B$2:B$200,)</f>
        <v/>
      </c>
      <c r="C37" s="264" t="str">
        <f t="array" ref="C37">xlookup(row()-1,Calcs!AP$2:AP$200,Raw!I$2:I$200,)</f>
        <v/>
      </c>
      <c r="D37" s="264" t="str">
        <f t="array" ref="D37">xlookup(row()-1,Calcs!AP$2:AP$200,Raw!J$2:J$200,)</f>
        <v/>
      </c>
      <c r="E37" s="264" t="str">
        <f t="array" ref="E37">xlookup(row()-1,Calcs!AP$2:AP$200,Raw!AO$2:AO$200,)</f>
        <v/>
      </c>
      <c r="F37" s="264"/>
      <c r="G37" s="264" t="str">
        <f t="array" ref="G37">xlookup(row()-1,Calcs!AP$2:AP$200,Display_All!AC$2:AC$200,)</f>
        <v/>
      </c>
      <c r="H37" s="264" t="str">
        <f t="array" ref="H37">xlookup(row()-1,Calcs!AP$2:AP$200,Display_All!AE$2:AE$200,)</f>
        <v/>
      </c>
      <c r="I37" s="264" t="str">
        <f t="array" ref="I37">xlookup(row()-1,Calcs!AP$2:AP$200,Display_All!AH$2:AH$200,)</f>
        <v/>
      </c>
      <c r="J37" s="264" t="str">
        <f t="array" ref="J37">xlookup(row()-1,Calcs!AP$2:AP$200,Display_All!AG$2:AG$200,)</f>
        <v/>
      </c>
      <c r="K37" s="264" t="str">
        <f t="array" ref="K37">xlookup(row()-1,Calcs!AP$2:AP$200,Display_All!AU$2:AU$200,)</f>
        <v/>
      </c>
      <c r="L37" s="264" t="str">
        <f t="array" ref="L37">xlookup(row()-1,Calcs!AP$2:AP$200,Display_All!AW$2:AW$200,)</f>
        <v/>
      </c>
      <c r="M37" s="264" t="str">
        <f t="array" ref="M37">xlookup(row()-1,Calcs!AP$2:AP$200,Display_All!AX$2:AX$200,)</f>
        <v/>
      </c>
    </row>
    <row r="38">
      <c r="A38" s="264" t="str">
        <f t="array" ref="A38">xlookup(row()-1,Calcs!AP$2:AP$200,Raw!A$2:A$200,)</f>
        <v/>
      </c>
      <c r="B38" s="264" t="str">
        <f t="array" ref="B38">xlookup(row()-1,Calcs!AP$2:AP$200,Raw!B$2:B$200,)</f>
        <v/>
      </c>
      <c r="C38" s="264" t="str">
        <f t="array" ref="C38">xlookup(row()-1,Calcs!AP$2:AP$200,Raw!I$2:I$200,)</f>
        <v/>
      </c>
      <c r="D38" s="264" t="str">
        <f t="array" ref="D38">xlookup(row()-1,Calcs!AP$2:AP$200,Raw!J$2:J$200,)</f>
        <v/>
      </c>
      <c r="E38" s="264" t="str">
        <f t="array" ref="E38">xlookup(row()-1,Calcs!AP$2:AP$200,Raw!AO$2:AO$200,)</f>
        <v/>
      </c>
      <c r="F38" s="264"/>
      <c r="G38" s="264" t="str">
        <f t="array" ref="G38">xlookup(row()-1,Calcs!AP$2:AP$200,Display_All!AC$2:AC$200,)</f>
        <v/>
      </c>
      <c r="H38" s="264" t="str">
        <f t="array" ref="H38">xlookup(row()-1,Calcs!AP$2:AP$200,Display_All!AE$2:AE$200,)</f>
        <v/>
      </c>
      <c r="I38" s="264" t="str">
        <f t="array" ref="I38">xlookup(row()-1,Calcs!AP$2:AP$200,Display_All!AH$2:AH$200,)</f>
        <v/>
      </c>
      <c r="J38" s="264" t="str">
        <f t="array" ref="J38">xlookup(row()-1,Calcs!AP$2:AP$200,Display_All!AG$2:AG$200,)</f>
        <v/>
      </c>
      <c r="K38" s="264" t="str">
        <f t="array" ref="K38">xlookup(row()-1,Calcs!AP$2:AP$200,Display_All!AU$2:AU$200,)</f>
        <v/>
      </c>
      <c r="L38" s="264" t="str">
        <f t="array" ref="L38">xlookup(row()-1,Calcs!AP$2:AP$200,Display_All!AW$2:AW$200,)</f>
        <v/>
      </c>
      <c r="M38" s="264" t="str">
        <f t="array" ref="M38">xlookup(row()-1,Calcs!AP$2:AP$200,Display_All!AX$2:AX$200,)</f>
        <v/>
      </c>
    </row>
    <row r="39">
      <c r="A39" s="264" t="str">
        <f t="array" ref="A39">xlookup(row()-1,Calcs!AP$2:AP$200,Raw!A$2:A$200,)</f>
        <v/>
      </c>
      <c r="B39" s="264" t="str">
        <f t="array" ref="B39">xlookup(row()-1,Calcs!AP$2:AP$200,Raw!B$2:B$200,)</f>
        <v/>
      </c>
      <c r="C39" s="264" t="str">
        <f t="array" ref="C39">xlookup(row()-1,Calcs!AP$2:AP$200,Raw!I$2:I$200,)</f>
        <v/>
      </c>
      <c r="D39" s="264" t="str">
        <f t="array" ref="D39">xlookup(row()-1,Calcs!AP$2:AP$200,Raw!J$2:J$200,)</f>
        <v/>
      </c>
      <c r="E39" s="264" t="str">
        <f t="array" ref="E39">xlookup(row()-1,Calcs!AP$2:AP$200,Raw!AO$2:AO$200,)</f>
        <v/>
      </c>
      <c r="F39" s="264"/>
      <c r="G39" s="264" t="str">
        <f t="array" ref="G39">xlookup(row()-1,Calcs!AP$2:AP$200,Display_All!AC$2:AC$200,)</f>
        <v/>
      </c>
      <c r="H39" s="264" t="str">
        <f t="array" ref="H39">xlookup(row()-1,Calcs!AP$2:AP$200,Display_All!AE$2:AE$200,)</f>
        <v/>
      </c>
      <c r="I39" s="264" t="str">
        <f t="array" ref="I39">xlookup(row()-1,Calcs!AP$2:AP$200,Display_All!AH$2:AH$200,)</f>
        <v/>
      </c>
      <c r="J39" s="264" t="str">
        <f t="array" ref="J39">xlookup(row()-1,Calcs!AP$2:AP$200,Display_All!AG$2:AG$200,)</f>
        <v/>
      </c>
      <c r="K39" s="264" t="str">
        <f t="array" ref="K39">xlookup(row()-1,Calcs!AP$2:AP$200,Display_All!AU$2:AU$200,)</f>
        <v/>
      </c>
      <c r="L39" s="264" t="str">
        <f t="array" ref="L39">xlookup(row()-1,Calcs!AP$2:AP$200,Display_All!AW$2:AW$200,)</f>
        <v/>
      </c>
      <c r="M39" s="264" t="str">
        <f t="array" ref="M39">xlookup(row()-1,Calcs!AP$2:AP$200,Display_All!AX$2:AX$200,)</f>
        <v/>
      </c>
    </row>
    <row r="40">
      <c r="A40" s="264" t="str">
        <f t="array" ref="A40">xlookup(row()-1,Calcs!AP$2:AP$200,Raw!A$2:A$200,)</f>
        <v/>
      </c>
      <c r="B40" s="264" t="str">
        <f t="array" ref="B40">xlookup(row()-1,Calcs!AP$2:AP$200,Raw!B$2:B$200,)</f>
        <v/>
      </c>
      <c r="C40" s="264" t="str">
        <f t="array" ref="C40">xlookup(row()-1,Calcs!AP$2:AP$200,Raw!I$2:I$200,)</f>
        <v/>
      </c>
      <c r="D40" s="264" t="str">
        <f t="array" ref="D40">xlookup(row()-1,Calcs!AP$2:AP$200,Raw!J$2:J$200,)</f>
        <v/>
      </c>
      <c r="E40" s="264" t="str">
        <f t="array" ref="E40">xlookup(row()-1,Calcs!AP$2:AP$200,Raw!AO$2:AO$200,)</f>
        <v/>
      </c>
      <c r="F40" s="264"/>
      <c r="G40" s="264" t="str">
        <f t="array" ref="G40">xlookup(row()-1,Calcs!AP$2:AP$200,Display_All!AC$2:AC$200,)</f>
        <v/>
      </c>
      <c r="H40" s="264" t="str">
        <f t="array" ref="H40">xlookup(row()-1,Calcs!AP$2:AP$200,Display_All!AE$2:AE$200,)</f>
        <v/>
      </c>
      <c r="I40" s="264" t="str">
        <f t="array" ref="I40">xlookup(row()-1,Calcs!AP$2:AP$200,Display_All!AH$2:AH$200,)</f>
        <v/>
      </c>
      <c r="J40" s="264" t="str">
        <f t="array" ref="J40">xlookup(row()-1,Calcs!AP$2:AP$200,Display_All!AG$2:AG$200,)</f>
        <v/>
      </c>
      <c r="K40" s="264" t="str">
        <f t="array" ref="K40">xlookup(row()-1,Calcs!AP$2:AP$200,Display_All!AU$2:AU$200,)</f>
        <v/>
      </c>
      <c r="L40" s="264" t="str">
        <f t="array" ref="L40">xlookup(row()-1,Calcs!AP$2:AP$200,Display_All!AW$2:AW$200,)</f>
        <v/>
      </c>
      <c r="M40" s="264" t="str">
        <f t="array" ref="M40">xlookup(row()-1,Calcs!AP$2:AP$200,Display_All!AX$2:AX$200,)</f>
        <v/>
      </c>
    </row>
    <row r="41">
      <c r="A41" s="264" t="str">
        <f t="array" ref="A41">xlookup(row()-1,Calcs!AP$2:AP$200,Raw!A$2:A$200,)</f>
        <v/>
      </c>
      <c r="B41" s="264" t="str">
        <f t="array" ref="B41">xlookup(row()-1,Calcs!AP$2:AP$200,Raw!B$2:B$200,)</f>
        <v/>
      </c>
      <c r="C41" s="264" t="str">
        <f t="array" ref="C41">xlookup(row()-1,Calcs!AP$2:AP$200,Raw!I$2:I$200,)</f>
        <v/>
      </c>
      <c r="D41" s="264" t="str">
        <f t="array" ref="D41">xlookup(row()-1,Calcs!AP$2:AP$200,Raw!J$2:J$200,)</f>
        <v/>
      </c>
      <c r="E41" s="264" t="str">
        <f t="array" ref="E41">xlookup(row()-1,Calcs!AP$2:AP$200,Raw!AO$2:AO$200,)</f>
        <v/>
      </c>
      <c r="F41" s="264"/>
      <c r="G41" s="264" t="str">
        <f t="array" ref="G41">xlookup(row()-1,Calcs!AP$2:AP$200,Display_All!AC$2:AC$200,)</f>
        <v/>
      </c>
      <c r="H41" s="264" t="str">
        <f t="array" ref="H41">xlookup(row()-1,Calcs!AP$2:AP$200,Display_All!AE$2:AE$200,)</f>
        <v/>
      </c>
      <c r="I41" s="264" t="str">
        <f t="array" ref="I41">xlookup(row()-1,Calcs!AP$2:AP$200,Display_All!AH$2:AH$200,)</f>
        <v/>
      </c>
      <c r="J41" s="264" t="str">
        <f t="array" ref="J41">xlookup(row()-1,Calcs!AP$2:AP$200,Display_All!AG$2:AG$200,)</f>
        <v/>
      </c>
      <c r="K41" s="264" t="str">
        <f t="array" ref="K41">xlookup(row()-1,Calcs!AP$2:AP$200,Display_All!AU$2:AU$200,)</f>
        <v/>
      </c>
      <c r="L41" s="264" t="str">
        <f t="array" ref="L41">xlookup(row()-1,Calcs!AP$2:AP$200,Display_All!AW$2:AW$200,)</f>
        <v/>
      </c>
      <c r="M41" s="264" t="str">
        <f t="array" ref="M41">xlookup(row()-1,Calcs!AP$2:AP$200,Display_All!AX$2:AX$200,)</f>
        <v/>
      </c>
    </row>
    <row r="42">
      <c r="A42" s="264" t="str">
        <f t="array" ref="A42">xlookup(row()-1,Calcs!AP$2:AP$200,Raw!A$2:A$200,)</f>
        <v/>
      </c>
      <c r="B42" s="264" t="str">
        <f t="array" ref="B42">xlookup(row()-1,Calcs!AP$2:AP$200,Raw!B$2:B$200,)</f>
        <v/>
      </c>
      <c r="C42" s="264" t="str">
        <f t="array" ref="C42">xlookup(row()-1,Calcs!AP$2:AP$200,Raw!I$2:I$200,)</f>
        <v/>
      </c>
      <c r="D42" s="264" t="str">
        <f t="array" ref="D42">xlookup(row()-1,Calcs!AP$2:AP$200,Raw!J$2:J$200,)</f>
        <v/>
      </c>
      <c r="E42" s="264" t="str">
        <f t="array" ref="E42">xlookup(row()-1,Calcs!AP$2:AP$200,Raw!AO$2:AO$200,)</f>
        <v/>
      </c>
      <c r="F42" s="264"/>
      <c r="G42" s="264" t="str">
        <f t="array" ref="G42">xlookup(row()-1,Calcs!AP$2:AP$200,Display_All!AC$2:AC$200,)</f>
        <v/>
      </c>
      <c r="H42" s="264" t="str">
        <f t="array" ref="H42">xlookup(row()-1,Calcs!AP$2:AP$200,Display_All!AE$2:AE$200,)</f>
        <v/>
      </c>
      <c r="I42" s="264" t="str">
        <f t="array" ref="I42">xlookup(row()-1,Calcs!AP$2:AP$200,Display_All!AH$2:AH$200,)</f>
        <v/>
      </c>
      <c r="J42" s="264" t="str">
        <f t="array" ref="J42">xlookup(row()-1,Calcs!AP$2:AP$200,Display_All!AG$2:AG$200,)</f>
        <v/>
      </c>
      <c r="K42" s="264" t="str">
        <f t="array" ref="K42">xlookup(row()-1,Calcs!AP$2:AP$200,Display_All!AU$2:AU$200,)</f>
        <v/>
      </c>
      <c r="L42" s="264" t="str">
        <f t="array" ref="L42">xlookup(row()-1,Calcs!AP$2:AP$200,Display_All!AW$2:AW$200,)</f>
        <v/>
      </c>
      <c r="M42" s="264" t="str">
        <f t="array" ref="M42">xlookup(row()-1,Calcs!AP$2:AP$200,Display_All!AX$2:AX$200,)</f>
        <v/>
      </c>
    </row>
    <row r="43">
      <c r="A43" s="264" t="str">
        <f t="array" ref="A43">xlookup(row()-1,Calcs!AP$2:AP$200,Raw!A$2:A$200,)</f>
        <v/>
      </c>
      <c r="B43" s="264" t="str">
        <f t="array" ref="B43">xlookup(row()-1,Calcs!AP$2:AP$200,Raw!B$2:B$200,)</f>
        <v/>
      </c>
      <c r="C43" s="264" t="str">
        <f t="array" ref="C43">xlookup(row()-1,Calcs!AP$2:AP$200,Raw!I$2:I$200,)</f>
        <v/>
      </c>
      <c r="D43" s="264" t="str">
        <f t="array" ref="D43">xlookup(row()-1,Calcs!AP$2:AP$200,Raw!J$2:J$200,)</f>
        <v/>
      </c>
      <c r="E43" s="264" t="str">
        <f t="array" ref="E43">xlookup(row()-1,Calcs!AP$2:AP$200,Raw!AO$2:AO$200,)</f>
        <v/>
      </c>
      <c r="F43" s="264"/>
      <c r="G43" s="264" t="str">
        <f t="array" ref="G43">xlookup(row()-1,Calcs!AP$2:AP$200,Display_All!AC$2:AC$200,)</f>
        <v/>
      </c>
      <c r="H43" s="264" t="str">
        <f t="array" ref="H43">xlookup(row()-1,Calcs!AP$2:AP$200,Display_All!AE$2:AE$200,)</f>
        <v/>
      </c>
      <c r="I43" s="264" t="str">
        <f t="array" ref="I43">xlookup(row()-1,Calcs!AP$2:AP$200,Display_All!AH$2:AH$200,)</f>
        <v/>
      </c>
      <c r="J43" s="264" t="str">
        <f t="array" ref="J43">xlookup(row()-1,Calcs!AP$2:AP$200,Display_All!AG$2:AG$200,)</f>
        <v/>
      </c>
      <c r="K43" s="264" t="str">
        <f t="array" ref="K43">xlookup(row()-1,Calcs!AP$2:AP$200,Display_All!AU$2:AU$200,)</f>
        <v/>
      </c>
      <c r="L43" s="264" t="str">
        <f t="array" ref="L43">xlookup(row()-1,Calcs!AP$2:AP$200,Display_All!AW$2:AW$200,)</f>
        <v/>
      </c>
      <c r="M43" s="264" t="str">
        <f t="array" ref="M43">xlookup(row()-1,Calcs!AP$2:AP$200,Display_All!AX$2:AX$200,)</f>
        <v/>
      </c>
    </row>
    <row r="44">
      <c r="A44" s="264" t="str">
        <f t="array" ref="A44">xlookup(row()-1,Calcs!AP$2:AP$200,Raw!A$2:A$200,)</f>
        <v/>
      </c>
      <c r="B44" s="264" t="str">
        <f t="array" ref="B44">xlookup(row()-1,Calcs!AP$2:AP$200,Raw!B$2:B$200,)</f>
        <v/>
      </c>
      <c r="C44" s="264" t="str">
        <f t="array" ref="C44">xlookup(row()-1,Calcs!AP$2:AP$200,Raw!I$2:I$200,)</f>
        <v/>
      </c>
      <c r="D44" s="264" t="str">
        <f t="array" ref="D44">xlookup(row()-1,Calcs!AP$2:AP$200,Raw!J$2:J$200,)</f>
        <v/>
      </c>
      <c r="E44" s="264" t="str">
        <f t="array" ref="E44">xlookup(row()-1,Calcs!AP$2:AP$200,Raw!AO$2:AO$200,)</f>
        <v/>
      </c>
      <c r="F44" s="264"/>
      <c r="G44" s="264" t="str">
        <f t="array" ref="G44">xlookup(row()-1,Calcs!AP$2:AP$200,Display_All!AC$2:AC$200,)</f>
        <v/>
      </c>
      <c r="H44" s="264" t="str">
        <f t="array" ref="H44">xlookup(row()-1,Calcs!AP$2:AP$200,Display_All!AE$2:AE$200,)</f>
        <v/>
      </c>
      <c r="I44" s="264" t="str">
        <f t="array" ref="I44">xlookup(row()-1,Calcs!AP$2:AP$200,Display_All!AH$2:AH$200,)</f>
        <v/>
      </c>
      <c r="J44" s="264" t="str">
        <f t="array" ref="J44">xlookup(row()-1,Calcs!AP$2:AP$200,Display_All!AG$2:AG$200,)</f>
        <v/>
      </c>
      <c r="K44" s="264" t="str">
        <f t="array" ref="K44">xlookup(row()-1,Calcs!AP$2:AP$200,Display_All!AU$2:AU$200,)</f>
        <v/>
      </c>
      <c r="L44" s="264" t="str">
        <f t="array" ref="L44">xlookup(row()-1,Calcs!AP$2:AP$200,Display_All!AW$2:AW$200,)</f>
        <v/>
      </c>
      <c r="M44" s="264" t="str">
        <f t="array" ref="M44">xlookup(row()-1,Calcs!AP$2:AP$200,Display_All!AX$2:AX$200,)</f>
        <v/>
      </c>
    </row>
    <row r="45">
      <c r="A45" s="264" t="str">
        <f t="array" ref="A45">xlookup(row()-1,Calcs!AP$2:AP$200,Raw!A$2:A$200,)</f>
        <v/>
      </c>
      <c r="B45" s="264" t="str">
        <f t="array" ref="B45">xlookup(row()-1,Calcs!AP$2:AP$200,Raw!B$2:B$200,)</f>
        <v/>
      </c>
      <c r="C45" s="264" t="str">
        <f t="array" ref="C45">xlookup(row()-1,Calcs!AP$2:AP$200,Raw!I$2:I$200,)</f>
        <v/>
      </c>
      <c r="D45" s="264" t="str">
        <f t="array" ref="D45">xlookup(row()-1,Calcs!AP$2:AP$200,Raw!J$2:J$200,)</f>
        <v/>
      </c>
      <c r="E45" s="264" t="str">
        <f t="array" ref="E45">xlookup(row()-1,Calcs!AP$2:AP$200,Raw!AO$2:AO$200,)</f>
        <v/>
      </c>
      <c r="F45" s="264"/>
      <c r="G45" s="264" t="str">
        <f t="array" ref="G45">xlookup(row()-1,Calcs!AP$2:AP$200,Display_All!AC$2:AC$200,)</f>
        <v/>
      </c>
      <c r="H45" s="264" t="str">
        <f t="array" ref="H45">xlookup(row()-1,Calcs!AP$2:AP$200,Display_All!AE$2:AE$200,)</f>
        <v/>
      </c>
      <c r="I45" s="264" t="str">
        <f t="array" ref="I45">xlookup(row()-1,Calcs!AP$2:AP$200,Display_All!AH$2:AH$200,)</f>
        <v/>
      </c>
      <c r="J45" s="264" t="str">
        <f t="array" ref="J45">xlookup(row()-1,Calcs!AP$2:AP$200,Display_All!AG$2:AG$200,)</f>
        <v/>
      </c>
      <c r="K45" s="264" t="str">
        <f t="array" ref="K45">xlookup(row()-1,Calcs!AP$2:AP$200,Display_All!AU$2:AU$200,)</f>
        <v/>
      </c>
      <c r="L45" s="264" t="str">
        <f t="array" ref="L45">xlookup(row()-1,Calcs!AP$2:AP$200,Display_All!AW$2:AW$200,)</f>
        <v/>
      </c>
      <c r="M45" s="264" t="str">
        <f t="array" ref="M45">xlookup(row()-1,Calcs!AP$2:AP$200,Display_All!AX$2:AX$200,)</f>
        <v/>
      </c>
    </row>
    <row r="46">
      <c r="A46" s="264" t="str">
        <f t="array" ref="A46">xlookup(row()-1,Calcs!AP$2:AP$200,Raw!A$2:A$200,)</f>
        <v/>
      </c>
      <c r="B46" s="264" t="str">
        <f t="array" ref="B46">xlookup(row()-1,Calcs!AP$2:AP$200,Raw!B$2:B$200,)</f>
        <v/>
      </c>
      <c r="C46" s="264" t="str">
        <f t="array" ref="C46">xlookup(row()-1,Calcs!AP$2:AP$200,Raw!I$2:I$200,)</f>
        <v/>
      </c>
      <c r="D46" s="264" t="str">
        <f t="array" ref="D46">xlookup(row()-1,Calcs!AP$2:AP$200,Raw!J$2:J$200,)</f>
        <v/>
      </c>
      <c r="E46" s="264" t="str">
        <f t="array" ref="E46">xlookup(row()-1,Calcs!AP$2:AP$200,Raw!AO$2:AO$200,)</f>
        <v/>
      </c>
      <c r="F46" s="264"/>
      <c r="G46" s="264" t="str">
        <f t="array" ref="G46">xlookup(row()-1,Calcs!AP$2:AP$200,Display_All!AC$2:AC$200,)</f>
        <v/>
      </c>
      <c r="H46" s="264" t="str">
        <f t="array" ref="H46">xlookup(row()-1,Calcs!AP$2:AP$200,Display_All!AE$2:AE$200,)</f>
        <v/>
      </c>
      <c r="I46" s="264" t="str">
        <f t="array" ref="I46">xlookup(row()-1,Calcs!AP$2:AP$200,Display_All!AH$2:AH$200,)</f>
        <v/>
      </c>
      <c r="J46" s="264" t="str">
        <f t="array" ref="J46">xlookup(row()-1,Calcs!AP$2:AP$200,Display_All!AG$2:AG$200,)</f>
        <v/>
      </c>
      <c r="K46" s="264" t="str">
        <f t="array" ref="K46">xlookup(row()-1,Calcs!AP$2:AP$200,Display_All!AU$2:AU$200,)</f>
        <v/>
      </c>
      <c r="L46" s="264" t="str">
        <f t="array" ref="L46">xlookup(row()-1,Calcs!AP$2:AP$200,Display_All!AW$2:AW$200,)</f>
        <v/>
      </c>
      <c r="M46" s="264" t="str">
        <f t="array" ref="M46">xlookup(row()-1,Calcs!AP$2:AP$200,Display_All!AX$2:AX$200,)</f>
        <v/>
      </c>
    </row>
    <row r="47">
      <c r="A47" s="264" t="str">
        <f t="array" ref="A47">xlookup(row()-1,Calcs!AP$2:AP$200,Raw!A$2:A$200,)</f>
        <v/>
      </c>
      <c r="B47" s="264" t="str">
        <f t="array" ref="B47">xlookup(row()-1,Calcs!AP$2:AP$200,Raw!B$2:B$200,)</f>
        <v/>
      </c>
      <c r="C47" s="264" t="str">
        <f t="array" ref="C47">xlookup(row()-1,Calcs!AP$2:AP$200,Raw!I$2:I$200,)</f>
        <v/>
      </c>
      <c r="D47" s="264" t="str">
        <f t="array" ref="D47">xlookup(row()-1,Calcs!AP$2:AP$200,Raw!J$2:J$200,)</f>
        <v/>
      </c>
      <c r="E47" s="264" t="str">
        <f t="array" ref="E47">xlookup(row()-1,Calcs!AP$2:AP$200,Raw!AO$2:AO$200,)</f>
        <v/>
      </c>
      <c r="F47" s="264"/>
      <c r="G47" s="264" t="str">
        <f t="array" ref="G47">xlookup(row()-1,Calcs!AP$2:AP$200,Display_All!AC$2:AC$200,)</f>
        <v/>
      </c>
      <c r="H47" s="264" t="str">
        <f t="array" ref="H47">xlookup(row()-1,Calcs!AP$2:AP$200,Display_All!AE$2:AE$200,)</f>
        <v/>
      </c>
      <c r="I47" s="264" t="str">
        <f t="array" ref="I47">xlookup(row()-1,Calcs!AP$2:AP$200,Display_All!AH$2:AH$200,)</f>
        <v/>
      </c>
      <c r="J47" s="264" t="str">
        <f t="array" ref="J47">xlookup(row()-1,Calcs!AP$2:AP$200,Display_All!AG$2:AG$200,)</f>
        <v/>
      </c>
      <c r="K47" s="264" t="str">
        <f t="array" ref="K47">xlookup(row()-1,Calcs!AP$2:AP$200,Display_All!AU$2:AU$200,)</f>
        <v/>
      </c>
      <c r="L47" s="264" t="str">
        <f t="array" ref="L47">xlookup(row()-1,Calcs!AP$2:AP$200,Display_All!AW$2:AW$200,)</f>
        <v/>
      </c>
      <c r="M47" s="264" t="str">
        <f t="array" ref="M47">xlookup(row()-1,Calcs!AP$2:AP$200,Display_All!AX$2:AX$200,)</f>
        <v/>
      </c>
    </row>
    <row r="48">
      <c r="A48" s="264" t="str">
        <f t="array" ref="A48">xlookup(row()-1,Calcs!AP$2:AP$200,Raw!A$2:A$200,)</f>
        <v/>
      </c>
      <c r="B48" s="264" t="str">
        <f t="array" ref="B48">xlookup(row()-1,Calcs!AP$2:AP$200,Raw!B$2:B$200,)</f>
        <v/>
      </c>
      <c r="C48" s="264" t="str">
        <f t="array" ref="C48">xlookup(row()-1,Calcs!AP$2:AP$200,Raw!I$2:I$200,)</f>
        <v/>
      </c>
      <c r="D48" s="264" t="str">
        <f t="array" ref="D48">xlookup(row()-1,Calcs!AP$2:AP$200,Raw!J$2:J$200,)</f>
        <v/>
      </c>
      <c r="E48" s="264" t="str">
        <f t="array" ref="E48">xlookup(row()-1,Calcs!AP$2:AP$200,Raw!AO$2:AO$200,)</f>
        <v/>
      </c>
      <c r="F48" s="264"/>
      <c r="G48" s="264" t="str">
        <f t="array" ref="G48">xlookup(row()-1,Calcs!AP$2:AP$200,Display_All!AC$2:AC$200,)</f>
        <v/>
      </c>
      <c r="H48" s="264" t="str">
        <f t="array" ref="H48">xlookup(row()-1,Calcs!AP$2:AP$200,Display_All!AE$2:AE$200,)</f>
        <v/>
      </c>
      <c r="I48" s="264" t="str">
        <f t="array" ref="I48">xlookup(row()-1,Calcs!AP$2:AP$200,Display_All!AH$2:AH$200,)</f>
        <v/>
      </c>
      <c r="J48" s="264" t="str">
        <f t="array" ref="J48">xlookup(row()-1,Calcs!AP$2:AP$200,Display_All!AG$2:AG$200,)</f>
        <v/>
      </c>
      <c r="K48" s="264" t="str">
        <f t="array" ref="K48">xlookup(row()-1,Calcs!AP$2:AP$200,Display_All!AU$2:AU$200,)</f>
        <v/>
      </c>
      <c r="L48" s="264" t="str">
        <f t="array" ref="L48">xlookup(row()-1,Calcs!AP$2:AP$200,Display_All!AW$2:AW$200,)</f>
        <v/>
      </c>
      <c r="M48" s="264" t="str">
        <f t="array" ref="M48">xlookup(row()-1,Calcs!AP$2:AP$200,Display_All!AX$2:AX$200,)</f>
        <v/>
      </c>
    </row>
    <row r="49">
      <c r="A49" s="264" t="str">
        <f t="array" ref="A49">xlookup(row()-1,Calcs!AP$2:AP$200,Raw!A$2:A$200,)</f>
        <v/>
      </c>
      <c r="B49" s="264" t="str">
        <f t="array" ref="B49">xlookup(row()-1,Calcs!AP$2:AP$200,Raw!B$2:B$200,)</f>
        <v/>
      </c>
      <c r="C49" s="264" t="str">
        <f t="array" ref="C49">xlookup(row()-1,Calcs!AP$2:AP$200,Raw!I$2:I$200,)</f>
        <v/>
      </c>
      <c r="D49" s="264" t="str">
        <f t="array" ref="D49">xlookup(row()-1,Calcs!AP$2:AP$200,Raw!J$2:J$200,)</f>
        <v/>
      </c>
      <c r="E49" s="264" t="str">
        <f t="array" ref="E49">xlookup(row()-1,Calcs!AP$2:AP$200,Raw!AO$2:AO$200,)</f>
        <v/>
      </c>
      <c r="F49" s="264"/>
      <c r="G49" s="264" t="str">
        <f t="array" ref="G49">xlookup(row()-1,Calcs!AP$2:AP$200,Display_All!AC$2:AC$200,)</f>
        <v/>
      </c>
      <c r="H49" s="264" t="str">
        <f t="array" ref="H49">xlookup(row()-1,Calcs!AP$2:AP$200,Display_All!AE$2:AE$200,)</f>
        <v/>
      </c>
      <c r="I49" s="264" t="str">
        <f t="array" ref="I49">xlookup(row()-1,Calcs!AP$2:AP$200,Display_All!AH$2:AH$200,)</f>
        <v/>
      </c>
      <c r="J49" s="264" t="str">
        <f t="array" ref="J49">xlookup(row()-1,Calcs!AP$2:AP$200,Display_All!AG$2:AG$200,)</f>
        <v/>
      </c>
      <c r="K49" s="264" t="str">
        <f t="array" ref="K49">xlookup(row()-1,Calcs!AP$2:AP$200,Display_All!AU$2:AU$200,)</f>
        <v/>
      </c>
      <c r="L49" s="264" t="str">
        <f t="array" ref="L49">xlookup(row()-1,Calcs!AP$2:AP$200,Display_All!AW$2:AW$200,)</f>
        <v/>
      </c>
      <c r="M49" s="264" t="str">
        <f t="array" ref="M49">xlookup(row()-1,Calcs!AP$2:AP$200,Display_All!AX$2:AX$200,)</f>
        <v/>
      </c>
    </row>
    <row r="50">
      <c r="A50" s="264" t="str">
        <f t="array" ref="A50">xlookup(row()-1,Calcs!AP$2:AP$200,Raw!A$2:A$200,)</f>
        <v/>
      </c>
      <c r="B50" s="264" t="str">
        <f t="array" ref="B50">xlookup(row()-1,Calcs!AP$2:AP$200,Raw!B$2:B$200,)</f>
        <v/>
      </c>
      <c r="C50" s="264" t="str">
        <f t="array" ref="C50">xlookup(row()-1,Calcs!AP$2:AP$200,Raw!I$2:I$200,)</f>
        <v/>
      </c>
      <c r="D50" s="264" t="str">
        <f t="array" ref="D50">xlookup(row()-1,Calcs!AP$2:AP$200,Raw!J$2:J$200,)</f>
        <v/>
      </c>
      <c r="E50" s="264" t="str">
        <f t="array" ref="E50">xlookup(row()-1,Calcs!AP$2:AP$200,Raw!AO$2:AO$200,)</f>
        <v/>
      </c>
      <c r="F50" s="264"/>
      <c r="G50" s="264" t="str">
        <f t="array" ref="G50">xlookup(row()-1,Calcs!AP$2:AP$200,Display_All!AC$2:AC$200,)</f>
        <v/>
      </c>
      <c r="H50" s="264" t="str">
        <f t="array" ref="H50">xlookup(row()-1,Calcs!AP$2:AP$200,Display_All!AE$2:AE$200,)</f>
        <v/>
      </c>
      <c r="I50" s="264" t="str">
        <f t="array" ref="I50">xlookup(row()-1,Calcs!AP$2:AP$200,Display_All!AH$2:AH$200,)</f>
        <v/>
      </c>
      <c r="J50" s="264" t="str">
        <f t="array" ref="J50">xlookup(row()-1,Calcs!AP$2:AP$200,Display_All!AG$2:AG$200,)</f>
        <v/>
      </c>
      <c r="K50" s="264" t="str">
        <f t="array" ref="K50">xlookup(row()-1,Calcs!AP$2:AP$200,Display_All!AU$2:AU$200,)</f>
        <v/>
      </c>
      <c r="L50" s="264" t="str">
        <f t="array" ref="L50">xlookup(row()-1,Calcs!AP$2:AP$200,Display_All!AW$2:AW$200,)</f>
        <v/>
      </c>
      <c r="M50" s="264" t="str">
        <f t="array" ref="M50">xlookup(row()-1,Calcs!AP$2:AP$200,Display_All!AX$2:AX$200,)</f>
        <v/>
      </c>
    </row>
    <row r="51">
      <c r="A51" s="264" t="str">
        <f t="array" ref="A51">xlookup(row()-1,Calcs!AP$2:AP$200,Raw!A$2:A$200,)</f>
        <v/>
      </c>
      <c r="B51" s="264" t="str">
        <f t="array" ref="B51">xlookup(row()-1,Calcs!AP$2:AP$200,Raw!B$2:B$200,)</f>
        <v/>
      </c>
      <c r="C51" s="264" t="str">
        <f t="array" ref="C51">xlookup(row()-1,Calcs!AP$2:AP$200,Raw!I$2:I$200,)</f>
        <v/>
      </c>
      <c r="D51" s="264" t="str">
        <f t="array" ref="D51">xlookup(row()-1,Calcs!AP$2:AP$200,Raw!J$2:J$200,)</f>
        <v/>
      </c>
      <c r="E51" s="264" t="str">
        <f t="array" ref="E51">xlookup(row()-1,Calcs!AP$2:AP$200,Raw!AO$2:AO$200,)</f>
        <v/>
      </c>
      <c r="F51" s="264"/>
      <c r="G51" s="264" t="str">
        <f t="array" ref="G51">xlookup(row()-1,Calcs!AP$2:AP$200,Display_All!AC$2:AC$200,)</f>
        <v/>
      </c>
      <c r="H51" s="264" t="str">
        <f t="array" ref="H51">xlookup(row()-1,Calcs!AP$2:AP$200,Display_All!AE$2:AE$200,)</f>
        <v/>
      </c>
      <c r="I51" s="264" t="str">
        <f t="array" ref="I51">xlookup(row()-1,Calcs!AP$2:AP$200,Display_All!AH$2:AH$200,)</f>
        <v/>
      </c>
      <c r="J51" s="264" t="str">
        <f t="array" ref="J51">xlookup(row()-1,Calcs!AP$2:AP$200,Display_All!AG$2:AG$200,)</f>
        <v/>
      </c>
      <c r="K51" s="264" t="str">
        <f t="array" ref="K51">xlookup(row()-1,Calcs!AP$2:AP$200,Display_All!AU$2:AU$200,)</f>
        <v/>
      </c>
      <c r="L51" s="264" t="str">
        <f t="array" ref="L51">xlookup(row()-1,Calcs!AP$2:AP$200,Display_All!AW$2:AW$200,)</f>
        <v/>
      </c>
      <c r="M51" s="264" t="str">
        <f t="array" ref="M51">xlookup(row()-1,Calcs!AP$2:AP$200,Display_All!AX$2:AX$200,)</f>
        <v/>
      </c>
    </row>
    <row r="52">
      <c r="A52" s="264" t="str">
        <f t="array" ref="A52">xlookup(row()-1,Calcs!AP$2:AP$200,Raw!A$2:A$200,)</f>
        <v/>
      </c>
      <c r="B52" s="264" t="str">
        <f t="array" ref="B52">xlookup(row()-1,Calcs!AP$2:AP$200,Raw!B$2:B$200,)</f>
        <v/>
      </c>
      <c r="C52" s="264" t="str">
        <f t="array" ref="C52">xlookup(row()-1,Calcs!AP$2:AP$200,Raw!I$2:I$200,)</f>
        <v/>
      </c>
      <c r="D52" s="264" t="str">
        <f t="array" ref="D52">xlookup(row()-1,Calcs!AP$2:AP$200,Raw!J$2:J$200,)</f>
        <v/>
      </c>
      <c r="E52" s="264" t="str">
        <f t="array" ref="E52">xlookup(row()-1,Calcs!AP$2:AP$200,Raw!AO$2:AO$200,)</f>
        <v/>
      </c>
      <c r="F52" s="264"/>
      <c r="G52" s="264" t="str">
        <f t="array" ref="G52">xlookup(row()-1,Calcs!AP$2:AP$200,Display_All!AC$2:AC$200,)</f>
        <v/>
      </c>
      <c r="H52" s="264" t="str">
        <f t="array" ref="H52">xlookup(row()-1,Calcs!AP$2:AP$200,Display_All!AE$2:AE$200,)</f>
        <v/>
      </c>
      <c r="I52" s="264" t="str">
        <f t="array" ref="I52">xlookup(row()-1,Calcs!AP$2:AP$200,Display_All!AH$2:AH$200,)</f>
        <v/>
      </c>
      <c r="J52" s="264" t="str">
        <f t="array" ref="J52">xlookup(row()-1,Calcs!AP$2:AP$200,Display_All!AG$2:AG$200,)</f>
        <v/>
      </c>
      <c r="K52" s="264" t="str">
        <f t="array" ref="K52">xlookup(row()-1,Calcs!AP$2:AP$200,Display_All!AU$2:AU$200,)</f>
        <v/>
      </c>
      <c r="L52" s="264" t="str">
        <f t="array" ref="L52">xlookup(row()-1,Calcs!AP$2:AP$200,Display_All!AW$2:AW$200,)</f>
        <v/>
      </c>
      <c r="M52" s="264" t="str">
        <f t="array" ref="M52">xlookup(row()-1,Calcs!AP$2:AP$200,Display_All!AX$2:AX$200,)</f>
        <v/>
      </c>
    </row>
    <row r="53">
      <c r="A53" s="264" t="str">
        <f t="array" ref="A53">xlookup(row()-1,Calcs!AP$2:AP$200,Raw!A$2:A$200,)</f>
        <v/>
      </c>
      <c r="B53" s="264" t="str">
        <f t="array" ref="B53">xlookup(row()-1,Calcs!AP$2:AP$200,Raw!B$2:B$200,)</f>
        <v/>
      </c>
      <c r="C53" s="264" t="str">
        <f t="array" ref="C53">xlookup(row()-1,Calcs!AP$2:AP$200,Raw!I$2:I$200,)</f>
        <v/>
      </c>
      <c r="D53" s="264" t="str">
        <f t="array" ref="D53">xlookup(row()-1,Calcs!AP$2:AP$200,Raw!J$2:J$200,)</f>
        <v/>
      </c>
      <c r="E53" s="264" t="str">
        <f t="array" ref="E53">xlookup(row()-1,Calcs!AP$2:AP$200,Raw!AO$2:AO$200,)</f>
        <v/>
      </c>
      <c r="F53" s="264"/>
      <c r="G53" s="264" t="str">
        <f t="array" ref="G53">xlookup(row()-1,Calcs!AP$2:AP$200,Display_All!AC$2:AC$200,)</f>
        <v/>
      </c>
      <c r="H53" s="264" t="str">
        <f t="array" ref="H53">xlookup(row()-1,Calcs!AP$2:AP$200,Display_All!AE$2:AE$200,)</f>
        <v/>
      </c>
      <c r="I53" s="264" t="str">
        <f t="array" ref="I53">xlookup(row()-1,Calcs!AP$2:AP$200,Display_All!AH$2:AH$200,)</f>
        <v/>
      </c>
      <c r="J53" s="264" t="str">
        <f t="array" ref="J53">xlookup(row()-1,Calcs!AP$2:AP$200,Display_All!AG$2:AG$200,)</f>
        <v/>
      </c>
      <c r="K53" s="264" t="str">
        <f t="array" ref="K53">xlookup(row()-1,Calcs!AP$2:AP$200,Display_All!AU$2:AU$200,)</f>
        <v/>
      </c>
      <c r="L53" s="264" t="str">
        <f t="array" ref="L53">xlookup(row()-1,Calcs!AP$2:AP$200,Display_All!AW$2:AW$200,)</f>
        <v/>
      </c>
      <c r="M53" s="264" t="str">
        <f t="array" ref="M53">xlookup(row()-1,Calcs!AP$2:AP$200,Display_All!AX$2:AX$200,)</f>
        <v/>
      </c>
    </row>
    <row r="54">
      <c r="A54" s="264" t="str">
        <f t="array" ref="A54">xlookup(row()-1,Calcs!AP$2:AP$200,Raw!A$2:A$200,)</f>
        <v/>
      </c>
      <c r="B54" s="264" t="str">
        <f t="array" ref="B54">xlookup(row()-1,Calcs!AP$2:AP$200,Raw!B$2:B$200,)</f>
        <v/>
      </c>
      <c r="C54" s="264" t="str">
        <f t="array" ref="C54">xlookup(row()-1,Calcs!AP$2:AP$200,Raw!I$2:I$200,)</f>
        <v/>
      </c>
      <c r="D54" s="264" t="str">
        <f t="array" ref="D54">xlookup(row()-1,Calcs!AP$2:AP$200,Raw!J$2:J$200,)</f>
        <v/>
      </c>
      <c r="E54" s="264" t="str">
        <f t="array" ref="E54">xlookup(row()-1,Calcs!AP$2:AP$200,Raw!AO$2:AO$200,)</f>
        <v/>
      </c>
      <c r="F54" s="264"/>
      <c r="G54" s="264" t="str">
        <f t="array" ref="G54">xlookup(row()-1,Calcs!AP$2:AP$200,Display_All!AC$2:AC$200,)</f>
        <v/>
      </c>
      <c r="H54" s="264" t="str">
        <f t="array" ref="H54">xlookup(row()-1,Calcs!AP$2:AP$200,Display_All!AE$2:AE$200,)</f>
        <v/>
      </c>
      <c r="I54" s="264" t="str">
        <f t="array" ref="I54">xlookup(row()-1,Calcs!AP$2:AP$200,Display_All!AH$2:AH$200,)</f>
        <v/>
      </c>
      <c r="J54" s="264" t="str">
        <f t="array" ref="J54">xlookup(row()-1,Calcs!AP$2:AP$200,Display_All!AG$2:AG$200,)</f>
        <v/>
      </c>
      <c r="K54" s="264" t="str">
        <f t="array" ref="K54">xlookup(row()-1,Calcs!AP$2:AP$200,Display_All!AU$2:AU$200,)</f>
        <v/>
      </c>
      <c r="L54" s="264" t="str">
        <f t="array" ref="L54">xlookup(row()-1,Calcs!AP$2:AP$200,Display_All!AW$2:AW$200,)</f>
        <v/>
      </c>
      <c r="M54" s="264" t="str">
        <f t="array" ref="M54">xlookup(row()-1,Calcs!AP$2:AP$200,Display_All!AX$2:AX$200,)</f>
        <v/>
      </c>
    </row>
    <row r="55">
      <c r="A55" s="264" t="str">
        <f t="array" ref="A55">xlookup(row()-1,Calcs!AP$2:AP$200,Raw!A$2:A$200,)</f>
        <v/>
      </c>
      <c r="B55" s="264" t="str">
        <f t="array" ref="B55">xlookup(row()-1,Calcs!AP$2:AP$200,Raw!B$2:B$200,)</f>
        <v/>
      </c>
      <c r="C55" s="264" t="str">
        <f t="array" ref="C55">xlookup(row()-1,Calcs!AP$2:AP$200,Raw!I$2:I$200,)</f>
        <v/>
      </c>
      <c r="D55" s="264" t="str">
        <f t="array" ref="D55">xlookup(row()-1,Calcs!AP$2:AP$200,Raw!J$2:J$200,)</f>
        <v/>
      </c>
      <c r="E55" s="264" t="str">
        <f t="array" ref="E55">xlookup(row()-1,Calcs!AP$2:AP$200,Raw!AO$2:AO$200,)</f>
        <v/>
      </c>
      <c r="F55" s="264"/>
      <c r="G55" s="264" t="str">
        <f t="array" ref="G55">xlookup(row()-1,Calcs!AP$2:AP$200,Display_All!AC$2:AC$200,)</f>
        <v/>
      </c>
      <c r="H55" s="264" t="str">
        <f t="array" ref="H55">xlookup(row()-1,Calcs!AP$2:AP$200,Display_All!AE$2:AE$200,)</f>
        <v/>
      </c>
      <c r="I55" s="264" t="str">
        <f t="array" ref="I55">xlookup(row()-1,Calcs!AP$2:AP$200,Display_All!AH$2:AH$200,)</f>
        <v/>
      </c>
      <c r="J55" s="264" t="str">
        <f t="array" ref="J55">xlookup(row()-1,Calcs!AP$2:AP$200,Display_All!AG$2:AG$200,)</f>
        <v/>
      </c>
      <c r="K55" s="264" t="str">
        <f t="array" ref="K55">xlookup(row()-1,Calcs!AP$2:AP$200,Display_All!AU$2:AU$200,)</f>
        <v/>
      </c>
      <c r="L55" s="264" t="str">
        <f t="array" ref="L55">xlookup(row()-1,Calcs!AP$2:AP$200,Display_All!AW$2:AW$200,)</f>
        <v/>
      </c>
      <c r="M55" s="264" t="str">
        <f t="array" ref="M55">xlookup(row()-1,Calcs!AP$2:AP$200,Display_All!AX$2:AX$200,)</f>
        <v/>
      </c>
    </row>
    <row r="56">
      <c r="A56" s="264" t="str">
        <f t="array" ref="A56">xlookup(row()-1,Calcs!AP$2:AP$200,Raw!A$2:A$200,)</f>
        <v/>
      </c>
      <c r="B56" s="264" t="str">
        <f t="array" ref="B56">xlookup(row()-1,Calcs!AP$2:AP$200,Raw!B$2:B$200,)</f>
        <v/>
      </c>
      <c r="C56" s="264" t="str">
        <f t="array" ref="C56">xlookup(row()-1,Calcs!AP$2:AP$200,Raw!I$2:I$200,)</f>
        <v/>
      </c>
      <c r="D56" s="264" t="str">
        <f t="array" ref="D56">xlookup(row()-1,Calcs!AP$2:AP$200,Raw!J$2:J$200,)</f>
        <v/>
      </c>
      <c r="E56" s="264" t="str">
        <f t="array" ref="E56">xlookup(row()-1,Calcs!AP$2:AP$200,Raw!AO$2:AO$200,)</f>
        <v/>
      </c>
      <c r="F56" s="264"/>
      <c r="G56" s="264" t="str">
        <f t="array" ref="G56">xlookup(row()-1,Calcs!AP$2:AP$200,Display_All!AC$2:AC$200,)</f>
        <v/>
      </c>
      <c r="H56" s="264" t="str">
        <f t="array" ref="H56">xlookup(row()-1,Calcs!AP$2:AP$200,Display_All!AE$2:AE$200,)</f>
        <v/>
      </c>
      <c r="I56" s="264" t="str">
        <f t="array" ref="I56">xlookup(row()-1,Calcs!AP$2:AP$200,Display_All!AH$2:AH$200,)</f>
        <v/>
      </c>
      <c r="J56" s="264" t="str">
        <f t="array" ref="J56">xlookup(row()-1,Calcs!AP$2:AP$200,Display_All!AG$2:AG$200,)</f>
        <v/>
      </c>
      <c r="K56" s="264" t="str">
        <f t="array" ref="K56">xlookup(row()-1,Calcs!AP$2:AP$200,Display_All!AU$2:AU$200,)</f>
        <v/>
      </c>
      <c r="L56" s="264" t="str">
        <f t="array" ref="L56">xlookup(row()-1,Calcs!AP$2:AP$200,Display_All!AW$2:AW$200,)</f>
        <v/>
      </c>
      <c r="M56" s="264" t="str">
        <f t="array" ref="M56">xlookup(row()-1,Calcs!AP$2:AP$200,Display_All!AX$2:AX$200,)</f>
        <v/>
      </c>
    </row>
    <row r="57">
      <c r="A57" s="264" t="str">
        <f t="array" ref="A57">xlookup(row()-1,Calcs!AP$2:AP$200,Raw!A$2:A$200,)</f>
        <v/>
      </c>
      <c r="B57" s="264" t="str">
        <f t="array" ref="B57">xlookup(row()-1,Calcs!AP$2:AP$200,Raw!B$2:B$200,)</f>
        <v/>
      </c>
      <c r="C57" s="264" t="str">
        <f t="array" ref="C57">xlookup(row()-1,Calcs!AP$2:AP$200,Raw!I$2:I$200,)</f>
        <v/>
      </c>
      <c r="D57" s="264" t="str">
        <f t="array" ref="D57">xlookup(row()-1,Calcs!AP$2:AP$200,Raw!J$2:J$200,)</f>
        <v/>
      </c>
      <c r="E57" s="264" t="str">
        <f t="array" ref="E57">xlookup(row()-1,Calcs!AP$2:AP$200,Raw!AO$2:AO$200,)</f>
        <v/>
      </c>
      <c r="F57" s="264"/>
      <c r="G57" s="264" t="str">
        <f t="array" ref="G57">xlookup(row()-1,Calcs!AP$2:AP$200,Display_All!AC$2:AC$200,)</f>
        <v/>
      </c>
      <c r="H57" s="264" t="str">
        <f t="array" ref="H57">xlookup(row()-1,Calcs!AP$2:AP$200,Display_All!AE$2:AE$200,)</f>
        <v/>
      </c>
      <c r="I57" s="264" t="str">
        <f t="array" ref="I57">xlookup(row()-1,Calcs!AP$2:AP$200,Display_All!AH$2:AH$200,)</f>
        <v/>
      </c>
      <c r="J57" s="264" t="str">
        <f t="array" ref="J57">xlookup(row()-1,Calcs!AP$2:AP$200,Display_All!AG$2:AG$200,)</f>
        <v/>
      </c>
      <c r="K57" s="264" t="str">
        <f t="array" ref="K57">xlookup(row()-1,Calcs!AP$2:AP$200,Display_All!AU$2:AU$200,)</f>
        <v/>
      </c>
      <c r="L57" s="264" t="str">
        <f t="array" ref="L57">xlookup(row()-1,Calcs!AP$2:AP$200,Display_All!AW$2:AW$200,)</f>
        <v/>
      </c>
      <c r="M57" s="264" t="str">
        <f t="array" ref="M57">xlookup(row()-1,Calcs!AP$2:AP$200,Display_All!AX$2:AX$200,)</f>
        <v/>
      </c>
    </row>
    <row r="58">
      <c r="A58" s="264" t="str">
        <f t="array" ref="A58">xlookup(row()-1,Calcs!AP$2:AP$200,Raw!A$2:A$200,)</f>
        <v/>
      </c>
      <c r="B58" s="264" t="str">
        <f t="array" ref="B58">xlookup(row()-1,Calcs!AP$2:AP$200,Raw!B$2:B$200,)</f>
        <v/>
      </c>
      <c r="C58" s="264" t="str">
        <f t="array" ref="C58">xlookup(row()-1,Calcs!AP$2:AP$200,Raw!I$2:I$200,)</f>
        <v/>
      </c>
      <c r="D58" s="264" t="str">
        <f t="array" ref="D58">xlookup(row()-1,Calcs!AP$2:AP$200,Raw!J$2:J$200,)</f>
        <v/>
      </c>
      <c r="E58" s="264" t="str">
        <f t="array" ref="E58">xlookup(row()-1,Calcs!AP$2:AP$200,Raw!AO$2:AO$200,)</f>
        <v/>
      </c>
      <c r="F58" s="264"/>
      <c r="G58" s="264" t="str">
        <f t="array" ref="G58">xlookup(row()-1,Calcs!AP$2:AP$200,Display_All!AC$2:AC$200,)</f>
        <v/>
      </c>
      <c r="H58" s="264" t="str">
        <f t="array" ref="H58">xlookup(row()-1,Calcs!AP$2:AP$200,Display_All!AE$2:AE$200,)</f>
        <v/>
      </c>
      <c r="I58" s="264" t="str">
        <f t="array" ref="I58">xlookup(row()-1,Calcs!AP$2:AP$200,Display_All!AH$2:AH$200,)</f>
        <v/>
      </c>
      <c r="J58" s="264" t="str">
        <f t="array" ref="J58">xlookup(row()-1,Calcs!AP$2:AP$200,Display_All!AG$2:AG$200,)</f>
        <v/>
      </c>
      <c r="K58" s="264" t="str">
        <f t="array" ref="K58">xlookup(row()-1,Calcs!AP$2:AP$200,Display_All!AU$2:AU$200,)</f>
        <v/>
      </c>
      <c r="L58" s="264" t="str">
        <f t="array" ref="L58">xlookup(row()-1,Calcs!AP$2:AP$200,Display_All!AW$2:AW$200,)</f>
        <v/>
      </c>
      <c r="M58" s="264" t="str">
        <f t="array" ref="M58">xlookup(row()-1,Calcs!AP$2:AP$200,Display_All!AX$2:AX$200,)</f>
        <v/>
      </c>
    </row>
    <row r="59">
      <c r="A59" s="264" t="str">
        <f t="array" ref="A59">xlookup(row()-1,Calcs!AP$2:AP$200,Raw!A$2:A$200,)</f>
        <v/>
      </c>
      <c r="B59" s="264" t="str">
        <f t="array" ref="B59">xlookup(row()-1,Calcs!AP$2:AP$200,Raw!B$2:B$200,)</f>
        <v/>
      </c>
      <c r="C59" s="264" t="str">
        <f t="array" ref="C59">xlookup(row()-1,Calcs!AP$2:AP$200,Raw!I$2:I$200,)</f>
        <v/>
      </c>
      <c r="D59" s="264" t="str">
        <f t="array" ref="D59">xlookup(row()-1,Calcs!AP$2:AP$200,Raw!J$2:J$200,)</f>
        <v/>
      </c>
      <c r="E59" s="264" t="str">
        <f t="array" ref="E59">xlookup(row()-1,Calcs!AP$2:AP$200,Raw!AO$2:AO$200,)</f>
        <v/>
      </c>
      <c r="F59" s="264"/>
      <c r="G59" s="264" t="str">
        <f t="array" ref="G59">xlookup(row()-1,Calcs!AP$2:AP$200,Display_All!AC$2:AC$200,)</f>
        <v/>
      </c>
      <c r="H59" s="264" t="str">
        <f t="array" ref="H59">xlookup(row()-1,Calcs!AP$2:AP$200,Display_All!AE$2:AE$200,)</f>
        <v/>
      </c>
      <c r="I59" s="264" t="str">
        <f t="array" ref="I59">xlookup(row()-1,Calcs!AP$2:AP$200,Display_All!AH$2:AH$200,)</f>
        <v/>
      </c>
      <c r="J59" s="264" t="str">
        <f t="array" ref="J59">xlookup(row()-1,Calcs!AP$2:AP$200,Display_All!AG$2:AG$200,)</f>
        <v/>
      </c>
      <c r="K59" s="264" t="str">
        <f t="array" ref="K59">xlookup(row()-1,Calcs!AP$2:AP$200,Display_All!AU$2:AU$200,)</f>
        <v/>
      </c>
      <c r="L59" s="264" t="str">
        <f t="array" ref="L59">xlookup(row()-1,Calcs!AP$2:AP$200,Display_All!AW$2:AW$200,)</f>
        <v/>
      </c>
      <c r="M59" s="264" t="str">
        <f t="array" ref="M59">xlookup(row()-1,Calcs!AP$2:AP$200,Display_All!AX$2:AX$200,)</f>
        <v/>
      </c>
    </row>
    <row r="60">
      <c r="A60" s="264" t="str">
        <f t="array" ref="A60">xlookup(row()-1,Calcs!AP$2:AP$200,Raw!A$2:A$200,)</f>
        <v/>
      </c>
      <c r="B60" s="264" t="str">
        <f t="array" ref="B60">xlookup(row()-1,Calcs!AP$2:AP$200,Raw!B$2:B$200,)</f>
        <v/>
      </c>
      <c r="C60" s="264" t="str">
        <f t="array" ref="C60">xlookup(row()-1,Calcs!AP$2:AP$200,Raw!I$2:I$200,)</f>
        <v/>
      </c>
      <c r="D60" s="264" t="str">
        <f t="array" ref="D60">xlookup(row()-1,Calcs!AP$2:AP$200,Raw!J$2:J$200,)</f>
        <v/>
      </c>
      <c r="E60" s="264" t="str">
        <f t="array" ref="E60">xlookup(row()-1,Calcs!AP$2:AP$200,Raw!AO$2:AO$200,)</f>
        <v/>
      </c>
      <c r="F60" s="264"/>
      <c r="G60" s="264" t="str">
        <f t="array" ref="G60">xlookup(row()-1,Calcs!AP$2:AP$200,Display_All!AC$2:AC$200,)</f>
        <v/>
      </c>
      <c r="H60" s="264" t="str">
        <f t="array" ref="H60">xlookup(row()-1,Calcs!AP$2:AP$200,Display_All!AE$2:AE$200,)</f>
        <v/>
      </c>
      <c r="I60" s="264" t="str">
        <f t="array" ref="I60">xlookup(row()-1,Calcs!AP$2:AP$200,Display_All!AH$2:AH$200,)</f>
        <v/>
      </c>
      <c r="J60" s="264" t="str">
        <f t="array" ref="J60">xlookup(row()-1,Calcs!AP$2:AP$200,Display_All!AG$2:AG$200,)</f>
        <v/>
      </c>
      <c r="K60" s="264" t="str">
        <f t="array" ref="K60">xlookup(row()-1,Calcs!AP$2:AP$200,Display_All!AU$2:AU$200,)</f>
        <v/>
      </c>
      <c r="L60" s="264" t="str">
        <f t="array" ref="L60">xlookup(row()-1,Calcs!AP$2:AP$200,Display_All!AW$2:AW$200,)</f>
        <v/>
      </c>
      <c r="M60" s="264" t="str">
        <f t="array" ref="M60">xlookup(row()-1,Calcs!AP$2:AP$200,Display_All!AX$2:AX$200,)</f>
        <v/>
      </c>
    </row>
    <row r="61">
      <c r="A61" s="264" t="str">
        <f t="array" ref="A61">xlookup(row()-1,Calcs!AP$2:AP$200,Raw!A$2:A$200,)</f>
        <v/>
      </c>
      <c r="B61" s="264" t="str">
        <f t="array" ref="B61">xlookup(row()-1,Calcs!AP$2:AP$200,Raw!B$2:B$200,)</f>
        <v/>
      </c>
      <c r="C61" s="264" t="str">
        <f t="array" ref="C61">xlookup(row()-1,Calcs!AP$2:AP$200,Raw!I$2:I$200,)</f>
        <v/>
      </c>
      <c r="D61" s="264" t="str">
        <f t="array" ref="D61">xlookup(row()-1,Calcs!AP$2:AP$200,Raw!J$2:J$200,)</f>
        <v/>
      </c>
      <c r="E61" s="264" t="str">
        <f t="array" ref="E61">xlookup(row()-1,Calcs!AP$2:AP$200,Raw!AO$2:AO$200,)</f>
        <v/>
      </c>
      <c r="F61" s="264"/>
      <c r="G61" s="264" t="str">
        <f t="array" ref="G61">xlookup(row()-1,Calcs!AP$2:AP$200,Display_All!AC$2:AC$200,)</f>
        <v/>
      </c>
      <c r="H61" s="264" t="str">
        <f t="array" ref="H61">xlookup(row()-1,Calcs!AP$2:AP$200,Display_All!AE$2:AE$200,)</f>
        <v/>
      </c>
      <c r="I61" s="264" t="str">
        <f t="array" ref="I61">xlookup(row()-1,Calcs!AP$2:AP$200,Display_All!AH$2:AH$200,)</f>
        <v/>
      </c>
      <c r="J61" s="264" t="str">
        <f t="array" ref="J61">xlookup(row()-1,Calcs!AP$2:AP$200,Display_All!AG$2:AG$200,)</f>
        <v/>
      </c>
      <c r="K61" s="264" t="str">
        <f t="array" ref="K61">xlookup(row()-1,Calcs!AP$2:AP$200,Display_All!AU$2:AU$200,)</f>
        <v/>
      </c>
      <c r="L61" s="264" t="str">
        <f t="array" ref="L61">xlookup(row()-1,Calcs!AP$2:AP$200,Display_All!AW$2:AW$200,)</f>
        <v/>
      </c>
      <c r="M61" s="264" t="str">
        <f t="array" ref="M61">xlookup(row()-1,Calcs!AP$2:AP$200,Display_All!AX$2:AX$200,)</f>
        <v/>
      </c>
    </row>
    <row r="62">
      <c r="A62" s="264" t="str">
        <f t="array" ref="A62">xlookup(row()-1,Calcs!AP$2:AP$200,Raw!A$2:A$200,)</f>
        <v/>
      </c>
      <c r="B62" s="264" t="str">
        <f t="array" ref="B62">xlookup(row()-1,Calcs!AP$2:AP$200,Raw!B$2:B$200,)</f>
        <v/>
      </c>
      <c r="C62" s="264" t="str">
        <f t="array" ref="C62">xlookup(row()-1,Calcs!AP$2:AP$200,Raw!I$2:I$200,)</f>
        <v/>
      </c>
      <c r="D62" s="264" t="str">
        <f t="array" ref="D62">xlookup(row()-1,Calcs!AP$2:AP$200,Raw!J$2:J$200,)</f>
        <v/>
      </c>
      <c r="E62" s="264" t="str">
        <f t="array" ref="E62">xlookup(row()-1,Calcs!AP$2:AP$200,Raw!AO$2:AO$200,)</f>
        <v/>
      </c>
      <c r="F62" s="264"/>
      <c r="G62" s="264" t="str">
        <f t="array" ref="G62">xlookup(row()-1,Calcs!AP$2:AP$200,Display_All!AC$2:AC$200,)</f>
        <v/>
      </c>
      <c r="H62" s="264" t="str">
        <f t="array" ref="H62">xlookup(row()-1,Calcs!AP$2:AP$200,Display_All!AE$2:AE$200,)</f>
        <v/>
      </c>
      <c r="I62" s="264" t="str">
        <f t="array" ref="I62">xlookup(row()-1,Calcs!AP$2:AP$200,Display_All!AH$2:AH$200,)</f>
        <v/>
      </c>
      <c r="J62" s="264" t="str">
        <f t="array" ref="J62">xlookup(row()-1,Calcs!AP$2:AP$200,Display_All!AG$2:AG$200,)</f>
        <v/>
      </c>
      <c r="K62" s="264" t="str">
        <f t="array" ref="K62">xlookup(row()-1,Calcs!AP$2:AP$200,Display_All!AU$2:AU$200,)</f>
        <v/>
      </c>
      <c r="L62" s="264" t="str">
        <f t="array" ref="L62">xlookup(row()-1,Calcs!AP$2:AP$200,Display_All!AW$2:AW$200,)</f>
        <v/>
      </c>
      <c r="M62" s="264" t="str">
        <f t="array" ref="M62">xlookup(row()-1,Calcs!AP$2:AP$200,Display_All!AX$2:AX$200,)</f>
        <v/>
      </c>
    </row>
    <row r="63">
      <c r="A63" s="264" t="str">
        <f t="array" ref="A63">xlookup(row()-1,Calcs!AP$2:AP$200,Raw!A$2:A$200,)</f>
        <v/>
      </c>
      <c r="B63" s="264" t="str">
        <f t="array" ref="B63">xlookup(row()-1,Calcs!AP$2:AP$200,Raw!B$2:B$200,)</f>
        <v/>
      </c>
      <c r="C63" s="264" t="str">
        <f t="array" ref="C63">xlookup(row()-1,Calcs!AP$2:AP$200,Raw!I$2:I$200,)</f>
        <v/>
      </c>
      <c r="D63" s="264" t="str">
        <f t="array" ref="D63">xlookup(row()-1,Calcs!AP$2:AP$200,Raw!J$2:J$200,)</f>
        <v/>
      </c>
      <c r="E63" s="264" t="str">
        <f t="array" ref="E63">xlookup(row()-1,Calcs!AP$2:AP$200,Raw!AO$2:AO$200,)</f>
        <v/>
      </c>
      <c r="F63" s="264"/>
      <c r="G63" s="264" t="str">
        <f t="array" ref="G63">xlookup(row()-1,Calcs!AP$2:AP$200,Display_All!AC$2:AC$200,)</f>
        <v/>
      </c>
      <c r="H63" s="264" t="str">
        <f t="array" ref="H63">xlookup(row()-1,Calcs!AP$2:AP$200,Display_All!AE$2:AE$200,)</f>
        <v/>
      </c>
      <c r="I63" s="264" t="str">
        <f t="array" ref="I63">xlookup(row()-1,Calcs!AP$2:AP$200,Display_All!AH$2:AH$200,)</f>
        <v/>
      </c>
      <c r="J63" s="264" t="str">
        <f t="array" ref="J63">xlookup(row()-1,Calcs!AP$2:AP$200,Display_All!AG$2:AG$200,)</f>
        <v/>
      </c>
      <c r="K63" s="264" t="str">
        <f t="array" ref="K63">xlookup(row()-1,Calcs!AP$2:AP$200,Display_All!AU$2:AU$200,)</f>
        <v/>
      </c>
      <c r="L63" s="264" t="str">
        <f t="array" ref="L63">xlookup(row()-1,Calcs!AP$2:AP$200,Display_All!AW$2:AW$200,)</f>
        <v/>
      </c>
      <c r="M63" s="264" t="str">
        <f t="array" ref="M63">xlookup(row()-1,Calcs!AP$2:AP$200,Display_All!AX$2:AX$200,)</f>
        <v/>
      </c>
    </row>
    <row r="64">
      <c r="A64" s="264" t="str">
        <f t="array" ref="A64">xlookup(row()-1,Calcs!AP$2:AP$200,Raw!A$2:A$200,)</f>
        <v/>
      </c>
      <c r="B64" s="264" t="str">
        <f t="array" ref="B64">xlookup(row()-1,Calcs!AP$2:AP$200,Raw!B$2:B$200,)</f>
        <v/>
      </c>
      <c r="C64" s="264" t="str">
        <f t="array" ref="C64">xlookup(row()-1,Calcs!AP$2:AP$200,Raw!I$2:I$200,)</f>
        <v/>
      </c>
      <c r="D64" s="264" t="str">
        <f t="array" ref="D64">xlookup(row()-1,Calcs!AP$2:AP$200,Raw!J$2:J$200,)</f>
        <v/>
      </c>
      <c r="E64" s="264" t="str">
        <f t="array" ref="E64">xlookup(row()-1,Calcs!AP$2:AP$200,Raw!AO$2:AO$200,)</f>
        <v/>
      </c>
      <c r="F64" s="264"/>
      <c r="G64" s="264" t="str">
        <f t="array" ref="G64">xlookup(row()-1,Calcs!AP$2:AP$200,Display_All!AC$2:AC$200,)</f>
        <v/>
      </c>
      <c r="H64" s="264" t="str">
        <f t="array" ref="H64">xlookup(row()-1,Calcs!AP$2:AP$200,Display_All!AE$2:AE$200,)</f>
        <v/>
      </c>
      <c r="I64" s="264" t="str">
        <f t="array" ref="I64">xlookup(row()-1,Calcs!AP$2:AP$200,Display_All!AH$2:AH$200,)</f>
        <v/>
      </c>
      <c r="J64" s="264" t="str">
        <f t="array" ref="J64">xlookup(row()-1,Calcs!AP$2:AP$200,Display_All!AG$2:AG$200,)</f>
        <v/>
      </c>
      <c r="K64" s="264" t="str">
        <f t="array" ref="K64">xlookup(row()-1,Calcs!AP$2:AP$200,Display_All!AU$2:AU$200,)</f>
        <v/>
      </c>
      <c r="L64" s="264" t="str">
        <f t="array" ref="L64">xlookup(row()-1,Calcs!AP$2:AP$200,Display_All!AW$2:AW$200,)</f>
        <v/>
      </c>
      <c r="M64" s="264" t="str">
        <f t="array" ref="M64">xlookup(row()-1,Calcs!AP$2:AP$200,Display_All!AX$2:AX$200,)</f>
        <v/>
      </c>
    </row>
    <row r="65">
      <c r="A65" s="264" t="str">
        <f t="array" ref="A65">xlookup(row()-1,Calcs!AP$2:AP$200,Raw!A$2:A$200,)</f>
        <v/>
      </c>
      <c r="B65" s="264" t="str">
        <f t="array" ref="B65">xlookup(row()-1,Calcs!AP$2:AP$200,Raw!B$2:B$200,)</f>
        <v/>
      </c>
      <c r="C65" s="264" t="str">
        <f t="array" ref="C65">xlookup(row()-1,Calcs!AP$2:AP$200,Raw!I$2:I$200,)</f>
        <v/>
      </c>
      <c r="D65" s="264" t="str">
        <f t="array" ref="D65">xlookup(row()-1,Calcs!AP$2:AP$200,Raw!J$2:J$200,)</f>
        <v/>
      </c>
      <c r="E65" s="264" t="str">
        <f t="array" ref="E65">xlookup(row()-1,Calcs!AP$2:AP$200,Raw!AO$2:AO$200,)</f>
        <v/>
      </c>
      <c r="F65" s="264"/>
      <c r="G65" s="264" t="str">
        <f t="array" ref="G65">xlookup(row()-1,Calcs!AP$2:AP$200,Display_All!AC$2:AC$200,)</f>
        <v/>
      </c>
      <c r="H65" s="264" t="str">
        <f t="array" ref="H65">xlookup(row()-1,Calcs!AP$2:AP$200,Display_All!AE$2:AE$200,)</f>
        <v/>
      </c>
      <c r="I65" s="264" t="str">
        <f t="array" ref="I65">xlookup(row()-1,Calcs!AP$2:AP$200,Display_All!AH$2:AH$200,)</f>
        <v/>
      </c>
      <c r="J65" s="264" t="str">
        <f t="array" ref="J65">xlookup(row()-1,Calcs!AP$2:AP$200,Display_All!AG$2:AG$200,)</f>
        <v/>
      </c>
      <c r="K65" s="264" t="str">
        <f t="array" ref="K65">xlookup(row()-1,Calcs!AP$2:AP$200,Display_All!AU$2:AU$200,)</f>
        <v/>
      </c>
      <c r="L65" s="264" t="str">
        <f t="array" ref="L65">xlookup(row()-1,Calcs!AP$2:AP$200,Display_All!AW$2:AW$200,)</f>
        <v/>
      </c>
      <c r="M65" s="264" t="str">
        <f t="array" ref="M65">xlookup(row()-1,Calcs!AP$2:AP$200,Display_All!AX$2:AX$200,)</f>
        <v/>
      </c>
    </row>
    <row r="66">
      <c r="A66" s="264" t="str">
        <f t="array" ref="A66">xlookup(row()-1,Calcs!AP$2:AP$200,Raw!A$2:A$200,)</f>
        <v/>
      </c>
      <c r="B66" s="264" t="str">
        <f t="array" ref="B66">xlookup(row()-1,Calcs!AP$2:AP$200,Raw!B$2:B$200,)</f>
        <v/>
      </c>
      <c r="C66" s="264" t="str">
        <f t="array" ref="C66">xlookup(row()-1,Calcs!AP$2:AP$200,Raw!I$2:I$200,)</f>
        <v/>
      </c>
      <c r="D66" s="264" t="str">
        <f t="array" ref="D66">xlookup(row()-1,Calcs!AP$2:AP$200,Raw!J$2:J$200,)</f>
        <v/>
      </c>
      <c r="E66" s="264" t="str">
        <f t="array" ref="E66">xlookup(row()-1,Calcs!AP$2:AP$200,Raw!AO$2:AO$200,)</f>
        <v/>
      </c>
      <c r="F66" s="264"/>
      <c r="G66" s="264" t="str">
        <f t="array" ref="G66">xlookup(row()-1,Calcs!AP$2:AP$200,Display_All!AC$2:AC$200,)</f>
        <v/>
      </c>
      <c r="H66" s="264" t="str">
        <f t="array" ref="H66">xlookup(row()-1,Calcs!AP$2:AP$200,Display_All!AE$2:AE$200,)</f>
        <v/>
      </c>
      <c r="I66" s="264" t="str">
        <f t="array" ref="I66">xlookup(row()-1,Calcs!AP$2:AP$200,Display_All!AH$2:AH$200,)</f>
        <v/>
      </c>
      <c r="J66" s="264" t="str">
        <f t="array" ref="J66">xlookup(row()-1,Calcs!AP$2:AP$200,Display_All!AG$2:AG$200,)</f>
        <v/>
      </c>
      <c r="K66" s="264" t="str">
        <f t="array" ref="K66">xlookup(row()-1,Calcs!AP$2:AP$200,Display_All!AU$2:AU$200,)</f>
        <v/>
      </c>
      <c r="L66" s="264" t="str">
        <f t="array" ref="L66">xlookup(row()-1,Calcs!AP$2:AP$200,Display_All!AW$2:AW$200,)</f>
        <v/>
      </c>
      <c r="M66" s="264" t="str">
        <f t="array" ref="M66">xlookup(row()-1,Calcs!AP$2:AP$200,Display_All!AX$2:AX$200,)</f>
        <v/>
      </c>
    </row>
    <row r="67">
      <c r="A67" s="264" t="str">
        <f t="array" ref="A67">xlookup(row()-1,Calcs!AP$2:AP$200,Raw!A$2:A$200,)</f>
        <v/>
      </c>
      <c r="B67" s="264" t="str">
        <f t="array" ref="B67">xlookup(row()-1,Calcs!AP$2:AP$200,Raw!B$2:B$200,)</f>
        <v/>
      </c>
      <c r="C67" s="264" t="str">
        <f t="array" ref="C67">xlookup(row()-1,Calcs!AP$2:AP$200,Raw!I$2:I$200,)</f>
        <v/>
      </c>
      <c r="D67" s="264" t="str">
        <f t="array" ref="D67">xlookup(row()-1,Calcs!AP$2:AP$200,Raw!J$2:J$200,)</f>
        <v/>
      </c>
      <c r="E67" s="264" t="str">
        <f t="array" ref="E67">xlookup(row()-1,Calcs!AP$2:AP$200,Raw!AO$2:AO$200,)</f>
        <v/>
      </c>
      <c r="F67" s="264"/>
      <c r="G67" s="264" t="str">
        <f t="array" ref="G67">xlookup(row()-1,Calcs!AP$2:AP$200,Display_All!AC$2:AC$200,)</f>
        <v/>
      </c>
      <c r="H67" s="264" t="str">
        <f t="array" ref="H67">xlookup(row()-1,Calcs!AP$2:AP$200,Display_All!AE$2:AE$200,)</f>
        <v/>
      </c>
      <c r="I67" s="264" t="str">
        <f t="array" ref="I67">xlookup(row()-1,Calcs!AP$2:AP$200,Display_All!AH$2:AH$200,)</f>
        <v/>
      </c>
      <c r="J67" s="264" t="str">
        <f t="array" ref="J67">xlookup(row()-1,Calcs!AP$2:AP$200,Display_All!AG$2:AG$200,)</f>
        <v/>
      </c>
      <c r="K67" s="264" t="str">
        <f t="array" ref="K67">xlookup(row()-1,Calcs!AP$2:AP$200,Display_All!AU$2:AU$200,)</f>
        <v/>
      </c>
      <c r="L67" s="264" t="str">
        <f t="array" ref="L67">xlookup(row()-1,Calcs!AP$2:AP$200,Display_All!AW$2:AW$200,)</f>
        <v/>
      </c>
      <c r="M67" s="264" t="str">
        <f t="array" ref="M67">xlookup(row()-1,Calcs!AP$2:AP$200,Display_All!AX$2:AX$200,)</f>
        <v/>
      </c>
    </row>
    <row r="68">
      <c r="A68" s="264" t="str">
        <f t="array" ref="A68">xlookup(row()-1,Calcs!AP$2:AP$200,Raw!A$2:A$200,)</f>
        <v/>
      </c>
      <c r="B68" s="264" t="str">
        <f t="array" ref="B68">xlookup(row()-1,Calcs!AP$2:AP$200,Raw!B$2:B$200,)</f>
        <v/>
      </c>
      <c r="C68" s="264" t="str">
        <f t="array" ref="C68">xlookup(row()-1,Calcs!AP$2:AP$200,Raw!I$2:I$200,)</f>
        <v/>
      </c>
      <c r="D68" s="264" t="str">
        <f t="array" ref="D68">xlookup(row()-1,Calcs!AP$2:AP$200,Raw!J$2:J$200,)</f>
        <v/>
      </c>
      <c r="E68" s="264" t="str">
        <f t="array" ref="E68">xlookup(row()-1,Calcs!AP$2:AP$200,Raw!AO$2:AO$200,)</f>
        <v/>
      </c>
      <c r="F68" s="264"/>
      <c r="G68" s="264" t="str">
        <f t="array" ref="G68">xlookup(row()-1,Calcs!AP$2:AP$200,Display_All!AC$2:AC$200,)</f>
        <v/>
      </c>
      <c r="H68" s="264" t="str">
        <f t="array" ref="H68">xlookup(row()-1,Calcs!AP$2:AP$200,Display_All!AE$2:AE$200,)</f>
        <v/>
      </c>
      <c r="I68" s="264" t="str">
        <f t="array" ref="I68">xlookup(row()-1,Calcs!AP$2:AP$200,Display_All!AH$2:AH$200,)</f>
        <v/>
      </c>
      <c r="J68" s="264" t="str">
        <f t="array" ref="J68">xlookup(row()-1,Calcs!AP$2:AP$200,Display_All!AG$2:AG$200,)</f>
        <v/>
      </c>
      <c r="K68" s="264" t="str">
        <f t="array" ref="K68">xlookup(row()-1,Calcs!AP$2:AP$200,Display_All!AU$2:AU$200,)</f>
        <v/>
      </c>
      <c r="L68" s="264" t="str">
        <f t="array" ref="L68">xlookup(row()-1,Calcs!AP$2:AP$200,Display_All!AW$2:AW$200,)</f>
        <v/>
      </c>
      <c r="M68" s="264" t="str">
        <f t="array" ref="M68">xlookup(row()-1,Calcs!AP$2:AP$200,Display_All!AX$2:AX$200,)</f>
        <v/>
      </c>
    </row>
    <row r="69">
      <c r="A69" s="264" t="str">
        <f t="array" ref="A69">xlookup(row()-1,Calcs!AP$2:AP$200,Raw!A$2:A$200,)</f>
        <v/>
      </c>
      <c r="B69" s="264" t="str">
        <f t="array" ref="B69">xlookup(row()-1,Calcs!AP$2:AP$200,Raw!B$2:B$200,)</f>
        <v/>
      </c>
      <c r="C69" s="264" t="str">
        <f t="array" ref="C69">xlookup(row()-1,Calcs!AP$2:AP$200,Raw!I$2:I$200,)</f>
        <v/>
      </c>
      <c r="D69" s="264" t="str">
        <f t="array" ref="D69">xlookup(row()-1,Calcs!AP$2:AP$200,Raw!J$2:J$200,)</f>
        <v/>
      </c>
      <c r="E69" s="264" t="str">
        <f t="array" ref="E69">xlookup(row()-1,Calcs!AP$2:AP$200,Raw!AO$2:AO$200,)</f>
        <v/>
      </c>
      <c r="F69" s="264"/>
      <c r="G69" s="264" t="str">
        <f t="array" ref="G69">xlookup(row()-1,Calcs!AP$2:AP$200,Display_All!AC$2:AC$200,)</f>
        <v/>
      </c>
      <c r="H69" s="264" t="str">
        <f t="array" ref="H69">xlookup(row()-1,Calcs!AP$2:AP$200,Display_All!AE$2:AE$200,)</f>
        <v/>
      </c>
      <c r="I69" s="264" t="str">
        <f t="array" ref="I69">xlookup(row()-1,Calcs!AP$2:AP$200,Display_All!AH$2:AH$200,)</f>
        <v/>
      </c>
      <c r="J69" s="264" t="str">
        <f t="array" ref="J69">xlookup(row()-1,Calcs!AP$2:AP$200,Display_All!AG$2:AG$200,)</f>
        <v/>
      </c>
      <c r="K69" s="264" t="str">
        <f t="array" ref="K69">xlookup(row()-1,Calcs!AP$2:AP$200,Display_All!AU$2:AU$200,)</f>
        <v/>
      </c>
      <c r="L69" s="264" t="str">
        <f t="array" ref="L69">xlookup(row()-1,Calcs!AP$2:AP$200,Display_All!AW$2:AW$200,)</f>
        <v/>
      </c>
      <c r="M69" s="264" t="str">
        <f t="array" ref="M69">xlookup(row()-1,Calcs!AP$2:AP$200,Display_All!AX$2:AX$200,)</f>
        <v/>
      </c>
    </row>
    <row r="70">
      <c r="A70" s="264" t="str">
        <f t="array" ref="A70">xlookup(row()-1,Calcs!AP$2:AP$200,Raw!A$2:A$200,)</f>
        <v/>
      </c>
      <c r="B70" s="264" t="str">
        <f t="array" ref="B70">xlookup(row()-1,Calcs!AP$2:AP$200,Raw!B$2:B$200,)</f>
        <v/>
      </c>
      <c r="C70" s="264" t="str">
        <f t="array" ref="C70">xlookup(row()-1,Calcs!AP$2:AP$200,Raw!I$2:I$200,)</f>
        <v/>
      </c>
      <c r="D70" s="264" t="str">
        <f t="array" ref="D70">xlookup(row()-1,Calcs!AP$2:AP$200,Raw!J$2:J$200,)</f>
        <v/>
      </c>
      <c r="E70" s="264" t="str">
        <f t="array" ref="E70">xlookup(row()-1,Calcs!AP$2:AP$200,Raw!AO$2:AO$200,)</f>
        <v/>
      </c>
      <c r="F70" s="264"/>
      <c r="G70" s="264" t="str">
        <f t="array" ref="G70">xlookup(row()-1,Calcs!AP$2:AP$200,Display_All!AC$2:AC$200,)</f>
        <v/>
      </c>
      <c r="H70" s="264" t="str">
        <f t="array" ref="H70">xlookup(row()-1,Calcs!AP$2:AP$200,Display_All!AE$2:AE$200,)</f>
        <v/>
      </c>
      <c r="I70" s="264" t="str">
        <f t="array" ref="I70">xlookup(row()-1,Calcs!AP$2:AP$200,Display_All!AH$2:AH$200,)</f>
        <v/>
      </c>
      <c r="J70" s="264" t="str">
        <f t="array" ref="J70">xlookup(row()-1,Calcs!AP$2:AP$200,Display_All!AG$2:AG$200,)</f>
        <v/>
      </c>
      <c r="K70" s="264" t="str">
        <f t="array" ref="K70">xlookup(row()-1,Calcs!AP$2:AP$200,Display_All!AU$2:AU$200,)</f>
        <v/>
      </c>
      <c r="L70" s="264" t="str">
        <f t="array" ref="L70">xlookup(row()-1,Calcs!AP$2:AP$200,Display_All!AW$2:AW$200,)</f>
        <v/>
      </c>
      <c r="M70" s="264" t="str">
        <f t="array" ref="M70">xlookup(row()-1,Calcs!AP$2:AP$200,Display_All!AX$2:AX$200,)</f>
        <v/>
      </c>
    </row>
    <row r="71">
      <c r="A71" s="264" t="str">
        <f t="array" ref="A71">xlookup(row()-1,Calcs!AP$2:AP$200,Raw!A$2:A$200,)</f>
        <v/>
      </c>
      <c r="B71" s="264" t="str">
        <f t="array" ref="B71">xlookup(row()-1,Calcs!AP$2:AP$200,Raw!B$2:B$200,)</f>
        <v/>
      </c>
      <c r="C71" s="264" t="str">
        <f t="array" ref="C71">xlookup(row()-1,Calcs!AP$2:AP$200,Raw!I$2:I$200,)</f>
        <v/>
      </c>
      <c r="D71" s="264" t="str">
        <f t="array" ref="D71">xlookup(row()-1,Calcs!AP$2:AP$200,Raw!J$2:J$200,)</f>
        <v/>
      </c>
      <c r="E71" s="264" t="str">
        <f t="array" ref="E71">xlookup(row()-1,Calcs!AP$2:AP$200,Raw!AO$2:AO$200,)</f>
        <v/>
      </c>
      <c r="F71" s="264"/>
      <c r="G71" s="264" t="str">
        <f t="array" ref="G71">xlookup(row()-1,Calcs!AP$2:AP$200,Display_All!AC$2:AC$200,)</f>
        <v/>
      </c>
      <c r="H71" s="264" t="str">
        <f t="array" ref="H71">xlookup(row()-1,Calcs!AP$2:AP$200,Display_All!AE$2:AE$200,)</f>
        <v/>
      </c>
      <c r="I71" s="264" t="str">
        <f t="array" ref="I71">xlookup(row()-1,Calcs!AP$2:AP$200,Display_All!AH$2:AH$200,)</f>
        <v/>
      </c>
      <c r="J71" s="264" t="str">
        <f t="array" ref="J71">xlookup(row()-1,Calcs!AP$2:AP$200,Display_All!AG$2:AG$200,)</f>
        <v/>
      </c>
      <c r="K71" s="264" t="str">
        <f t="array" ref="K71">xlookup(row()-1,Calcs!AP$2:AP$200,Display_All!AU$2:AU$200,)</f>
        <v/>
      </c>
      <c r="L71" s="264" t="str">
        <f t="array" ref="L71">xlookup(row()-1,Calcs!AP$2:AP$200,Display_All!AW$2:AW$200,)</f>
        <v/>
      </c>
      <c r="M71" s="264" t="str">
        <f t="array" ref="M71">xlookup(row()-1,Calcs!AP$2:AP$200,Display_All!AX$2:AX$200,)</f>
        <v/>
      </c>
    </row>
    <row r="72">
      <c r="A72" s="264" t="str">
        <f t="array" ref="A72">xlookup(row()-1,Calcs!AP$2:AP$200,Raw!A$2:A$200,)</f>
        <v/>
      </c>
      <c r="B72" s="264" t="str">
        <f t="array" ref="B72">xlookup(row()-1,Calcs!AP$2:AP$200,Raw!B$2:B$200,)</f>
        <v/>
      </c>
      <c r="C72" s="264" t="str">
        <f t="array" ref="C72">xlookup(row()-1,Calcs!AP$2:AP$200,Raw!I$2:I$200,)</f>
        <v/>
      </c>
      <c r="D72" s="264" t="str">
        <f t="array" ref="D72">xlookup(row()-1,Calcs!AP$2:AP$200,Raw!J$2:J$200,)</f>
        <v/>
      </c>
      <c r="E72" s="264" t="str">
        <f t="array" ref="E72">xlookup(row()-1,Calcs!AP$2:AP$200,Raw!AO$2:AO$200,)</f>
        <v/>
      </c>
      <c r="F72" s="264"/>
      <c r="G72" s="264" t="str">
        <f t="array" ref="G72">xlookup(row()-1,Calcs!AP$2:AP$200,Display_All!AC$2:AC$200,)</f>
        <v/>
      </c>
      <c r="H72" s="264" t="str">
        <f t="array" ref="H72">xlookup(row()-1,Calcs!AP$2:AP$200,Display_All!AE$2:AE$200,)</f>
        <v/>
      </c>
      <c r="I72" s="264" t="str">
        <f t="array" ref="I72">xlookup(row()-1,Calcs!AP$2:AP$200,Display_All!AH$2:AH$200,)</f>
        <v/>
      </c>
      <c r="J72" s="264" t="str">
        <f t="array" ref="J72">xlookup(row()-1,Calcs!AP$2:AP$200,Display_All!AG$2:AG$200,)</f>
        <v/>
      </c>
      <c r="K72" s="264" t="str">
        <f t="array" ref="K72">xlookup(row()-1,Calcs!AP$2:AP$200,Display_All!AU$2:AU$200,)</f>
        <v/>
      </c>
      <c r="L72" s="264" t="str">
        <f t="array" ref="L72">xlookup(row()-1,Calcs!AP$2:AP$200,Display_All!AW$2:AW$200,)</f>
        <v/>
      </c>
      <c r="M72" s="264" t="str">
        <f t="array" ref="M72">xlookup(row()-1,Calcs!AP$2:AP$200,Display_All!AX$2:AX$200,)</f>
        <v/>
      </c>
    </row>
    <row r="73">
      <c r="A73" s="264" t="str">
        <f t="array" ref="A73">xlookup(row()-1,Calcs!AP$2:AP$200,Raw!A$2:A$200,)</f>
        <v/>
      </c>
      <c r="B73" s="264" t="str">
        <f t="array" ref="B73">xlookup(row()-1,Calcs!AP$2:AP$200,Raw!B$2:B$200,)</f>
        <v/>
      </c>
      <c r="C73" s="264" t="str">
        <f t="array" ref="C73">xlookup(row()-1,Calcs!AP$2:AP$200,Raw!I$2:I$200,)</f>
        <v/>
      </c>
      <c r="D73" s="264" t="str">
        <f t="array" ref="D73">xlookup(row()-1,Calcs!AP$2:AP$200,Raw!J$2:J$200,)</f>
        <v/>
      </c>
      <c r="E73" s="264" t="str">
        <f t="array" ref="E73">xlookup(row()-1,Calcs!AP$2:AP$200,Raw!AO$2:AO$200,)</f>
        <v/>
      </c>
      <c r="F73" s="264"/>
      <c r="G73" s="264" t="str">
        <f t="array" ref="G73">xlookup(row()-1,Calcs!AP$2:AP$200,Display_All!AC$2:AC$200,)</f>
        <v/>
      </c>
      <c r="H73" s="264" t="str">
        <f t="array" ref="H73">xlookup(row()-1,Calcs!AP$2:AP$200,Display_All!AE$2:AE$200,)</f>
        <v/>
      </c>
      <c r="I73" s="264" t="str">
        <f t="array" ref="I73">xlookup(row()-1,Calcs!AP$2:AP$200,Display_All!AH$2:AH$200,)</f>
        <v/>
      </c>
      <c r="J73" s="264" t="str">
        <f t="array" ref="J73">xlookup(row()-1,Calcs!AP$2:AP$200,Display_All!AG$2:AG$200,)</f>
        <v/>
      </c>
      <c r="K73" s="264" t="str">
        <f t="array" ref="K73">xlookup(row()-1,Calcs!AP$2:AP$200,Display_All!AU$2:AU$200,)</f>
        <v/>
      </c>
      <c r="L73" s="264" t="str">
        <f t="array" ref="L73">xlookup(row()-1,Calcs!AP$2:AP$200,Display_All!AW$2:AW$200,)</f>
        <v/>
      </c>
      <c r="M73" s="264" t="str">
        <f t="array" ref="M73">xlookup(row()-1,Calcs!AP$2:AP$200,Display_All!AX$2:AX$200,)</f>
        <v/>
      </c>
    </row>
    <row r="74">
      <c r="A74" s="264" t="str">
        <f t="array" ref="A74">xlookup(row()-1,Calcs!AP$2:AP$200,Raw!A$2:A$200,)</f>
        <v/>
      </c>
      <c r="B74" s="264" t="str">
        <f t="array" ref="B74">xlookup(row()-1,Calcs!AP$2:AP$200,Raw!B$2:B$200,)</f>
        <v/>
      </c>
      <c r="C74" s="264" t="str">
        <f t="array" ref="C74">xlookup(row()-1,Calcs!AP$2:AP$200,Raw!I$2:I$200,)</f>
        <v/>
      </c>
      <c r="D74" s="264" t="str">
        <f t="array" ref="D74">xlookup(row()-1,Calcs!AP$2:AP$200,Raw!J$2:J$200,)</f>
        <v/>
      </c>
      <c r="E74" s="264" t="str">
        <f t="array" ref="E74">xlookup(row()-1,Calcs!AP$2:AP$200,Raw!AO$2:AO$200,)</f>
        <v/>
      </c>
      <c r="F74" s="264"/>
      <c r="G74" s="264" t="str">
        <f t="array" ref="G74">xlookup(row()-1,Calcs!AP$2:AP$200,Display_All!AC$2:AC$200,)</f>
        <v/>
      </c>
      <c r="H74" s="264" t="str">
        <f t="array" ref="H74">xlookup(row()-1,Calcs!AP$2:AP$200,Display_All!AE$2:AE$200,)</f>
        <v/>
      </c>
      <c r="I74" s="264" t="str">
        <f t="array" ref="I74">xlookup(row()-1,Calcs!AP$2:AP$200,Display_All!AH$2:AH$200,)</f>
        <v/>
      </c>
      <c r="J74" s="264" t="str">
        <f t="array" ref="J74">xlookup(row()-1,Calcs!AP$2:AP$200,Display_All!AG$2:AG$200,)</f>
        <v/>
      </c>
      <c r="K74" s="264" t="str">
        <f t="array" ref="K74">xlookup(row()-1,Calcs!AP$2:AP$200,Display_All!AU$2:AU$200,)</f>
        <v/>
      </c>
      <c r="L74" s="264" t="str">
        <f t="array" ref="L74">xlookup(row()-1,Calcs!AP$2:AP$200,Display_All!AW$2:AW$200,)</f>
        <v/>
      </c>
      <c r="M74" s="264" t="str">
        <f t="array" ref="M74">xlookup(row()-1,Calcs!AP$2:AP$200,Display_All!AX$2:AX$200,)</f>
        <v/>
      </c>
    </row>
    <row r="75">
      <c r="A75" s="264" t="str">
        <f t="array" ref="A75">xlookup(row()-1,Calcs!AP$2:AP$200,Raw!A$2:A$200,)</f>
        <v/>
      </c>
      <c r="B75" s="264" t="str">
        <f t="array" ref="B75">xlookup(row()-1,Calcs!AP$2:AP$200,Raw!B$2:B$200,)</f>
        <v/>
      </c>
      <c r="C75" s="264" t="str">
        <f t="array" ref="C75">xlookup(row()-1,Calcs!AP$2:AP$200,Raw!I$2:I$200,)</f>
        <v/>
      </c>
      <c r="D75" s="264" t="str">
        <f t="array" ref="D75">xlookup(row()-1,Calcs!AP$2:AP$200,Raw!J$2:J$200,)</f>
        <v/>
      </c>
      <c r="E75" s="264" t="str">
        <f t="array" ref="E75">xlookup(row()-1,Calcs!AP$2:AP$200,Raw!AO$2:AO$200,)</f>
        <v/>
      </c>
      <c r="F75" s="264"/>
      <c r="G75" s="264" t="str">
        <f t="array" ref="G75">xlookup(row()-1,Calcs!AP$2:AP$200,Display_All!AC$2:AC$200,)</f>
        <v/>
      </c>
      <c r="H75" s="264" t="str">
        <f t="array" ref="H75">xlookup(row()-1,Calcs!AP$2:AP$200,Display_All!AE$2:AE$200,)</f>
        <v/>
      </c>
      <c r="I75" s="264" t="str">
        <f t="array" ref="I75">xlookup(row()-1,Calcs!AP$2:AP$200,Display_All!AH$2:AH$200,)</f>
        <v/>
      </c>
      <c r="J75" s="264" t="str">
        <f t="array" ref="J75">xlookup(row()-1,Calcs!AP$2:AP$200,Display_All!AG$2:AG$200,)</f>
        <v/>
      </c>
      <c r="K75" s="264" t="str">
        <f t="array" ref="K75">xlookup(row()-1,Calcs!AP$2:AP$200,Display_All!AU$2:AU$200,)</f>
        <v/>
      </c>
      <c r="L75" s="264" t="str">
        <f t="array" ref="L75">xlookup(row()-1,Calcs!AP$2:AP$200,Display_All!AW$2:AW$200,)</f>
        <v/>
      </c>
      <c r="M75" s="264" t="str">
        <f t="array" ref="M75">xlookup(row()-1,Calcs!AP$2:AP$200,Display_All!AX$2:AX$200,)</f>
        <v/>
      </c>
    </row>
    <row r="76">
      <c r="A76" s="264" t="str">
        <f t="array" ref="A76">xlookup(row()-1,Calcs!AP$2:AP$200,Raw!A$2:A$200,)</f>
        <v/>
      </c>
      <c r="B76" s="264" t="str">
        <f t="array" ref="B76">xlookup(row()-1,Calcs!AP$2:AP$200,Raw!B$2:B$200,)</f>
        <v/>
      </c>
      <c r="C76" s="264" t="str">
        <f t="array" ref="C76">xlookup(row()-1,Calcs!AP$2:AP$200,Raw!I$2:I$200,)</f>
        <v/>
      </c>
      <c r="D76" s="264" t="str">
        <f t="array" ref="D76">xlookup(row()-1,Calcs!AP$2:AP$200,Raw!J$2:J$200,)</f>
        <v/>
      </c>
      <c r="E76" s="264" t="str">
        <f t="array" ref="E76">xlookup(row()-1,Calcs!AP$2:AP$200,Raw!AO$2:AO$200,)</f>
        <v/>
      </c>
      <c r="F76" s="264"/>
      <c r="G76" s="264" t="str">
        <f t="array" ref="G76">xlookup(row()-1,Calcs!AP$2:AP$200,Display_All!AC$2:AC$200,)</f>
        <v/>
      </c>
      <c r="H76" s="264" t="str">
        <f t="array" ref="H76">xlookup(row()-1,Calcs!AP$2:AP$200,Display_All!AE$2:AE$200,)</f>
        <v/>
      </c>
      <c r="I76" s="264" t="str">
        <f t="array" ref="I76">xlookup(row()-1,Calcs!AP$2:AP$200,Display_All!AH$2:AH$200,)</f>
        <v/>
      </c>
      <c r="J76" s="264" t="str">
        <f t="array" ref="J76">xlookup(row()-1,Calcs!AP$2:AP$200,Display_All!AG$2:AG$200,)</f>
        <v/>
      </c>
      <c r="K76" s="264" t="str">
        <f t="array" ref="K76">xlookup(row()-1,Calcs!AP$2:AP$200,Display_All!AU$2:AU$200,)</f>
        <v/>
      </c>
      <c r="L76" s="264" t="str">
        <f t="array" ref="L76">xlookup(row()-1,Calcs!AP$2:AP$200,Display_All!AW$2:AW$200,)</f>
        <v/>
      </c>
      <c r="M76" s="264" t="str">
        <f t="array" ref="M76">xlookup(row()-1,Calcs!AP$2:AP$200,Display_All!AX$2:AX$200,)</f>
        <v/>
      </c>
    </row>
    <row r="77">
      <c r="A77" s="264" t="str">
        <f t="array" ref="A77">xlookup(row()-1,Calcs!AP$2:AP$200,Raw!A$2:A$200,)</f>
        <v/>
      </c>
      <c r="B77" s="264" t="str">
        <f t="array" ref="B77">xlookup(row()-1,Calcs!AP$2:AP$200,Raw!B$2:B$200,)</f>
        <v/>
      </c>
      <c r="C77" s="264" t="str">
        <f t="array" ref="C77">xlookup(row()-1,Calcs!AP$2:AP$200,Raw!I$2:I$200,)</f>
        <v/>
      </c>
      <c r="D77" s="264" t="str">
        <f t="array" ref="D77">xlookup(row()-1,Calcs!AP$2:AP$200,Raw!J$2:J$200,)</f>
        <v/>
      </c>
      <c r="E77" s="264" t="str">
        <f t="array" ref="E77">xlookup(row()-1,Calcs!AP$2:AP$200,Raw!AO$2:AO$200,)</f>
        <v/>
      </c>
      <c r="F77" s="264"/>
      <c r="G77" s="264" t="str">
        <f t="array" ref="G77">xlookup(row()-1,Calcs!AP$2:AP$200,Display_All!AC$2:AC$200,)</f>
        <v/>
      </c>
      <c r="H77" s="264" t="str">
        <f t="array" ref="H77">xlookup(row()-1,Calcs!AP$2:AP$200,Display_All!AE$2:AE$200,)</f>
        <v/>
      </c>
      <c r="I77" s="264" t="str">
        <f t="array" ref="I77">xlookup(row()-1,Calcs!AP$2:AP$200,Display_All!AH$2:AH$200,)</f>
        <v/>
      </c>
      <c r="J77" s="264" t="str">
        <f t="array" ref="J77">xlookup(row()-1,Calcs!AP$2:AP$200,Display_All!AG$2:AG$200,)</f>
        <v/>
      </c>
      <c r="K77" s="264" t="str">
        <f t="array" ref="K77">xlookup(row()-1,Calcs!AP$2:AP$200,Display_All!AU$2:AU$200,)</f>
        <v/>
      </c>
      <c r="L77" s="264" t="str">
        <f t="array" ref="L77">xlookup(row()-1,Calcs!AP$2:AP$200,Display_All!AW$2:AW$200,)</f>
        <v/>
      </c>
      <c r="M77" s="264" t="str">
        <f t="array" ref="M77">xlookup(row()-1,Calcs!AP$2:AP$200,Display_All!AX$2:AX$200,)</f>
        <v/>
      </c>
    </row>
    <row r="78">
      <c r="A78" s="264" t="str">
        <f t="array" ref="A78">xlookup(row()-1,Calcs!AP$2:AP$200,Raw!A$2:A$200,)</f>
        <v/>
      </c>
      <c r="B78" s="264" t="str">
        <f t="array" ref="B78">xlookup(row()-1,Calcs!AP$2:AP$200,Raw!B$2:B$200,)</f>
        <v/>
      </c>
      <c r="C78" s="264" t="str">
        <f t="array" ref="C78">xlookup(row()-1,Calcs!AP$2:AP$200,Raw!I$2:I$200,)</f>
        <v/>
      </c>
      <c r="D78" s="264" t="str">
        <f t="array" ref="D78">xlookup(row()-1,Calcs!AP$2:AP$200,Raw!J$2:J$200,)</f>
        <v/>
      </c>
      <c r="E78" s="264" t="str">
        <f t="array" ref="E78">xlookup(row()-1,Calcs!AP$2:AP$200,Raw!AO$2:AO$200,)</f>
        <v/>
      </c>
      <c r="F78" s="264"/>
      <c r="G78" s="264" t="str">
        <f t="array" ref="G78">xlookup(row()-1,Calcs!AP$2:AP$200,Display_All!AC$2:AC$200,)</f>
        <v/>
      </c>
      <c r="H78" s="264" t="str">
        <f t="array" ref="H78">xlookup(row()-1,Calcs!AP$2:AP$200,Display_All!AE$2:AE$200,)</f>
        <v/>
      </c>
      <c r="I78" s="264" t="str">
        <f t="array" ref="I78">xlookup(row()-1,Calcs!AP$2:AP$200,Display_All!AH$2:AH$200,)</f>
        <v/>
      </c>
      <c r="J78" s="264" t="str">
        <f t="array" ref="J78">xlookup(row()-1,Calcs!AP$2:AP$200,Display_All!AG$2:AG$200,)</f>
        <v/>
      </c>
      <c r="K78" s="264" t="str">
        <f t="array" ref="K78">xlookup(row()-1,Calcs!AP$2:AP$200,Display_All!AU$2:AU$200,)</f>
        <v/>
      </c>
      <c r="L78" s="264" t="str">
        <f t="array" ref="L78">xlookup(row()-1,Calcs!AP$2:AP$200,Display_All!AW$2:AW$200,)</f>
        <v/>
      </c>
      <c r="M78" s="264" t="str">
        <f t="array" ref="M78">xlookup(row()-1,Calcs!AP$2:AP$200,Display_All!AX$2:AX$200,)</f>
        <v/>
      </c>
    </row>
    <row r="79">
      <c r="A79" s="264" t="str">
        <f t="array" ref="A79">xlookup(row()-1,Calcs!AP$2:AP$200,Raw!A$2:A$200,)</f>
        <v/>
      </c>
      <c r="B79" s="264" t="str">
        <f t="array" ref="B79">xlookup(row()-1,Calcs!AP$2:AP$200,Raw!B$2:B$200,)</f>
        <v/>
      </c>
      <c r="C79" s="264" t="str">
        <f t="array" ref="C79">xlookup(row()-1,Calcs!AP$2:AP$200,Raw!I$2:I$200,)</f>
        <v/>
      </c>
      <c r="D79" s="264" t="str">
        <f t="array" ref="D79">xlookup(row()-1,Calcs!AP$2:AP$200,Raw!J$2:J$200,)</f>
        <v/>
      </c>
      <c r="E79" s="264" t="str">
        <f t="array" ref="E79">xlookup(row()-1,Calcs!AP$2:AP$200,Raw!AO$2:AO$200,)</f>
        <v/>
      </c>
      <c r="F79" s="264"/>
      <c r="G79" s="264" t="str">
        <f t="array" ref="G79">xlookup(row()-1,Calcs!AP$2:AP$200,Display_All!AC$2:AC$200,)</f>
        <v/>
      </c>
      <c r="H79" s="264" t="str">
        <f t="array" ref="H79">xlookup(row()-1,Calcs!AP$2:AP$200,Display_All!AE$2:AE$200,)</f>
        <v/>
      </c>
      <c r="I79" s="264" t="str">
        <f t="array" ref="I79">xlookup(row()-1,Calcs!AP$2:AP$200,Display_All!AH$2:AH$200,)</f>
        <v/>
      </c>
      <c r="J79" s="264" t="str">
        <f t="array" ref="J79">xlookup(row()-1,Calcs!AP$2:AP$200,Display_All!AG$2:AG$200,)</f>
        <v/>
      </c>
      <c r="K79" s="264" t="str">
        <f t="array" ref="K79">xlookup(row()-1,Calcs!AP$2:AP$200,Display_All!AU$2:AU$200,)</f>
        <v/>
      </c>
      <c r="L79" s="264" t="str">
        <f t="array" ref="L79">xlookup(row()-1,Calcs!AP$2:AP$200,Display_All!AW$2:AW$200,)</f>
        <v/>
      </c>
      <c r="M79" s="264" t="str">
        <f t="array" ref="M79">xlookup(row()-1,Calcs!AP$2:AP$200,Display_All!AX$2:AX$200,)</f>
        <v/>
      </c>
    </row>
    <row r="80">
      <c r="A80" s="264" t="str">
        <f t="array" ref="A80">xlookup(row()-1,Calcs!AP$2:AP$200,Raw!A$2:A$200,)</f>
        <v/>
      </c>
      <c r="B80" s="264" t="str">
        <f t="array" ref="B80">xlookup(row()-1,Calcs!AP$2:AP$200,Raw!B$2:B$200,)</f>
        <v/>
      </c>
      <c r="C80" s="264" t="str">
        <f t="array" ref="C80">xlookup(row()-1,Calcs!AP$2:AP$200,Raw!I$2:I$200,)</f>
        <v/>
      </c>
      <c r="D80" s="264" t="str">
        <f t="array" ref="D80">xlookup(row()-1,Calcs!AP$2:AP$200,Raw!J$2:J$200,)</f>
        <v/>
      </c>
      <c r="E80" s="264" t="str">
        <f t="array" ref="E80">xlookup(row()-1,Calcs!AP$2:AP$200,Raw!AO$2:AO$200,)</f>
        <v/>
      </c>
      <c r="F80" s="264"/>
      <c r="G80" s="264" t="str">
        <f t="array" ref="G80">xlookup(row()-1,Calcs!AP$2:AP$200,Display_All!AC$2:AC$200,)</f>
        <v/>
      </c>
      <c r="H80" s="264" t="str">
        <f t="array" ref="H80">xlookup(row()-1,Calcs!AP$2:AP$200,Display_All!AE$2:AE$200,)</f>
        <v/>
      </c>
      <c r="I80" s="264" t="str">
        <f t="array" ref="I80">xlookup(row()-1,Calcs!AP$2:AP$200,Display_All!AH$2:AH$200,)</f>
        <v/>
      </c>
      <c r="J80" s="264" t="str">
        <f t="array" ref="J80">xlookup(row()-1,Calcs!AP$2:AP$200,Display_All!AG$2:AG$200,)</f>
        <v/>
      </c>
      <c r="K80" s="264" t="str">
        <f t="array" ref="K80">xlookup(row()-1,Calcs!AP$2:AP$200,Display_All!AU$2:AU$200,)</f>
        <v/>
      </c>
      <c r="L80" s="264" t="str">
        <f t="array" ref="L80">xlookup(row()-1,Calcs!AP$2:AP$200,Display_All!AW$2:AW$200,)</f>
        <v/>
      </c>
      <c r="M80" s="264" t="str">
        <f t="array" ref="M80">xlookup(row()-1,Calcs!AP$2:AP$200,Display_All!AX$2:AX$200,)</f>
        <v/>
      </c>
    </row>
    <row r="81">
      <c r="A81" s="264" t="str">
        <f t="array" ref="A81">xlookup(row()-1,Calcs!AP$2:AP$200,Raw!A$2:A$200,)</f>
        <v/>
      </c>
      <c r="B81" s="264" t="str">
        <f t="array" ref="B81">xlookup(row()-1,Calcs!AP$2:AP$200,Raw!B$2:B$200,)</f>
        <v/>
      </c>
      <c r="C81" s="264" t="str">
        <f t="array" ref="C81">xlookup(row()-1,Calcs!AP$2:AP$200,Raw!I$2:I$200,)</f>
        <v/>
      </c>
      <c r="D81" s="264" t="str">
        <f t="array" ref="D81">xlookup(row()-1,Calcs!AP$2:AP$200,Raw!J$2:J$200,)</f>
        <v/>
      </c>
      <c r="E81" s="264" t="str">
        <f t="array" ref="E81">xlookup(row()-1,Calcs!AP$2:AP$200,Raw!AO$2:AO$200,)</f>
        <v/>
      </c>
      <c r="F81" s="264"/>
      <c r="G81" s="264" t="str">
        <f t="array" ref="G81">xlookup(row()-1,Calcs!AP$2:AP$200,Display_All!AC$2:AC$200,)</f>
        <v/>
      </c>
      <c r="H81" s="264" t="str">
        <f t="array" ref="H81">xlookup(row()-1,Calcs!AP$2:AP$200,Display_All!AE$2:AE$200,)</f>
        <v/>
      </c>
      <c r="I81" s="264" t="str">
        <f t="array" ref="I81">xlookup(row()-1,Calcs!AP$2:AP$200,Display_All!AH$2:AH$200,)</f>
        <v/>
      </c>
      <c r="J81" s="264" t="str">
        <f t="array" ref="J81">xlookup(row()-1,Calcs!AP$2:AP$200,Display_All!AG$2:AG$200,)</f>
        <v/>
      </c>
      <c r="K81" s="264" t="str">
        <f t="array" ref="K81">xlookup(row()-1,Calcs!AP$2:AP$200,Display_All!AU$2:AU$200,)</f>
        <v/>
      </c>
      <c r="L81" s="264" t="str">
        <f t="array" ref="L81">xlookup(row()-1,Calcs!AP$2:AP$200,Display_All!AW$2:AW$200,)</f>
        <v/>
      </c>
      <c r="M81" s="264" t="str">
        <f t="array" ref="M81">xlookup(row()-1,Calcs!AP$2:AP$200,Display_All!AX$2:AX$200,)</f>
        <v/>
      </c>
    </row>
    <row r="82">
      <c r="A82" s="264" t="str">
        <f t="array" ref="A82">xlookup(row()-1,Calcs!AP$2:AP$200,Raw!A$2:A$200,)</f>
        <v/>
      </c>
      <c r="B82" s="264" t="str">
        <f t="array" ref="B82">xlookup(row()-1,Calcs!AP$2:AP$200,Raw!B$2:B$200,)</f>
        <v/>
      </c>
      <c r="C82" s="264" t="str">
        <f t="array" ref="C82">xlookup(row()-1,Calcs!AP$2:AP$200,Raw!I$2:I$200,)</f>
        <v/>
      </c>
      <c r="D82" s="264" t="str">
        <f t="array" ref="D82">xlookup(row()-1,Calcs!AP$2:AP$200,Raw!J$2:J$200,)</f>
        <v/>
      </c>
      <c r="E82" s="264" t="str">
        <f t="array" ref="E82">xlookup(row()-1,Calcs!AP$2:AP$200,Raw!AO$2:AO$200,)</f>
        <v/>
      </c>
      <c r="F82" s="264"/>
      <c r="G82" s="264" t="str">
        <f t="array" ref="G82">xlookup(row()-1,Calcs!AP$2:AP$200,Display_All!AC$2:AC$200,)</f>
        <v/>
      </c>
      <c r="H82" s="264" t="str">
        <f t="array" ref="H82">xlookup(row()-1,Calcs!AP$2:AP$200,Display_All!AE$2:AE$200,)</f>
        <v/>
      </c>
      <c r="I82" s="264" t="str">
        <f t="array" ref="I82">xlookup(row()-1,Calcs!AP$2:AP$200,Display_All!AH$2:AH$200,)</f>
        <v/>
      </c>
      <c r="J82" s="264" t="str">
        <f t="array" ref="J82">xlookup(row()-1,Calcs!AP$2:AP$200,Display_All!AG$2:AG$200,)</f>
        <v/>
      </c>
      <c r="K82" s="264" t="str">
        <f t="array" ref="K82">xlookup(row()-1,Calcs!AP$2:AP$200,Display_All!AU$2:AU$200,)</f>
        <v/>
      </c>
      <c r="L82" s="264" t="str">
        <f t="array" ref="L82">xlookup(row()-1,Calcs!AP$2:AP$200,Display_All!AW$2:AW$200,)</f>
        <v/>
      </c>
      <c r="M82" s="264" t="str">
        <f t="array" ref="M82">xlookup(row()-1,Calcs!AP$2:AP$200,Display_All!AX$2:AX$200,)</f>
        <v/>
      </c>
    </row>
    <row r="83">
      <c r="A83" s="264" t="str">
        <f t="array" ref="A83">xlookup(row()-1,Calcs!AP$2:AP$200,Raw!A$2:A$200,)</f>
        <v/>
      </c>
      <c r="B83" s="264" t="str">
        <f t="array" ref="B83">xlookup(row()-1,Calcs!AP$2:AP$200,Raw!B$2:B$200,)</f>
        <v/>
      </c>
      <c r="C83" s="264" t="str">
        <f t="array" ref="C83">xlookup(row()-1,Calcs!AP$2:AP$200,Raw!I$2:I$200,)</f>
        <v/>
      </c>
      <c r="D83" s="264" t="str">
        <f t="array" ref="D83">xlookup(row()-1,Calcs!AP$2:AP$200,Raw!J$2:J$200,)</f>
        <v/>
      </c>
      <c r="E83" s="264" t="str">
        <f t="array" ref="E83">xlookup(row()-1,Calcs!AP$2:AP$200,Raw!AO$2:AO$200,)</f>
        <v/>
      </c>
      <c r="F83" s="264"/>
      <c r="G83" s="264" t="str">
        <f t="array" ref="G83">xlookup(row()-1,Calcs!AP$2:AP$200,Display_All!AC$2:AC$200,)</f>
        <v/>
      </c>
      <c r="H83" s="264" t="str">
        <f t="array" ref="H83">xlookup(row()-1,Calcs!AP$2:AP$200,Display_All!AE$2:AE$200,)</f>
        <v/>
      </c>
      <c r="I83" s="264" t="str">
        <f t="array" ref="I83">xlookup(row()-1,Calcs!AP$2:AP$200,Display_All!AH$2:AH$200,)</f>
        <v/>
      </c>
      <c r="J83" s="264" t="str">
        <f t="array" ref="J83">xlookup(row()-1,Calcs!AP$2:AP$200,Display_All!AG$2:AG$200,)</f>
        <v/>
      </c>
      <c r="K83" s="264" t="str">
        <f t="array" ref="K83">xlookup(row()-1,Calcs!AP$2:AP$200,Display_All!AU$2:AU$200,)</f>
        <v/>
      </c>
      <c r="L83" s="264" t="str">
        <f t="array" ref="L83">xlookup(row()-1,Calcs!AP$2:AP$200,Display_All!AW$2:AW$200,)</f>
        <v/>
      </c>
      <c r="M83" s="264" t="str">
        <f t="array" ref="M83">xlookup(row()-1,Calcs!AP$2:AP$200,Display_All!AX$2:AX$200,)</f>
        <v/>
      </c>
    </row>
    <row r="84">
      <c r="A84" s="264" t="str">
        <f t="array" ref="A84">xlookup(row()-1,Calcs!AP$2:AP$200,Raw!A$2:A$200,)</f>
        <v/>
      </c>
      <c r="B84" s="264" t="str">
        <f t="array" ref="B84">xlookup(row()-1,Calcs!AP$2:AP$200,Raw!B$2:B$200,)</f>
        <v/>
      </c>
      <c r="C84" s="264" t="str">
        <f t="array" ref="C84">xlookup(row()-1,Calcs!AP$2:AP$200,Raw!I$2:I$200,)</f>
        <v/>
      </c>
      <c r="D84" s="264" t="str">
        <f t="array" ref="D84">xlookup(row()-1,Calcs!AP$2:AP$200,Raw!J$2:J$200,)</f>
        <v/>
      </c>
      <c r="E84" s="264" t="str">
        <f t="array" ref="E84">xlookup(row()-1,Calcs!AP$2:AP$200,Raw!AO$2:AO$200,)</f>
        <v/>
      </c>
      <c r="F84" s="264"/>
      <c r="G84" s="264" t="str">
        <f t="array" ref="G84">xlookup(row()-1,Calcs!AP$2:AP$200,Display_All!AC$2:AC$200,)</f>
        <v/>
      </c>
      <c r="H84" s="264" t="str">
        <f t="array" ref="H84">xlookup(row()-1,Calcs!AP$2:AP$200,Display_All!AE$2:AE$200,)</f>
        <v/>
      </c>
      <c r="I84" s="264" t="str">
        <f t="array" ref="I84">xlookup(row()-1,Calcs!AP$2:AP$200,Display_All!AH$2:AH$200,)</f>
        <v/>
      </c>
      <c r="J84" s="264" t="str">
        <f t="array" ref="J84">xlookup(row()-1,Calcs!AP$2:AP$200,Display_All!AG$2:AG$200,)</f>
        <v/>
      </c>
      <c r="K84" s="264" t="str">
        <f t="array" ref="K84">xlookup(row()-1,Calcs!AP$2:AP$200,Display_All!AU$2:AU$200,)</f>
        <v/>
      </c>
      <c r="L84" s="264" t="str">
        <f t="array" ref="L84">xlookup(row()-1,Calcs!AP$2:AP$200,Display_All!AW$2:AW$200,)</f>
        <v/>
      </c>
      <c r="M84" s="264" t="str">
        <f t="array" ref="M84">xlookup(row()-1,Calcs!AP$2:AP$200,Display_All!AX$2:AX$200,)</f>
        <v/>
      </c>
    </row>
    <row r="85">
      <c r="A85" s="264" t="str">
        <f t="array" ref="A85">xlookup(row()-1,Calcs!AP$2:AP$200,Raw!A$2:A$200,)</f>
        <v/>
      </c>
      <c r="B85" s="264" t="str">
        <f t="array" ref="B85">xlookup(row()-1,Calcs!AP$2:AP$200,Raw!B$2:B$200,)</f>
        <v/>
      </c>
      <c r="C85" s="264" t="str">
        <f t="array" ref="C85">xlookup(row()-1,Calcs!AP$2:AP$200,Raw!I$2:I$200,)</f>
        <v/>
      </c>
      <c r="D85" s="264" t="str">
        <f t="array" ref="D85">xlookup(row()-1,Calcs!AP$2:AP$200,Raw!J$2:J$200,)</f>
        <v/>
      </c>
      <c r="E85" s="264" t="str">
        <f t="array" ref="E85">xlookup(row()-1,Calcs!AP$2:AP$200,Raw!AO$2:AO$200,)</f>
        <v/>
      </c>
      <c r="F85" s="264"/>
      <c r="G85" s="264" t="str">
        <f t="array" ref="G85">xlookup(row()-1,Calcs!AP$2:AP$200,Display_All!AC$2:AC$200,)</f>
        <v/>
      </c>
      <c r="H85" s="264" t="str">
        <f t="array" ref="H85">xlookup(row()-1,Calcs!AP$2:AP$200,Display_All!AE$2:AE$200,)</f>
        <v/>
      </c>
      <c r="I85" s="264" t="str">
        <f t="array" ref="I85">xlookup(row()-1,Calcs!AP$2:AP$200,Display_All!AH$2:AH$200,)</f>
        <v/>
      </c>
      <c r="J85" s="264" t="str">
        <f t="array" ref="J85">xlookup(row()-1,Calcs!AP$2:AP$200,Display_All!AG$2:AG$200,)</f>
        <v/>
      </c>
      <c r="K85" s="264" t="str">
        <f t="array" ref="K85">xlookup(row()-1,Calcs!AP$2:AP$200,Display_All!AU$2:AU$200,)</f>
        <v/>
      </c>
      <c r="L85" s="264" t="str">
        <f t="array" ref="L85">xlookup(row()-1,Calcs!AP$2:AP$200,Display_All!AW$2:AW$200,)</f>
        <v/>
      </c>
      <c r="M85" s="264" t="str">
        <f t="array" ref="M85">xlookup(row()-1,Calcs!AP$2:AP$200,Display_All!AX$2:AX$200,)</f>
        <v/>
      </c>
    </row>
    <row r="86">
      <c r="A86" s="264" t="str">
        <f t="array" ref="A86">xlookup(row()-1,Calcs!AP$2:AP$200,Raw!A$2:A$200,)</f>
        <v/>
      </c>
      <c r="B86" s="264" t="str">
        <f t="array" ref="B86">xlookup(row()-1,Calcs!AP$2:AP$200,Raw!B$2:B$200,)</f>
        <v/>
      </c>
      <c r="C86" s="264" t="str">
        <f t="array" ref="C86">xlookup(row()-1,Calcs!AP$2:AP$200,Raw!I$2:I$200,)</f>
        <v/>
      </c>
      <c r="D86" s="264" t="str">
        <f t="array" ref="D86">xlookup(row()-1,Calcs!AP$2:AP$200,Raw!J$2:J$200,)</f>
        <v/>
      </c>
      <c r="E86" s="264" t="str">
        <f t="array" ref="E86">xlookup(row()-1,Calcs!AP$2:AP$200,Raw!AO$2:AO$200,)</f>
        <v/>
      </c>
      <c r="F86" s="264"/>
      <c r="G86" s="264" t="str">
        <f t="array" ref="G86">xlookup(row()-1,Calcs!AP$2:AP$200,Display_All!AC$2:AC$200,)</f>
        <v/>
      </c>
      <c r="H86" s="264" t="str">
        <f t="array" ref="H86">xlookup(row()-1,Calcs!AP$2:AP$200,Display_All!AE$2:AE$200,)</f>
        <v/>
      </c>
      <c r="I86" s="264" t="str">
        <f t="array" ref="I86">xlookup(row()-1,Calcs!AP$2:AP$200,Display_All!AH$2:AH$200,)</f>
        <v/>
      </c>
      <c r="J86" s="264" t="str">
        <f t="array" ref="J86">xlookup(row()-1,Calcs!AP$2:AP$200,Display_All!AG$2:AG$200,)</f>
        <v/>
      </c>
      <c r="K86" s="264" t="str">
        <f t="array" ref="K86">xlookup(row()-1,Calcs!AP$2:AP$200,Display_All!AU$2:AU$200,)</f>
        <v/>
      </c>
      <c r="L86" s="264" t="str">
        <f t="array" ref="L86">xlookup(row()-1,Calcs!AP$2:AP$200,Display_All!AW$2:AW$200,)</f>
        <v/>
      </c>
      <c r="M86" s="264" t="str">
        <f t="array" ref="M86">xlookup(row()-1,Calcs!AP$2:AP$200,Display_All!AX$2:AX$200,)</f>
        <v/>
      </c>
    </row>
    <row r="87">
      <c r="A87" s="264" t="str">
        <f t="array" ref="A87">xlookup(row()-1,Calcs!AP$2:AP$200,Raw!A$2:A$200,)</f>
        <v/>
      </c>
      <c r="B87" s="264" t="str">
        <f t="array" ref="B87">xlookup(row()-1,Calcs!AP$2:AP$200,Raw!B$2:B$200,)</f>
        <v/>
      </c>
      <c r="C87" s="264" t="str">
        <f t="array" ref="C87">xlookup(row()-1,Calcs!AP$2:AP$200,Raw!I$2:I$200,)</f>
        <v/>
      </c>
      <c r="D87" s="264" t="str">
        <f t="array" ref="D87">xlookup(row()-1,Calcs!AP$2:AP$200,Raw!J$2:J$200,)</f>
        <v/>
      </c>
      <c r="E87" s="264" t="str">
        <f t="array" ref="E87">xlookup(row()-1,Calcs!AP$2:AP$200,Raw!AO$2:AO$200,)</f>
        <v/>
      </c>
      <c r="F87" s="264"/>
      <c r="G87" s="264" t="str">
        <f t="array" ref="G87">xlookup(row()-1,Calcs!AP$2:AP$200,Display_All!AC$2:AC$200,)</f>
        <v/>
      </c>
      <c r="H87" s="264" t="str">
        <f t="array" ref="H87">xlookup(row()-1,Calcs!AP$2:AP$200,Display_All!AE$2:AE$200,)</f>
        <v/>
      </c>
      <c r="I87" s="264" t="str">
        <f t="array" ref="I87">xlookup(row()-1,Calcs!AP$2:AP$200,Display_All!AH$2:AH$200,)</f>
        <v/>
      </c>
      <c r="J87" s="264" t="str">
        <f t="array" ref="J87">xlookup(row()-1,Calcs!AP$2:AP$200,Display_All!AG$2:AG$200,)</f>
        <v/>
      </c>
      <c r="K87" s="264" t="str">
        <f t="array" ref="K87">xlookup(row()-1,Calcs!AP$2:AP$200,Display_All!AU$2:AU$200,)</f>
        <v/>
      </c>
      <c r="L87" s="264" t="str">
        <f t="array" ref="L87">xlookup(row()-1,Calcs!AP$2:AP$200,Display_All!AW$2:AW$200,)</f>
        <v/>
      </c>
      <c r="M87" s="264" t="str">
        <f t="array" ref="M87">xlookup(row()-1,Calcs!AP$2:AP$200,Display_All!AX$2:AX$200,)</f>
        <v/>
      </c>
    </row>
    <row r="88">
      <c r="A88" s="264" t="str">
        <f t="array" ref="A88">xlookup(row()-1,Calcs!AP$2:AP$200,Raw!A$2:A$200,)</f>
        <v/>
      </c>
      <c r="B88" s="264" t="str">
        <f t="array" ref="B88">xlookup(row()-1,Calcs!AP$2:AP$200,Raw!B$2:B$200,)</f>
        <v/>
      </c>
      <c r="C88" s="264" t="str">
        <f t="array" ref="C88">xlookup(row()-1,Calcs!AP$2:AP$200,Raw!I$2:I$200,)</f>
        <v/>
      </c>
      <c r="D88" s="264" t="str">
        <f t="array" ref="D88">xlookup(row()-1,Calcs!AP$2:AP$200,Raw!J$2:J$200,)</f>
        <v/>
      </c>
      <c r="E88" s="264" t="str">
        <f t="array" ref="E88">xlookup(row()-1,Calcs!AP$2:AP$200,Raw!AO$2:AO$200,)</f>
        <v/>
      </c>
      <c r="F88" s="264"/>
      <c r="G88" s="264" t="str">
        <f t="array" ref="G88">xlookup(row()-1,Calcs!AP$2:AP$200,Display_All!AC$2:AC$200,)</f>
        <v/>
      </c>
      <c r="H88" s="264" t="str">
        <f t="array" ref="H88">xlookup(row()-1,Calcs!AP$2:AP$200,Display_All!AE$2:AE$200,)</f>
        <v/>
      </c>
      <c r="I88" s="264" t="str">
        <f t="array" ref="I88">xlookup(row()-1,Calcs!AP$2:AP$200,Display_All!AH$2:AH$200,)</f>
        <v/>
      </c>
      <c r="J88" s="264" t="str">
        <f t="array" ref="J88">xlookup(row()-1,Calcs!AP$2:AP$200,Display_All!AG$2:AG$200,)</f>
        <v/>
      </c>
      <c r="K88" s="264" t="str">
        <f t="array" ref="K88">xlookup(row()-1,Calcs!AP$2:AP$200,Display_All!AU$2:AU$200,)</f>
        <v/>
      </c>
      <c r="L88" s="264" t="str">
        <f t="array" ref="L88">xlookup(row()-1,Calcs!AP$2:AP$200,Display_All!AW$2:AW$200,)</f>
        <v/>
      </c>
      <c r="M88" s="264" t="str">
        <f t="array" ref="M88">xlookup(row()-1,Calcs!AP$2:AP$200,Display_All!AX$2:AX$200,)</f>
        <v/>
      </c>
    </row>
    <row r="89">
      <c r="A89" s="264" t="str">
        <f t="array" ref="A89">xlookup(row()-1,Calcs!AP$2:AP$200,Raw!A$2:A$200,)</f>
        <v/>
      </c>
      <c r="B89" s="264" t="str">
        <f t="array" ref="B89">xlookup(row()-1,Calcs!AP$2:AP$200,Raw!B$2:B$200,)</f>
        <v/>
      </c>
      <c r="C89" s="264" t="str">
        <f t="array" ref="C89">xlookup(row()-1,Calcs!AP$2:AP$200,Raw!I$2:I$200,)</f>
        <v/>
      </c>
      <c r="D89" s="264" t="str">
        <f t="array" ref="D89">xlookup(row()-1,Calcs!AP$2:AP$200,Raw!J$2:J$200,)</f>
        <v/>
      </c>
      <c r="E89" s="264" t="str">
        <f t="array" ref="E89">xlookup(row()-1,Calcs!AP$2:AP$200,Raw!AO$2:AO$200,)</f>
        <v/>
      </c>
      <c r="F89" s="264"/>
      <c r="G89" s="264" t="str">
        <f t="array" ref="G89">xlookup(row()-1,Calcs!AP$2:AP$200,Display_All!AC$2:AC$200,)</f>
        <v/>
      </c>
      <c r="H89" s="264" t="str">
        <f t="array" ref="H89">xlookup(row()-1,Calcs!AP$2:AP$200,Display_All!AE$2:AE$200,)</f>
        <v/>
      </c>
      <c r="I89" s="264" t="str">
        <f t="array" ref="I89">xlookup(row()-1,Calcs!AP$2:AP$200,Display_All!AH$2:AH$200,)</f>
        <v/>
      </c>
      <c r="J89" s="264" t="str">
        <f t="array" ref="J89">xlookup(row()-1,Calcs!AP$2:AP$200,Display_All!AG$2:AG$200,)</f>
        <v/>
      </c>
      <c r="K89" s="264" t="str">
        <f t="array" ref="K89">xlookup(row()-1,Calcs!AP$2:AP$200,Display_All!AU$2:AU$200,)</f>
        <v/>
      </c>
      <c r="L89" s="264" t="str">
        <f t="array" ref="L89">xlookup(row()-1,Calcs!AP$2:AP$200,Display_All!AW$2:AW$200,)</f>
        <v/>
      </c>
      <c r="M89" s="264" t="str">
        <f t="array" ref="M89">xlookup(row()-1,Calcs!AP$2:AP$200,Display_All!AX$2:AX$200,)</f>
        <v/>
      </c>
    </row>
    <row r="90">
      <c r="A90" s="264" t="str">
        <f t="array" ref="A90">xlookup(row()-1,Calcs!AP$2:AP$200,Raw!A$2:A$200,)</f>
        <v/>
      </c>
      <c r="B90" s="264" t="str">
        <f t="array" ref="B90">xlookup(row()-1,Calcs!AP$2:AP$200,Raw!B$2:B$200,)</f>
        <v/>
      </c>
      <c r="C90" s="264" t="str">
        <f t="array" ref="C90">xlookup(row()-1,Calcs!AP$2:AP$200,Raw!I$2:I$200,)</f>
        <v/>
      </c>
      <c r="D90" s="264" t="str">
        <f t="array" ref="D90">xlookup(row()-1,Calcs!AP$2:AP$200,Raw!J$2:J$200,)</f>
        <v/>
      </c>
      <c r="E90" s="264" t="str">
        <f t="array" ref="E90">xlookup(row()-1,Calcs!AP$2:AP$200,Raw!AO$2:AO$200,)</f>
        <v/>
      </c>
      <c r="F90" s="264"/>
      <c r="G90" s="264" t="str">
        <f t="array" ref="G90">xlookup(row()-1,Calcs!AP$2:AP$200,Display_All!AC$2:AC$200,)</f>
        <v/>
      </c>
      <c r="H90" s="264" t="str">
        <f t="array" ref="H90">xlookup(row()-1,Calcs!AP$2:AP$200,Display_All!AE$2:AE$200,)</f>
        <v/>
      </c>
      <c r="I90" s="264" t="str">
        <f t="array" ref="I90">xlookup(row()-1,Calcs!AP$2:AP$200,Display_All!AH$2:AH$200,)</f>
        <v/>
      </c>
      <c r="J90" s="264" t="str">
        <f t="array" ref="J90">xlookup(row()-1,Calcs!AP$2:AP$200,Display_All!AG$2:AG$200,)</f>
        <v/>
      </c>
      <c r="K90" s="264" t="str">
        <f t="array" ref="K90">xlookup(row()-1,Calcs!AP$2:AP$200,Display_All!AU$2:AU$200,)</f>
        <v/>
      </c>
      <c r="L90" s="264" t="str">
        <f t="array" ref="L90">xlookup(row()-1,Calcs!AP$2:AP$200,Display_All!AW$2:AW$200,)</f>
        <v/>
      </c>
      <c r="M90" s="264" t="str">
        <f t="array" ref="M90">xlookup(row()-1,Calcs!AP$2:AP$200,Display_All!AX$2:AX$200,)</f>
        <v/>
      </c>
    </row>
    <row r="91">
      <c r="A91" s="264" t="str">
        <f t="array" ref="A91">xlookup(row()-1,Calcs!AP$2:AP$200,Raw!A$2:A$200,)</f>
        <v/>
      </c>
      <c r="B91" s="264" t="str">
        <f t="array" ref="B91">xlookup(row()-1,Calcs!AP$2:AP$200,Raw!B$2:B$200,)</f>
        <v/>
      </c>
      <c r="C91" s="264" t="str">
        <f t="array" ref="C91">xlookup(row()-1,Calcs!AP$2:AP$200,Raw!I$2:I$200,)</f>
        <v/>
      </c>
      <c r="D91" s="264" t="str">
        <f t="array" ref="D91">xlookup(row()-1,Calcs!AP$2:AP$200,Raw!J$2:J$200,)</f>
        <v/>
      </c>
      <c r="E91" s="264" t="str">
        <f t="array" ref="E91">xlookup(row()-1,Calcs!AP$2:AP$200,Raw!AO$2:AO$200,)</f>
        <v/>
      </c>
      <c r="F91" s="264"/>
      <c r="G91" s="264" t="str">
        <f t="array" ref="G91">xlookup(row()-1,Calcs!AP$2:AP$200,Display_All!AC$2:AC$200,)</f>
        <v/>
      </c>
      <c r="H91" s="264" t="str">
        <f t="array" ref="H91">xlookup(row()-1,Calcs!AP$2:AP$200,Display_All!AE$2:AE$200,)</f>
        <v/>
      </c>
      <c r="I91" s="264" t="str">
        <f t="array" ref="I91">xlookup(row()-1,Calcs!AP$2:AP$200,Display_All!AH$2:AH$200,)</f>
        <v/>
      </c>
      <c r="J91" s="264" t="str">
        <f t="array" ref="J91">xlookup(row()-1,Calcs!AP$2:AP$200,Display_All!AG$2:AG$200,)</f>
        <v/>
      </c>
      <c r="K91" s="264" t="str">
        <f t="array" ref="K91">xlookup(row()-1,Calcs!AP$2:AP$200,Display_All!AU$2:AU$200,)</f>
        <v/>
      </c>
      <c r="L91" s="264" t="str">
        <f t="array" ref="L91">xlookup(row()-1,Calcs!AP$2:AP$200,Display_All!AW$2:AW$200,)</f>
        <v/>
      </c>
      <c r="M91" s="264" t="str">
        <f t="array" ref="M91">xlookup(row()-1,Calcs!AP$2:AP$200,Display_All!AX$2:AX$200,)</f>
        <v/>
      </c>
    </row>
    <row r="92">
      <c r="A92" s="264" t="str">
        <f t="array" ref="A92">xlookup(row()-1,Calcs!AP$2:AP$200,Raw!A$2:A$200,)</f>
        <v/>
      </c>
      <c r="B92" s="264" t="str">
        <f t="array" ref="B92">xlookup(row()-1,Calcs!AP$2:AP$200,Raw!B$2:B$200,)</f>
        <v/>
      </c>
      <c r="C92" s="264" t="str">
        <f t="array" ref="C92">xlookup(row()-1,Calcs!AP$2:AP$200,Raw!I$2:I$200,)</f>
        <v/>
      </c>
      <c r="D92" s="264" t="str">
        <f t="array" ref="D92">xlookup(row()-1,Calcs!AP$2:AP$200,Raw!J$2:J$200,)</f>
        <v/>
      </c>
      <c r="E92" s="264" t="str">
        <f t="array" ref="E92">xlookup(row()-1,Calcs!AP$2:AP$200,Raw!AO$2:AO$200,)</f>
        <v/>
      </c>
      <c r="F92" s="264"/>
      <c r="G92" s="264" t="str">
        <f t="array" ref="G92">xlookup(row()-1,Calcs!AP$2:AP$200,Display_All!AC$2:AC$200,)</f>
        <v/>
      </c>
      <c r="H92" s="264" t="str">
        <f t="array" ref="H92">xlookup(row()-1,Calcs!AP$2:AP$200,Display_All!AE$2:AE$200,)</f>
        <v/>
      </c>
      <c r="I92" s="264" t="str">
        <f t="array" ref="I92">xlookup(row()-1,Calcs!AP$2:AP$200,Display_All!AH$2:AH$200,)</f>
        <v/>
      </c>
      <c r="J92" s="264" t="str">
        <f t="array" ref="J92">xlookup(row()-1,Calcs!AP$2:AP$200,Display_All!AG$2:AG$200,)</f>
        <v/>
      </c>
      <c r="K92" s="264" t="str">
        <f t="array" ref="K92">xlookup(row()-1,Calcs!AP$2:AP$200,Display_All!AU$2:AU$200,)</f>
        <v/>
      </c>
      <c r="L92" s="264" t="str">
        <f t="array" ref="L92">xlookup(row()-1,Calcs!AP$2:AP$200,Display_All!AW$2:AW$200,)</f>
        <v/>
      </c>
      <c r="M92" s="264" t="str">
        <f t="array" ref="M92">xlookup(row()-1,Calcs!AP$2:AP$200,Display_All!AX$2:AX$200,)</f>
        <v/>
      </c>
    </row>
    <row r="93">
      <c r="A93" s="264" t="str">
        <f t="array" ref="A93">xlookup(row()-1,Calcs!AP$2:AP$200,Raw!A$2:A$200,)</f>
        <v/>
      </c>
      <c r="B93" s="264" t="str">
        <f t="array" ref="B93">xlookup(row()-1,Calcs!AP$2:AP$200,Raw!B$2:B$200,)</f>
        <v/>
      </c>
      <c r="C93" s="264" t="str">
        <f t="array" ref="C93">xlookup(row()-1,Calcs!AP$2:AP$200,Raw!I$2:I$200,)</f>
        <v/>
      </c>
      <c r="D93" s="264" t="str">
        <f t="array" ref="D93">xlookup(row()-1,Calcs!AP$2:AP$200,Raw!J$2:J$200,)</f>
        <v/>
      </c>
      <c r="E93" s="264" t="str">
        <f t="array" ref="E93">xlookup(row()-1,Calcs!AP$2:AP$200,Raw!AO$2:AO$200,)</f>
        <v/>
      </c>
      <c r="F93" s="264"/>
      <c r="G93" s="264" t="str">
        <f t="array" ref="G93">xlookup(row()-1,Calcs!AP$2:AP$200,Display_All!AC$2:AC$200,)</f>
        <v/>
      </c>
      <c r="H93" s="264" t="str">
        <f t="array" ref="H93">xlookup(row()-1,Calcs!AP$2:AP$200,Display_All!AE$2:AE$200,)</f>
        <v/>
      </c>
      <c r="I93" s="264" t="str">
        <f t="array" ref="I93">xlookup(row()-1,Calcs!AP$2:AP$200,Display_All!AH$2:AH$200,)</f>
        <v/>
      </c>
      <c r="J93" s="264" t="str">
        <f t="array" ref="J93">xlookup(row()-1,Calcs!AP$2:AP$200,Display_All!AG$2:AG$200,)</f>
        <v/>
      </c>
      <c r="K93" s="264" t="str">
        <f t="array" ref="K93">xlookup(row()-1,Calcs!AP$2:AP$200,Display_All!AU$2:AU$200,)</f>
        <v/>
      </c>
      <c r="L93" s="264" t="str">
        <f t="array" ref="L93">xlookup(row()-1,Calcs!AP$2:AP$200,Display_All!AW$2:AW$200,)</f>
        <v/>
      </c>
      <c r="M93" s="264" t="str">
        <f t="array" ref="M93">xlookup(row()-1,Calcs!AP$2:AP$200,Display_All!AX$2:AX$200,)</f>
        <v/>
      </c>
    </row>
    <row r="94">
      <c r="A94" s="264" t="str">
        <f t="array" ref="A94">xlookup(row()-1,Calcs!AP$2:AP$200,Raw!A$2:A$200,)</f>
        <v/>
      </c>
      <c r="B94" s="264" t="str">
        <f t="array" ref="B94">xlookup(row()-1,Calcs!AP$2:AP$200,Raw!B$2:B$200,)</f>
        <v/>
      </c>
      <c r="C94" s="264" t="str">
        <f t="array" ref="C94">xlookup(row()-1,Calcs!AP$2:AP$200,Raw!I$2:I$200,)</f>
        <v/>
      </c>
      <c r="D94" s="264" t="str">
        <f t="array" ref="D94">xlookup(row()-1,Calcs!AP$2:AP$200,Raw!J$2:J$200,)</f>
        <v/>
      </c>
      <c r="E94" s="264" t="str">
        <f t="array" ref="E94">xlookup(row()-1,Calcs!AP$2:AP$200,Raw!AO$2:AO$200,)</f>
        <v/>
      </c>
      <c r="F94" s="264"/>
      <c r="G94" s="264" t="str">
        <f t="array" ref="G94">xlookup(row()-1,Calcs!AP$2:AP$200,Display_All!AC$2:AC$200,)</f>
        <v/>
      </c>
      <c r="H94" s="264" t="str">
        <f t="array" ref="H94">xlookup(row()-1,Calcs!AP$2:AP$200,Display_All!AE$2:AE$200,)</f>
        <v/>
      </c>
      <c r="I94" s="264" t="str">
        <f t="array" ref="I94">xlookup(row()-1,Calcs!AP$2:AP$200,Display_All!AH$2:AH$200,)</f>
        <v/>
      </c>
      <c r="J94" s="264" t="str">
        <f t="array" ref="J94">xlookup(row()-1,Calcs!AP$2:AP$200,Display_All!AG$2:AG$200,)</f>
        <v/>
      </c>
      <c r="K94" s="264" t="str">
        <f t="array" ref="K94">xlookup(row()-1,Calcs!AP$2:AP$200,Display_All!AU$2:AU$200,)</f>
        <v/>
      </c>
      <c r="L94" s="264" t="str">
        <f t="array" ref="L94">xlookup(row()-1,Calcs!AP$2:AP$200,Display_All!AW$2:AW$200,)</f>
        <v/>
      </c>
      <c r="M94" s="264" t="str">
        <f t="array" ref="M94">xlookup(row()-1,Calcs!AP$2:AP$200,Display_All!AX$2:AX$200,)</f>
        <v/>
      </c>
    </row>
    <row r="95">
      <c r="A95" s="264" t="str">
        <f t="array" ref="A95">xlookup(row()-1,Calcs!AP$2:AP$200,Raw!A$2:A$200,)</f>
        <v/>
      </c>
      <c r="B95" s="264" t="str">
        <f t="array" ref="B95">xlookup(row()-1,Calcs!AP$2:AP$200,Raw!B$2:B$200,)</f>
        <v/>
      </c>
      <c r="C95" s="264" t="str">
        <f t="array" ref="C95">xlookup(row()-1,Calcs!AP$2:AP$200,Raw!I$2:I$200,)</f>
        <v/>
      </c>
      <c r="D95" s="264" t="str">
        <f t="array" ref="D95">xlookup(row()-1,Calcs!AP$2:AP$200,Raw!J$2:J$200,)</f>
        <v/>
      </c>
      <c r="E95" s="264" t="str">
        <f t="array" ref="E95">xlookup(row()-1,Calcs!AP$2:AP$200,Raw!AO$2:AO$200,)</f>
        <v/>
      </c>
      <c r="F95" s="264"/>
      <c r="G95" s="264" t="str">
        <f t="array" ref="G95">xlookup(row()-1,Calcs!AP$2:AP$200,Display_All!AC$2:AC$200,)</f>
        <v/>
      </c>
      <c r="H95" s="264" t="str">
        <f t="array" ref="H95">xlookup(row()-1,Calcs!AP$2:AP$200,Display_All!AE$2:AE$200,)</f>
        <v/>
      </c>
      <c r="I95" s="264" t="str">
        <f t="array" ref="I95">xlookup(row()-1,Calcs!AP$2:AP$200,Display_All!AH$2:AH$200,)</f>
        <v/>
      </c>
      <c r="J95" s="264" t="str">
        <f t="array" ref="J95">xlookup(row()-1,Calcs!AP$2:AP$200,Display_All!AG$2:AG$200,)</f>
        <v/>
      </c>
      <c r="K95" s="264" t="str">
        <f t="array" ref="K95">xlookup(row()-1,Calcs!AP$2:AP$200,Display_All!AU$2:AU$200,)</f>
        <v/>
      </c>
      <c r="L95" s="264" t="str">
        <f t="array" ref="L95">xlookup(row()-1,Calcs!AP$2:AP$200,Display_All!AW$2:AW$200,)</f>
        <v/>
      </c>
      <c r="M95" s="264" t="str">
        <f t="array" ref="M95">xlookup(row()-1,Calcs!AP$2:AP$200,Display_All!AX$2:AX$200,)</f>
        <v/>
      </c>
    </row>
    <row r="96">
      <c r="A96" s="264" t="str">
        <f t="array" ref="A96">xlookup(row()-1,Calcs!AP$2:AP$200,Raw!A$2:A$200,)</f>
        <v/>
      </c>
      <c r="B96" s="264" t="str">
        <f t="array" ref="B96">xlookup(row()-1,Calcs!AP$2:AP$200,Raw!B$2:B$200,)</f>
        <v/>
      </c>
      <c r="C96" s="264" t="str">
        <f t="array" ref="C96">xlookup(row()-1,Calcs!AP$2:AP$200,Raw!I$2:I$200,)</f>
        <v/>
      </c>
      <c r="D96" s="264" t="str">
        <f t="array" ref="D96">xlookup(row()-1,Calcs!AP$2:AP$200,Raw!J$2:J$200,)</f>
        <v/>
      </c>
      <c r="E96" s="264" t="str">
        <f t="array" ref="E96">xlookup(row()-1,Calcs!AP$2:AP$200,Raw!AO$2:AO$200,)</f>
        <v/>
      </c>
      <c r="F96" s="264"/>
      <c r="G96" s="264" t="str">
        <f t="array" ref="G96">xlookup(row()-1,Calcs!AP$2:AP$200,Display_All!AC$2:AC$200,)</f>
        <v/>
      </c>
      <c r="H96" s="264" t="str">
        <f t="array" ref="H96">xlookup(row()-1,Calcs!AP$2:AP$200,Display_All!AE$2:AE$200,)</f>
        <v/>
      </c>
      <c r="I96" s="264" t="str">
        <f t="array" ref="I96">xlookup(row()-1,Calcs!AP$2:AP$200,Display_All!AH$2:AH$200,)</f>
        <v/>
      </c>
      <c r="J96" s="264" t="str">
        <f t="array" ref="J96">xlookup(row()-1,Calcs!AP$2:AP$200,Display_All!AG$2:AG$200,)</f>
        <v/>
      </c>
      <c r="K96" s="264" t="str">
        <f t="array" ref="K96">xlookup(row()-1,Calcs!AP$2:AP$200,Display_All!AU$2:AU$200,)</f>
        <v/>
      </c>
      <c r="L96" s="264" t="str">
        <f t="array" ref="L96">xlookup(row()-1,Calcs!AP$2:AP$200,Display_All!AW$2:AW$200,)</f>
        <v/>
      </c>
      <c r="M96" s="264" t="str">
        <f t="array" ref="M96">xlookup(row()-1,Calcs!AP$2:AP$200,Display_All!AX$2:AX$200,)</f>
        <v/>
      </c>
    </row>
    <row r="97">
      <c r="A97" s="264" t="str">
        <f t="array" ref="A97">xlookup(row()-1,Calcs!AP$2:AP$200,Raw!A$2:A$200,)</f>
        <v/>
      </c>
      <c r="B97" s="264" t="str">
        <f t="array" ref="B97">xlookup(row()-1,Calcs!AP$2:AP$200,Raw!B$2:B$200,)</f>
        <v/>
      </c>
      <c r="C97" s="264" t="str">
        <f t="array" ref="C97">xlookup(row()-1,Calcs!AP$2:AP$200,Raw!I$2:I$200,)</f>
        <v/>
      </c>
      <c r="D97" s="264" t="str">
        <f t="array" ref="D97">xlookup(row()-1,Calcs!AP$2:AP$200,Raw!J$2:J$200,)</f>
        <v/>
      </c>
      <c r="E97" s="264" t="str">
        <f t="array" ref="E97">xlookup(row()-1,Calcs!AP$2:AP$200,Raw!AO$2:AO$200,)</f>
        <v/>
      </c>
      <c r="F97" s="264"/>
      <c r="G97" s="264" t="str">
        <f t="array" ref="G97">xlookup(row()-1,Calcs!AP$2:AP$200,Display_All!AC$2:AC$200,)</f>
        <v/>
      </c>
      <c r="H97" s="264" t="str">
        <f t="array" ref="H97">xlookup(row()-1,Calcs!AP$2:AP$200,Display_All!AE$2:AE$200,)</f>
        <v/>
      </c>
      <c r="I97" s="264" t="str">
        <f t="array" ref="I97">xlookup(row()-1,Calcs!AP$2:AP$200,Display_All!AH$2:AH$200,)</f>
        <v/>
      </c>
      <c r="J97" s="264" t="str">
        <f t="array" ref="J97">xlookup(row()-1,Calcs!AP$2:AP$200,Display_All!AG$2:AG$200,)</f>
        <v/>
      </c>
      <c r="K97" s="264" t="str">
        <f t="array" ref="K97">xlookup(row()-1,Calcs!AP$2:AP$200,Display_All!AU$2:AU$200,)</f>
        <v/>
      </c>
      <c r="L97" s="264" t="str">
        <f t="array" ref="L97">xlookup(row()-1,Calcs!AP$2:AP$200,Display_All!AW$2:AW$200,)</f>
        <v/>
      </c>
      <c r="M97" s="264" t="str">
        <f t="array" ref="M97">xlookup(row()-1,Calcs!AP$2:AP$200,Display_All!AX$2:AX$200,)</f>
        <v/>
      </c>
    </row>
    <row r="98">
      <c r="A98" s="264" t="str">
        <f t="array" ref="A98">xlookup(row()-1,Calcs!AP$2:AP$200,Raw!A$2:A$200,)</f>
        <v/>
      </c>
      <c r="B98" s="264" t="str">
        <f t="array" ref="B98">xlookup(row()-1,Calcs!AP$2:AP$200,Raw!B$2:B$200,)</f>
        <v/>
      </c>
      <c r="C98" s="264" t="str">
        <f t="array" ref="C98">xlookup(row()-1,Calcs!AP$2:AP$200,Raw!I$2:I$200,)</f>
        <v/>
      </c>
      <c r="D98" s="264" t="str">
        <f t="array" ref="D98">xlookup(row()-1,Calcs!AP$2:AP$200,Raw!J$2:J$200,)</f>
        <v/>
      </c>
      <c r="E98" s="264" t="str">
        <f t="array" ref="E98">xlookup(row()-1,Calcs!AP$2:AP$200,Raw!AO$2:AO$200,)</f>
        <v/>
      </c>
      <c r="F98" s="264"/>
      <c r="G98" s="264" t="str">
        <f t="array" ref="G98">xlookup(row()-1,Calcs!AP$2:AP$200,Display_All!AC$2:AC$200,)</f>
        <v/>
      </c>
      <c r="H98" s="264" t="str">
        <f t="array" ref="H98">xlookup(row()-1,Calcs!AP$2:AP$200,Display_All!AE$2:AE$200,)</f>
        <v/>
      </c>
      <c r="I98" s="264" t="str">
        <f t="array" ref="I98">xlookup(row()-1,Calcs!AP$2:AP$200,Display_All!AH$2:AH$200,)</f>
        <v/>
      </c>
      <c r="J98" s="264" t="str">
        <f t="array" ref="J98">xlookup(row()-1,Calcs!AP$2:AP$200,Display_All!AG$2:AG$200,)</f>
        <v/>
      </c>
      <c r="K98" s="264" t="str">
        <f t="array" ref="K98">xlookup(row()-1,Calcs!AP$2:AP$200,Display_All!AU$2:AU$200,)</f>
        <v/>
      </c>
      <c r="L98" s="264" t="str">
        <f t="array" ref="L98">xlookup(row()-1,Calcs!AP$2:AP$200,Display_All!AW$2:AW$200,)</f>
        <v/>
      </c>
      <c r="M98" s="264" t="str">
        <f t="array" ref="M98">xlookup(row()-1,Calcs!AP$2:AP$200,Display_All!AX$2:AX$200,)</f>
        <v/>
      </c>
    </row>
    <row r="99">
      <c r="A99" s="264" t="str">
        <f t="array" ref="A99">xlookup(row()-1,Calcs!AP$2:AP$200,Raw!A$2:A$200,)</f>
        <v/>
      </c>
      <c r="B99" s="264" t="str">
        <f t="array" ref="B99">xlookup(row()-1,Calcs!AP$2:AP$200,Raw!B$2:B$200,)</f>
        <v/>
      </c>
      <c r="C99" s="264" t="str">
        <f t="array" ref="C99">xlookup(row()-1,Calcs!AP$2:AP$200,Raw!I$2:I$200,)</f>
        <v/>
      </c>
      <c r="D99" s="264" t="str">
        <f t="array" ref="D99">xlookup(row()-1,Calcs!AP$2:AP$200,Raw!J$2:J$200,)</f>
        <v/>
      </c>
      <c r="E99" s="264" t="str">
        <f t="array" ref="E99">xlookup(row()-1,Calcs!AP$2:AP$200,Raw!AO$2:AO$200,)</f>
        <v/>
      </c>
      <c r="F99" s="264"/>
      <c r="G99" s="264" t="str">
        <f t="array" ref="G99">xlookup(row()-1,Calcs!AP$2:AP$200,Display_All!AC$2:AC$200,)</f>
        <v/>
      </c>
      <c r="H99" s="264" t="str">
        <f t="array" ref="H99">xlookup(row()-1,Calcs!AP$2:AP$200,Display_All!AE$2:AE$200,)</f>
        <v/>
      </c>
      <c r="I99" s="264" t="str">
        <f t="array" ref="I99">xlookup(row()-1,Calcs!AP$2:AP$200,Display_All!AH$2:AH$200,)</f>
        <v/>
      </c>
      <c r="J99" s="264" t="str">
        <f t="array" ref="J99">xlookup(row()-1,Calcs!AP$2:AP$200,Display_All!AG$2:AG$200,)</f>
        <v/>
      </c>
      <c r="K99" s="264" t="str">
        <f t="array" ref="K99">xlookup(row()-1,Calcs!AP$2:AP$200,Display_All!AU$2:AU$200,)</f>
        <v/>
      </c>
      <c r="L99" s="264" t="str">
        <f t="array" ref="L99">xlookup(row()-1,Calcs!AP$2:AP$200,Display_All!AW$2:AW$200,)</f>
        <v/>
      </c>
      <c r="M99" s="264" t="str">
        <f t="array" ref="M99">xlookup(row()-1,Calcs!AP$2:AP$200,Display_All!AX$2:AX$200,)</f>
        <v/>
      </c>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9.57"/>
    <col customWidth="1" min="2" max="2" width="13.43"/>
    <col customWidth="1" min="3" max="3" width="18.43"/>
    <col customWidth="1" min="4" max="4" width="18.57"/>
    <col customWidth="1" min="5" max="5" width="12.29"/>
    <col customWidth="1" min="6" max="7" width="10.0"/>
    <col customWidth="1" min="8" max="8" width="40.14"/>
    <col customWidth="1" min="9" max="9" width="6.0"/>
    <col customWidth="1" min="10" max="10" width="9.86"/>
    <col customWidth="1" min="11" max="11" width="11.86"/>
    <col customWidth="1" min="12" max="12" width="8.29"/>
    <col customWidth="1" min="13" max="13" width="9.0"/>
  </cols>
  <sheetData>
    <row r="1">
      <c r="A1" s="228" t="str">
        <f>Raw!A1</f>
        <v>Reference</v>
      </c>
      <c r="B1" s="229" t="str">
        <f>Raw!B1</f>
        <v>Name</v>
      </c>
      <c r="C1" s="229" t="str">
        <f>Raw!I1</f>
        <v>Furnace Type</v>
      </c>
      <c r="D1" s="229" t="str">
        <f>Raw!J1</f>
        <v>Construction</v>
      </c>
      <c r="E1" s="229" t="str">
        <f>Raw!AO1</f>
        <v>Tuyere Above Base (cm)</v>
      </c>
      <c r="F1" s="229" t="str">
        <f>Display_All!O1</f>
        <v>Stack Ht (cm)</v>
      </c>
      <c r="G1" s="229" t="str">
        <f>Display_All!AC1</f>
        <v>Air Volume Avg (L/min)</v>
      </c>
      <c r="H1" s="229" t="str">
        <f>Display_All!AE1</f>
        <v>Ore Type</v>
      </c>
      <c r="I1" s="229" t="str">
        <f>Display_All!AH1</f>
        <v>Fe %</v>
      </c>
      <c r="J1" s="229" t="str">
        <f>Display_All!AG1</f>
        <v>Total Ore (Kg)</v>
      </c>
      <c r="K1" s="229" t="str">
        <f>Display_All!AU1</f>
        <v>Bloom Weight (Kg)</v>
      </c>
      <c r="L1" s="232" t="str">
        <f>Display_All!AW1</f>
        <v>Yield (%)</v>
      </c>
      <c r="M1" s="297" t="str">
        <f>Display_All!AX1</f>
        <v>Yield % Fe</v>
      </c>
      <c r="O1" s="214" t="s">
        <v>1129</v>
      </c>
    </row>
    <row r="2">
      <c r="A2" s="238">
        <f t="array" ref="A2">xlookup(row()-1,Calcs!AQ$2:AQ$200,Raw!A$2:A$200,)</f>
        <v>56</v>
      </c>
      <c r="B2" s="239" t="str">
        <f t="array" ref="B2">xlookup(row()-1,Calcs!AQ$2:AQ$200,Raw!B$2:B$200,)</f>
        <v>T2T prototype</v>
      </c>
      <c r="C2" s="239" t="str">
        <f t="array" ref="C2">xlookup(row()-1,Calcs!AQ$2:AQ$200,Raw!I$2:I$200,)</f>
        <v>short shaft on stone</v>
      </c>
      <c r="D2" s="239" t="str">
        <f t="array" ref="D2">xlookup(row()-1,Calcs!AQ$2:AQ$200,Raw!J$2:J$200,)</f>
        <v>clay / sand over wicker</v>
      </c>
      <c r="E2" s="239">
        <f t="array" ref="E2">xlookup(row()-1,Calcs!AQ$2:AQ$200,Raw!AO$2:AO$200,)</f>
        <v>16</v>
      </c>
      <c r="F2" s="239">
        <f t="array" ref="F2">xlookup(row()-1,Calcs!AQ$2:AQ$200,Display_All!O$2:O$200,)</f>
        <v>45</v>
      </c>
      <c r="G2" s="239" t="str">
        <f t="array" ref="G2">xlookup(row()-1,Calcs!AQ$2:AQ$200,Display_All!AC$2:AC$200,)</f>
        <v>540</v>
      </c>
      <c r="H2" s="239" t="str">
        <f t="array" ref="H2">xlookup(row()-1,Calcs!AQ$2:AQ$200,Display_All!AE$2:AE$200,)</f>
        <v>DD1M</v>
      </c>
      <c r="I2" s="376">
        <f t="array" ref="I2">xlookup(row()-1,Calcs!AQ$2:AQ$200,Display_All!AH$2:AH$200,)</f>
        <v>0.5123957643</v>
      </c>
      <c r="J2" s="241">
        <f t="array" ref="J2">xlookup(row()-1,Calcs!AQ$2:AQ$200,Display_All!AG$2:AG$200,)</f>
        <v>31</v>
      </c>
      <c r="K2" s="241">
        <f t="array" ref="K2">xlookup(row()-1,Calcs!AQ$2:AQ$200,Display_All!AU$2:AU$200,)</f>
        <v>5.2</v>
      </c>
      <c r="L2" s="377">
        <f t="array" ref="L2">xlookup(row()-1,Calcs!AQ$2:AQ$200,Display_All!AW$2:AW$200,)</f>
        <v>0.1677419355</v>
      </c>
      <c r="M2" s="302">
        <f t="array" ref="M2">xlookup(row()-1,Calcs!AQ$2:AQ$200,Display_All!AX$2:AX$200,)</f>
        <v>0.3273679198</v>
      </c>
      <c r="O2" s="126">
        <f t="array" ref="O2">xlookup(row()-1,Calcs!AQ$2:AQ$200,Calcs!U$2:U$200,)</f>
        <v>540</v>
      </c>
    </row>
    <row r="3">
      <c r="A3" s="238">
        <f t="array" ref="A3">xlookup(row()-1,Calcs!AQ$2:AQ$200,Raw!A$2:A$200,)</f>
        <v>57</v>
      </c>
      <c r="B3" s="239" t="str">
        <f t="array" ref="B3">xlookup(row()-1,Calcs!AQ$2:AQ$200,Raw!B$2:B$200,)</f>
        <v>T2T 1A</v>
      </c>
      <c r="C3" s="239" t="str">
        <f t="array" ref="C3">xlookup(row()-1,Calcs!AQ$2:AQ$200,Raw!I$2:I$200,)</f>
        <v>short shaft on stone</v>
      </c>
      <c r="D3" s="239" t="str">
        <f t="array" ref="D3">xlookup(row()-1,Calcs!AQ$2:AQ$200,Raw!J$2:J$200,)</f>
        <v>manure cobb</v>
      </c>
      <c r="E3" s="239">
        <f t="array" ref="E3">xlookup(row()-1,Calcs!AQ$2:AQ$200,Raw!AO$2:AO$200,)</f>
        <v>11</v>
      </c>
      <c r="F3" s="239">
        <f t="array" ref="F3">xlookup(row()-1,Calcs!AQ$2:AQ$200,Display_All!O$2:O$200,)</f>
        <v>45</v>
      </c>
      <c r="G3" s="239" t="str">
        <f t="array" ref="G3">xlookup(row()-1,Calcs!AQ$2:AQ$200,Display_All!AC$2:AC$200,)</f>
        <v>?</v>
      </c>
      <c r="H3" s="239" t="str">
        <f t="array" ref="H3">xlookup(row()-1,Calcs!AQ$2:AQ$200,Display_All!AE$2:AE$200,)</f>
        <v>Macaulayite/Scotland Taconite/DD1-SSW</v>
      </c>
      <c r="I3" s="376">
        <f t="array" ref="I3">xlookup(row()-1,Calcs!AQ$2:AQ$200,Display_All!AH$2:AH$200,)</f>
        <v>0.4162579599</v>
      </c>
      <c r="J3" s="241">
        <f t="array" ref="J3">xlookup(row()-1,Calcs!AQ$2:AQ$200,Display_All!AG$2:AG$200,)</f>
        <v>30</v>
      </c>
      <c r="K3" s="241">
        <f t="array" ref="K3">xlookup(row()-1,Calcs!AQ$2:AQ$200,Display_All!AU$2:AU$200,)</f>
        <v>2.3</v>
      </c>
      <c r="L3" s="377">
        <f t="array" ref="L3">xlookup(row()-1,Calcs!AQ$2:AQ$200,Display_All!AW$2:AW$200,)</f>
        <v>0.07666666667</v>
      </c>
      <c r="M3" s="302">
        <f t="array" ref="M3">xlookup(row()-1,Calcs!AQ$2:AQ$200,Display_All!AX$2:AX$200,)</f>
        <v>0.1841806621</v>
      </c>
      <c r="O3" s="126" t="str">
        <f t="array" ref="O3">xlookup(row()-1,Calcs!AQ$2:AQ$200,Calcs!U$2:U$200,)</f>
        <v>?</v>
      </c>
    </row>
    <row r="4">
      <c r="A4" s="238">
        <f t="array" ref="A4">xlookup(row()-1,Calcs!AQ$2:AQ$200,Raw!A$2:A$200,)</f>
        <v>58</v>
      </c>
      <c r="B4" s="239" t="str">
        <f t="array" ref="B4">xlookup(row()-1,Calcs!AQ$2:AQ$200,Raw!B$2:B$200,)</f>
        <v>T2T 1B</v>
      </c>
      <c r="C4" s="239" t="str">
        <f t="array" ref="C4">xlookup(row()-1,Calcs!AQ$2:AQ$200,Raw!I$2:I$200,)</f>
        <v>short shaft on stone</v>
      </c>
      <c r="D4" s="239" t="str">
        <f t="array" ref="D4">xlookup(row()-1,Calcs!AQ$2:AQ$200,Raw!J$2:J$200,)</f>
        <v>manure cobb</v>
      </c>
      <c r="E4" s="239">
        <f t="array" ref="E4">xlookup(row()-1,Calcs!AQ$2:AQ$200,Raw!AO$2:AO$200,)</f>
        <v>15</v>
      </c>
      <c r="F4" s="239">
        <f t="array" ref="F4">xlookup(row()-1,Calcs!AQ$2:AQ$200,Display_All!O$2:O$200,)</f>
        <v>45</v>
      </c>
      <c r="G4" s="239" t="str">
        <f t="array" ref="G4">xlookup(row()-1,Calcs!AQ$2:AQ$200,Display_All!AC$2:AC$200,)</f>
        <v>?</v>
      </c>
      <c r="H4" s="239" t="str">
        <f t="array" ref="H4">xlookup(row()-1,Calcs!AQ$2:AQ$200,Display_All!AE$2:AE$200,)</f>
        <v>DD1-SSW/Scotland Taconite</v>
      </c>
      <c r="I4" s="376">
        <f t="array" ref="I4">xlookup(row()-1,Calcs!AQ$2:AQ$200,Display_All!AH$2:AH$200,)</f>
        <v>0.584357617</v>
      </c>
      <c r="J4" s="241">
        <f t="array" ref="J4">xlookup(row()-1,Calcs!AQ$2:AQ$200,Display_All!AG$2:AG$200,)</f>
        <v>41</v>
      </c>
      <c r="K4" s="241">
        <f t="array" ref="K4">xlookup(row()-1,Calcs!AQ$2:AQ$200,Display_All!AU$2:AU$200,)</f>
        <v>4.7</v>
      </c>
      <c r="L4" s="377">
        <f t="array" ref="L4">xlookup(row()-1,Calcs!AQ$2:AQ$200,Display_All!AW$2:AW$200,)</f>
        <v>0.1146341463</v>
      </c>
      <c r="M4" s="302">
        <f t="array" ref="M4">xlookup(row()-1,Calcs!AQ$2:AQ$200,Display_All!AX$2:AX$200,)</f>
        <v>0.1961712195</v>
      </c>
      <c r="O4" s="126" t="str">
        <f t="array" ref="O4">xlookup(row()-1,Calcs!AQ$2:AQ$200,Calcs!U$2:U$200,)</f>
        <v>?</v>
      </c>
    </row>
    <row r="5">
      <c r="A5" s="238">
        <f t="array" ref="A5">xlookup(row()-1,Calcs!AQ$2:AQ$200,Raw!A$2:A$200,)</f>
        <v>59</v>
      </c>
      <c r="B5" s="239" t="str">
        <f t="array" ref="B5">xlookup(row()-1,Calcs!AQ$2:AQ$200,Raw!B$2:B$200,)</f>
        <v>T2T 1C</v>
      </c>
      <c r="C5" s="239" t="str">
        <f t="array" ref="C5">xlookup(row()-1,Calcs!AQ$2:AQ$200,Raw!I$2:I$200,)</f>
        <v>short shaft on stone</v>
      </c>
      <c r="D5" s="239" t="str">
        <f t="array" ref="D5">xlookup(row()-1,Calcs!AQ$2:AQ$200,Raw!J$2:J$200,)</f>
        <v>manure cobb</v>
      </c>
      <c r="E5" s="239">
        <f t="array" ref="E5">xlookup(row()-1,Calcs!AQ$2:AQ$200,Raw!AO$2:AO$200,)</f>
        <v>15</v>
      </c>
      <c r="F5" s="239">
        <f t="array" ref="F5">xlookup(row()-1,Calcs!AQ$2:AQ$200,Display_All!O$2:O$200,)</f>
        <v>58</v>
      </c>
      <c r="G5" s="239" t="str">
        <f t="array" ref="G5">xlookup(row()-1,Calcs!AQ$2:AQ$200,Display_All!AC$2:AC$200,)</f>
        <v>?</v>
      </c>
      <c r="H5" s="239" t="str">
        <f t="array" ref="H5">xlookup(row()-1,Calcs!AQ$2:AQ$200,Display_All!AE$2:AE$200,)</f>
        <v>Scotland Taconite/DD1-SSW</v>
      </c>
      <c r="I5" s="376">
        <f t="array" ref="I5">xlookup(row()-1,Calcs!AQ$2:AQ$200,Display_All!AH$2:AH$200,)</f>
        <v>0.6346316106</v>
      </c>
      <c r="J5" s="241">
        <f t="array" ref="J5">xlookup(row()-1,Calcs!AQ$2:AQ$200,Display_All!AG$2:AG$200,)</f>
        <v>41</v>
      </c>
      <c r="K5" s="241">
        <f t="array" ref="K5">xlookup(row()-1,Calcs!AQ$2:AQ$200,Display_All!AU$2:AU$200,)</f>
        <v>11.6</v>
      </c>
      <c r="L5" s="377">
        <f t="array" ref="L5">xlookup(row()-1,Calcs!AQ$2:AQ$200,Display_All!AW$2:AW$200,)</f>
        <v>0.2829268293</v>
      </c>
      <c r="M5" s="302">
        <f t="array" ref="M5">xlookup(row()-1,Calcs!AQ$2:AQ$200,Display_All!AX$2:AX$200,)</f>
        <v>0.445812696</v>
      </c>
      <c r="O5" s="126" t="str">
        <f t="array" ref="O5">xlookup(row()-1,Calcs!AQ$2:AQ$200,Calcs!U$2:U$200,)</f>
        <v>?</v>
      </c>
    </row>
    <row r="6">
      <c r="A6" s="238" t="str">
        <f t="array" ref="A6">xlookup(row()-1,Calcs!AQ$2:AQ$200,Raw!A$2:A$200,)</f>
        <v>T1</v>
      </c>
      <c r="B6" s="239" t="str">
        <f t="array" ref="B6">xlookup(row()-1,Calcs!AQ$2:AQ$200,Raw!B$2:B$200,)</f>
        <v>Peat Test</v>
      </c>
      <c r="C6" s="239" t="str">
        <f t="array" ref="C6">xlookup(row()-1,Calcs!AQ$2:AQ$200,Raw!I$2:I$200,)</f>
        <v>short shaft on stone</v>
      </c>
      <c r="D6" s="239" t="str">
        <f t="array" ref="D6">xlookup(row()-1,Calcs!AQ$2:AQ$200,Raw!J$2:J$200,)</f>
        <v>manure cobb</v>
      </c>
      <c r="E6" s="239">
        <f t="array" ref="E6">xlookup(row()-1,Calcs!AQ$2:AQ$200,Raw!AO$2:AO$200,)</f>
        <v>15</v>
      </c>
      <c r="F6" s="239">
        <f t="array" ref="F6">xlookup(row()-1,Calcs!AQ$2:AQ$200,Display_All!O$2:O$200,)</f>
        <v>58</v>
      </c>
      <c r="G6" s="239" t="str">
        <f t="array" ref="G6">xlookup(row()-1,Calcs!AQ$2:AQ$200,Display_All!AC$2:AC$200,)</f>
        <v>?</v>
      </c>
      <c r="H6" s="239" t="str">
        <f t="array" ref="H6">xlookup(row()-1,Calcs!AQ$2:AQ$200,Display_All!AE$2:AE$200,)</f>
        <v/>
      </c>
      <c r="I6" s="376" t="str">
        <f t="array" ref="I6">xlookup(row()-1,Calcs!AQ$2:AQ$200,Display_All!AH$2:AH$200,)</f>
        <v>na</v>
      </c>
      <c r="J6" s="241">
        <f t="array" ref="J6">xlookup(row()-1,Calcs!AQ$2:AQ$200,Display_All!AG$2:AG$200,)</f>
        <v>0</v>
      </c>
      <c r="K6" s="241" t="str">
        <f t="array" ref="K6">xlookup(row()-1,Calcs!AQ$2:AQ$200,Display_All!AU$2:AU$200,)</f>
        <v>na</v>
      </c>
      <c r="L6" s="377" t="str">
        <f t="array" ref="L6">xlookup(row()-1,Calcs!AQ$2:AQ$200,Display_All!AW$2:AW$200,)</f>
        <v>na</v>
      </c>
      <c r="M6" s="302" t="str">
        <f t="array" ref="M6">xlookup(row()-1,Calcs!AQ$2:AQ$200,Display_All!AX$2:AX$200,)</f>
        <v>?</v>
      </c>
      <c r="O6" s="126" t="str">
        <f t="array" ref="O6">xlookup(row()-1,Calcs!AQ$2:AQ$200,Calcs!U$2:U$200,)</f>
        <v>?</v>
      </c>
    </row>
    <row r="7">
      <c r="A7" s="238">
        <f t="array" ref="A7">xlookup(row()-1,Calcs!AQ$2:AQ$200,Raw!A$2:A$200,)</f>
        <v>66</v>
      </c>
      <c r="B7" s="239" t="str">
        <f t="array" ref="B7">xlookup(row()-1,Calcs!AQ$2:AQ$200,Raw!B$2:B$200,)</f>
        <v>T2T 2A</v>
      </c>
      <c r="C7" s="239" t="str">
        <f t="array" ref="C7">xlookup(row()-1,Calcs!AQ$2:AQ$200,Raw!I$2:I$200,)</f>
        <v>short shaft on stone</v>
      </c>
      <c r="D7" s="239" t="str">
        <f t="array" ref="D7">xlookup(row()-1,Calcs!AQ$2:AQ$200,Raw!J$2:J$200,)</f>
        <v>manure cobb</v>
      </c>
      <c r="E7" s="239">
        <f t="array" ref="E7">xlookup(row()-1,Calcs!AQ$2:AQ$200,Raw!AO$2:AO$200,)</f>
        <v>16</v>
      </c>
      <c r="F7" s="239">
        <f t="array" ref="F7">xlookup(row()-1,Calcs!AQ$2:AQ$200,Display_All!O$2:O$200,)</f>
        <v>49</v>
      </c>
      <c r="G7" s="239" t="str">
        <f t="array" ref="G7">xlookup(row()-1,Calcs!AQ$2:AQ$200,Display_All!AC$2:AC$200,)</f>
        <v>?</v>
      </c>
      <c r="H7" s="239" t="str">
        <f t="array" ref="H7">xlookup(row()-1,Calcs!AQ$2:AQ$200,Display_All!AE$2:AE$200,)</f>
        <v>Lecht Scotland Goethite</v>
      </c>
      <c r="I7" s="376" t="str">
        <f t="array" ref="I7">xlookup(row()-1,Calcs!AQ$2:AQ$200,Display_All!AH$2:AH$200,)</f>
        <v>?</v>
      </c>
      <c r="J7" s="241">
        <f t="array" ref="J7">xlookup(row()-1,Calcs!AQ$2:AQ$200,Display_All!AG$2:AG$200,)</f>
        <v>36.5</v>
      </c>
      <c r="K7" s="241">
        <f t="array" ref="K7">xlookup(row()-1,Calcs!AQ$2:AQ$200,Display_All!AU$2:AU$200,)</f>
        <v>3.5</v>
      </c>
      <c r="L7" s="377">
        <f t="array" ref="L7">xlookup(row()-1,Calcs!AQ$2:AQ$200,Display_All!AW$2:AW$200,)</f>
        <v>0.09589041096</v>
      </c>
      <c r="M7" s="302" t="str">
        <f t="array" ref="M7">xlookup(row()-1,Calcs!AQ$2:AQ$200,Display_All!AX$2:AX$200,)</f>
        <v>?</v>
      </c>
      <c r="O7" s="126" t="str">
        <f t="array" ref="O7">xlookup(row()-1,Calcs!AQ$2:AQ$200,Calcs!U$2:U$200,)</f>
        <v>?</v>
      </c>
    </row>
    <row r="8">
      <c r="A8" s="238">
        <f t="array" ref="A8">xlookup(row()-1,Calcs!AQ$2:AQ$200,Raw!A$2:A$200,)</f>
        <v>67</v>
      </c>
      <c r="B8" s="239" t="str">
        <f t="array" ref="B8">xlookup(row()-1,Calcs!AQ$2:AQ$200,Raw!B$2:B$200,)</f>
        <v>T2T 2B</v>
      </c>
      <c r="C8" s="239" t="str">
        <f t="array" ref="C8">xlookup(row()-1,Calcs!AQ$2:AQ$200,Raw!I$2:I$200,)</f>
        <v>short shaft on stone</v>
      </c>
      <c r="D8" s="239" t="str">
        <f t="array" ref="D8">xlookup(row()-1,Calcs!AQ$2:AQ$200,Raw!J$2:J$200,)</f>
        <v>manure cobb</v>
      </c>
      <c r="E8" s="239">
        <f t="array" ref="E8">xlookup(row()-1,Calcs!AQ$2:AQ$200,Raw!AO$2:AO$200,)</f>
        <v>19</v>
      </c>
      <c r="F8" s="239">
        <f t="array" ref="F8">xlookup(row()-1,Calcs!AQ$2:AQ$200,Display_All!O$2:O$200,)</f>
        <v>49</v>
      </c>
      <c r="G8" s="239" t="str">
        <f t="array" ref="G8">xlookup(row()-1,Calcs!AQ$2:AQ$200,Display_All!AC$2:AC$200,)</f>
        <v>?</v>
      </c>
      <c r="H8" s="239" t="str">
        <f t="array" ref="H8">xlookup(row()-1,Calcs!AQ$2:AQ$200,Display_All!AE$2:AE$200,)</f>
        <v>DD1-SSW</v>
      </c>
      <c r="I8" s="376">
        <f t="array" ref="I8">xlookup(row()-1,Calcs!AQ$2:AQ$200,Display_All!AH$2:AH$200,)</f>
        <v>0.5482634678</v>
      </c>
      <c r="J8" s="241">
        <f t="array" ref="J8">xlookup(row()-1,Calcs!AQ$2:AQ$200,Display_All!AG$2:AG$200,)</f>
        <v>36.4</v>
      </c>
      <c r="K8" s="241">
        <f t="array" ref="K8">xlookup(row()-1,Calcs!AQ$2:AQ$200,Display_All!AU$2:AU$200,)</f>
        <v>1.5</v>
      </c>
      <c r="L8" s="377">
        <f t="array" ref="L8">xlookup(row()-1,Calcs!AQ$2:AQ$200,Display_All!AW$2:AW$200,)</f>
        <v>0.04120879121</v>
      </c>
      <c r="M8" s="302">
        <f t="array" ref="M8">xlookup(row()-1,Calcs!AQ$2:AQ$200,Display_All!AX$2:AX$200,)</f>
        <v>0.07516238748</v>
      </c>
      <c r="O8" s="126" t="str">
        <f t="array" ref="O8">xlookup(row()-1,Calcs!AQ$2:AQ$200,Calcs!U$2:U$200,)</f>
        <v>?</v>
      </c>
    </row>
    <row r="9">
      <c r="A9" s="378">
        <f t="array" ref="A9">xlookup(row()-1,Calcs!AQ$2:AQ$200,Raw!A$2:A$200,)</f>
        <v>68</v>
      </c>
      <c r="B9" s="379" t="str">
        <f t="array" ref="B9">xlookup(row()-1,Calcs!AQ$2:AQ$200,Raw!B$2:B$200,)</f>
        <v>T2T 2C</v>
      </c>
      <c r="C9" s="379" t="str">
        <f t="array" ref="C9">xlookup(row()-1,Calcs!AQ$2:AQ$200,Raw!I$2:I$200,)</f>
        <v>short shaft on stone</v>
      </c>
      <c r="D9" s="379" t="str">
        <f t="array" ref="D9">xlookup(row()-1,Calcs!AQ$2:AQ$200,Raw!J$2:J$200,)</f>
        <v>manure cobb</v>
      </c>
      <c r="E9" s="379">
        <f t="array" ref="E9">xlookup(row()-1,Calcs!AQ$2:AQ$200,Raw!AO$2:AO$200,)</f>
        <v>19</v>
      </c>
      <c r="F9" s="379">
        <f t="array" ref="F9">xlookup(row()-1,Calcs!AQ$2:AQ$200,Display_All!O$2:O$200,)</f>
        <v>49</v>
      </c>
      <c r="G9" s="379" t="str">
        <f t="array" ref="G9">xlookup(row()-1,Calcs!AQ$2:AQ$200,Display_All!AC$2:AC$200,)</f>
        <v>?</v>
      </c>
      <c r="H9" s="379" t="str">
        <f t="array" ref="H9">xlookup(row()-1,Calcs!AQ$2:AQ$200,Display_All!AE$2:AE$200,)</f>
        <v>Scotland Taconite/Lecht Scotland Goethite/Gromps</v>
      </c>
      <c r="I9" s="380" t="str">
        <f t="array" ref="I9">xlookup(row()-1,Calcs!AQ$2:AQ$200,Display_All!AH$2:AH$200,)</f>
        <v>?</v>
      </c>
      <c r="J9" s="381">
        <f t="array" ref="J9">xlookup(row()-1,Calcs!AQ$2:AQ$200,Display_All!AG$2:AG$200,)</f>
        <v>34</v>
      </c>
      <c r="K9" s="381">
        <f t="array" ref="K9">xlookup(row()-1,Calcs!AQ$2:AQ$200,Display_All!AU$2:AU$200,)</f>
        <v>9</v>
      </c>
      <c r="L9" s="382">
        <f t="array" ref="L9">xlookup(row()-1,Calcs!AQ$2:AQ$200,Display_All!AW$2:AW$200,)</f>
        <v>0.2647058824</v>
      </c>
      <c r="M9" s="383" t="str">
        <f t="array" ref="M9">xlookup(row()-1,Calcs!AQ$2:AQ$200,Display_All!AX$2:AX$200,)</f>
        <v>?</v>
      </c>
      <c r="O9" s="126" t="str">
        <f t="array" ref="O9">xlookup(row()-1,Calcs!AQ$2:AQ$200,Calcs!U$2:U$200,)</f>
        <v>?</v>
      </c>
    </row>
    <row r="10">
      <c r="A10" s="384" t="str">
        <f t="array" ref="A10">xlookup(row()-1,Calcs!AQ$2:AQ$200,Raw!A$2:A$200,)</f>
        <v/>
      </c>
      <c r="B10" s="384" t="str">
        <f t="array" ref="B10">xlookup(row()-1,Calcs!AQ$2:AQ$200,Raw!B$2:B$200,)</f>
        <v/>
      </c>
      <c r="C10" s="384" t="str">
        <f t="array" ref="C10">xlookup(row()-1,Calcs!AQ$2:AQ$200,Raw!I$2:I$200,)</f>
        <v/>
      </c>
      <c r="D10" s="384" t="str">
        <f t="array" ref="D10">xlookup(row()-1,Calcs!AQ$2:AQ$200,Raw!J$2:J$200,)</f>
        <v/>
      </c>
      <c r="E10" s="384" t="str">
        <f t="array" ref="E10">xlookup(row()-1,Calcs!AQ$2:AQ$200,Raw!AO$2:AO$200,)</f>
        <v/>
      </c>
      <c r="F10" s="384"/>
      <c r="G10" s="384" t="str">
        <f t="array" ref="G10">xlookup(row()-1,Calcs!AQ$2:AQ$200,Display_All!AC$2:AC$200,)</f>
        <v/>
      </c>
      <c r="H10" s="384" t="str">
        <f t="array" ref="H10">xlookup(row()-1,Calcs!AQ$2:AQ$200,Display_All!AE$2:AE$200,)</f>
        <v/>
      </c>
      <c r="I10" s="384" t="str">
        <f t="array" ref="I10">xlookup(row()-1,Calcs!AQ$2:AQ$200,Display_All!AH$2:AH$200,)</f>
        <v/>
      </c>
      <c r="J10" s="384" t="str">
        <f t="array" ref="J10">xlookup(row()-1,Calcs!AQ$2:AQ$200,Display_All!AG$2:AG$200,)</f>
        <v/>
      </c>
      <c r="K10" s="384" t="str">
        <f t="array" ref="K10">xlookup(row()-1,Calcs!AQ$2:AQ$200,Display_All!AU$2:AU$200,)</f>
        <v/>
      </c>
      <c r="L10" s="384" t="str">
        <f t="array" ref="L10">xlookup(row()-1,Calcs!AQ$2:AQ$200,Display_All!AW$2:AW$200,)</f>
        <v/>
      </c>
      <c r="M10" s="384" t="str">
        <f t="array" ref="M10">xlookup(row()-1,Calcs!AQ$2:AQ$200,Display_All!AX$2:AX$200,)</f>
        <v/>
      </c>
    </row>
    <row r="11">
      <c r="A11" s="66" t="s">
        <v>938</v>
      </c>
      <c r="B11" s="264" t="str">
        <f t="array" ref="B11">xlookup(row()-1,Calcs!AO$2:AO$200,Raw!B$2:B$200,)</f>
        <v/>
      </c>
      <c r="C11" s="264" t="str">
        <f t="array" ref="C11">xlookup(row()-1,Calcs!AO$2:AO$200,Raw!I$2:I$200,)</f>
        <v/>
      </c>
      <c r="D11" s="264" t="str">
        <f t="array" ref="D11">xlookup(row()-1,Calcs!AO$2:AO$200,Raw!J$2:J$200,)</f>
        <v/>
      </c>
      <c r="E11" s="208">
        <f t="shared" ref="E11:F11" si="1">average(E2:E9)</f>
        <v>15.75</v>
      </c>
      <c r="F11" s="208">
        <f t="shared" si="1"/>
        <v>49.75</v>
      </c>
      <c r="G11" s="208">
        <f>average(O2:O9)</f>
        <v>540</v>
      </c>
      <c r="H11" s="264" t="str">
        <f t="array" ref="H11">xlookup(row()-1,Calcs!AO$2:AO$200,Display_All!AE$2:AE$200,)</f>
        <v/>
      </c>
      <c r="I11" s="385">
        <f t="shared" ref="I11:M11" si="2">average(I2:I9)</f>
        <v>0.5391812839</v>
      </c>
      <c r="J11" s="208">
        <f t="shared" si="2"/>
        <v>31.2375</v>
      </c>
      <c r="K11" s="208">
        <f t="shared" si="2"/>
        <v>5.4</v>
      </c>
      <c r="L11" s="385">
        <f t="shared" si="2"/>
        <v>0.149110666</v>
      </c>
      <c r="M11" s="385">
        <f t="shared" si="2"/>
        <v>0.245738977</v>
      </c>
    </row>
    <row r="12">
      <c r="A12" s="386" t="s">
        <v>1130</v>
      </c>
      <c r="B12" s="264"/>
      <c r="C12" s="264" t="str">
        <f t="array" ref="C12">xlookup(row()-1,Calcs!AO$2:AO$200,Raw!I$2:I$200,)</f>
        <v/>
      </c>
      <c r="D12" s="264" t="str">
        <f t="array" ref="D12">xlookup(row()-1,Calcs!AO$2:AO$200,Raw!J$2:J$200,)</f>
        <v/>
      </c>
      <c r="E12" s="264">
        <f t="shared" ref="E12:F12" si="3">trimmean(E2:E9,0.3)</f>
        <v>16</v>
      </c>
      <c r="F12" s="208">
        <f t="shared" si="3"/>
        <v>49.16666667</v>
      </c>
      <c r="G12" s="264">
        <f>trimmean(O2:O9,0.3)</f>
        <v>540</v>
      </c>
      <c r="H12" s="264" t="str">
        <f t="array" ref="H12">xlookup(row()-1,Calcs!AO$2:AO$200,Display_All!AE$2:AE$200,)</f>
        <v/>
      </c>
      <c r="I12" s="385">
        <f t="shared" ref="I12:M12" si="4">trimmean(I2:I9,0.3)</f>
        <v>0.5391812839</v>
      </c>
      <c r="J12" s="208">
        <f t="shared" si="4"/>
        <v>34.81666667</v>
      </c>
      <c r="K12" s="208">
        <f t="shared" si="4"/>
        <v>4.94</v>
      </c>
      <c r="L12" s="385">
        <f t="shared" si="4"/>
        <v>0.1439278084</v>
      </c>
      <c r="M12" s="385">
        <f t="shared" si="4"/>
        <v>0.245738977</v>
      </c>
    </row>
    <row r="13">
      <c r="A13" s="264" t="str">
        <f t="array" ref="A13">xlookup(row()-1,Calcs!AQ$2:AQ$200,Raw!A$2:A$200,)</f>
        <v/>
      </c>
      <c r="B13" s="264" t="str">
        <f t="array" ref="B13">xlookup(row()-1,Calcs!AQ$2:AQ$200,Raw!B$2:B$200,)</f>
        <v/>
      </c>
      <c r="C13" s="264" t="str">
        <f t="array" ref="C13">xlookup(row()-1,Calcs!AQ$2:AQ$200,Raw!I$2:I$200,)</f>
        <v/>
      </c>
      <c r="D13" s="264" t="str">
        <f t="array" ref="D13">xlookup(row()-1,Calcs!AQ$2:AQ$200,Raw!J$2:J$200,)</f>
        <v/>
      </c>
      <c r="E13" s="264" t="str">
        <f t="array" ref="E13">xlookup(row()-1,Calcs!AQ$2:AQ$200,Raw!AO$2:AO$200,)</f>
        <v/>
      </c>
      <c r="F13" s="264"/>
      <c r="G13" s="264" t="str">
        <f t="array" ref="G13">xlookup(row()-1,Calcs!AQ$2:AQ$200,Display_All!AC$2:AC$200,)</f>
        <v/>
      </c>
      <c r="H13" s="264" t="str">
        <f t="array" ref="H13">xlookup(row()-1,Calcs!AQ$2:AQ$200,Display_All!AE$2:AE$200,)</f>
        <v/>
      </c>
      <c r="I13" s="264" t="str">
        <f t="array" ref="I13">xlookup(row()-1,Calcs!AQ$2:AQ$200,Display_All!AH$2:AH$200,)</f>
        <v/>
      </c>
      <c r="J13" s="264" t="str">
        <f t="array" ref="J13">xlookup(row()-1,Calcs!AQ$2:AQ$200,Display_All!AG$2:AG$200,)</f>
        <v/>
      </c>
      <c r="K13" s="264" t="str">
        <f t="array" ref="K13">xlookup(row()-1,Calcs!AQ$2:AQ$200,Display_All!AU$2:AU$200,)</f>
        <v/>
      </c>
      <c r="L13" s="264" t="str">
        <f t="array" ref="L13">xlookup(row()-1,Calcs!AQ$2:AQ$200,Display_All!AW$2:AW$200,)</f>
        <v/>
      </c>
      <c r="M13" s="264" t="str">
        <f t="array" ref="M13">xlookup(row()-1,Calcs!AQ$2:AQ$200,Display_All!AX$2:AX$200,)</f>
        <v/>
      </c>
    </row>
    <row r="14">
      <c r="A14" s="264" t="str">
        <f t="array" ref="A14">xlookup(row()-1,Calcs!AQ$2:AQ$200,Raw!A$2:A$200,)</f>
        <v/>
      </c>
      <c r="B14" s="264" t="str">
        <f t="array" ref="B14">xlookup(row()-1,Calcs!AQ$2:AQ$200,Raw!B$2:B$200,)</f>
        <v/>
      </c>
      <c r="C14" s="264" t="str">
        <f t="array" ref="C14">xlookup(row()-1,Calcs!AQ$2:AQ$200,Raw!I$2:I$200,)</f>
        <v/>
      </c>
      <c r="D14" s="264" t="str">
        <f t="array" ref="D14">xlookup(row()-1,Calcs!AQ$2:AQ$200,Raw!J$2:J$200,)</f>
        <v/>
      </c>
      <c r="E14" s="264" t="str">
        <f t="array" ref="E14">xlookup(row()-1,Calcs!AQ$2:AQ$200,Raw!AO$2:AO$200,)</f>
        <v/>
      </c>
      <c r="F14" s="264"/>
      <c r="G14" s="264" t="str">
        <f t="array" ref="G14">xlookup(row()-1,Calcs!AQ$2:AQ$200,Display_All!AC$2:AC$200,)</f>
        <v/>
      </c>
      <c r="H14" s="264" t="str">
        <f t="array" ref="H14">xlookup(row()-1,Calcs!AQ$2:AQ$200,Display_All!AE$2:AE$200,)</f>
        <v/>
      </c>
      <c r="I14" s="264" t="str">
        <f t="array" ref="I14">xlookup(row()-1,Calcs!AQ$2:AQ$200,Display_All!AH$2:AH$200,)</f>
        <v/>
      </c>
      <c r="J14" s="264" t="str">
        <f t="array" ref="J14">xlookup(row()-1,Calcs!AQ$2:AQ$200,Display_All!AG$2:AG$200,)</f>
        <v/>
      </c>
      <c r="K14" s="264" t="str">
        <f t="array" ref="K14">xlookup(row()-1,Calcs!AQ$2:AQ$200,Display_All!AU$2:AU$200,)</f>
        <v/>
      </c>
      <c r="L14" s="264" t="str">
        <f t="array" ref="L14">xlookup(row()-1,Calcs!AQ$2:AQ$200,Display_All!AW$2:AW$200,)</f>
        <v/>
      </c>
      <c r="M14" s="264" t="str">
        <f t="array" ref="M14">xlookup(row()-1,Calcs!AQ$2:AQ$200,Display_All!AX$2:AX$200,)</f>
        <v/>
      </c>
    </row>
    <row r="15">
      <c r="A15" s="264" t="str">
        <f t="array" ref="A15">xlookup(row()-1,Calcs!AQ$2:AQ$200,Raw!A$2:A$200,)</f>
        <v/>
      </c>
      <c r="B15" s="264" t="str">
        <f t="array" ref="B15">xlookup(row()-1,Calcs!AQ$2:AQ$200,Raw!B$2:B$200,)</f>
        <v/>
      </c>
      <c r="C15" s="264" t="str">
        <f t="array" ref="C15">xlookup(row()-1,Calcs!AQ$2:AQ$200,Raw!I$2:I$200,)</f>
        <v/>
      </c>
      <c r="D15" s="264" t="str">
        <f t="array" ref="D15">xlookup(row()-1,Calcs!AQ$2:AQ$200,Raw!J$2:J$200,)</f>
        <v/>
      </c>
      <c r="E15" s="264" t="str">
        <f t="array" ref="E15">xlookup(row()-1,Calcs!AQ$2:AQ$200,Raw!AO$2:AO$200,)</f>
        <v/>
      </c>
      <c r="F15" s="264"/>
      <c r="G15" s="264" t="str">
        <f t="array" ref="G15">xlookup(row()-1,Calcs!AQ$2:AQ$200,Display_All!AC$2:AC$200,)</f>
        <v/>
      </c>
      <c r="H15" s="264" t="str">
        <f t="array" ref="H15">xlookup(row()-1,Calcs!AQ$2:AQ$200,Display_All!AE$2:AE$200,)</f>
        <v/>
      </c>
      <c r="I15" s="264" t="str">
        <f t="array" ref="I15">xlookup(row()-1,Calcs!AQ$2:AQ$200,Display_All!AH$2:AH$200,)</f>
        <v/>
      </c>
      <c r="J15" s="264" t="str">
        <f t="array" ref="J15">xlookup(row()-1,Calcs!AQ$2:AQ$200,Display_All!AG$2:AG$200,)</f>
        <v/>
      </c>
      <c r="K15" s="264" t="str">
        <f t="array" ref="K15">xlookup(row()-1,Calcs!AQ$2:AQ$200,Display_All!AU$2:AU$200,)</f>
        <v/>
      </c>
      <c r="L15" s="264" t="str">
        <f t="array" ref="L15">xlookup(row()-1,Calcs!AQ$2:AQ$200,Display_All!AW$2:AW$200,)</f>
        <v/>
      </c>
      <c r="M15" s="264" t="str">
        <f t="array" ref="M15">xlookup(row()-1,Calcs!AQ$2:AQ$200,Display_All!AX$2:AX$200,)</f>
        <v/>
      </c>
    </row>
    <row r="16">
      <c r="A16" s="264" t="str">
        <f t="array" ref="A16">xlookup(row()-1,Calcs!AQ$2:AQ$200,Raw!A$2:A$200,)</f>
        <v/>
      </c>
      <c r="B16" s="264" t="str">
        <f t="array" ref="B16">xlookup(row()-1,Calcs!AQ$2:AQ$200,Raw!B$2:B$200,)</f>
        <v/>
      </c>
      <c r="C16" s="264" t="str">
        <f t="array" ref="C16">xlookup(row()-1,Calcs!AQ$2:AQ$200,Raw!I$2:I$200,)</f>
        <v/>
      </c>
      <c r="D16" s="264" t="str">
        <f t="array" ref="D16">xlookup(row()-1,Calcs!AQ$2:AQ$200,Raw!J$2:J$200,)</f>
        <v/>
      </c>
      <c r="E16" s="264" t="str">
        <f t="array" ref="E16">xlookup(row()-1,Calcs!AQ$2:AQ$200,Raw!AO$2:AO$200,)</f>
        <v/>
      </c>
      <c r="F16" s="264"/>
      <c r="G16" s="264" t="str">
        <f t="array" ref="G16">xlookup(row()-1,Calcs!AQ$2:AQ$200,Display_All!AC$2:AC$200,)</f>
        <v/>
      </c>
      <c r="H16" s="264" t="str">
        <f t="array" ref="H16">xlookup(row()-1,Calcs!AQ$2:AQ$200,Display_All!AE$2:AE$200,)</f>
        <v/>
      </c>
      <c r="I16" s="264" t="str">
        <f t="array" ref="I16">xlookup(row()-1,Calcs!AQ$2:AQ$200,Display_All!AH$2:AH$200,)</f>
        <v/>
      </c>
      <c r="J16" s="264" t="str">
        <f t="array" ref="J16">xlookup(row()-1,Calcs!AQ$2:AQ$200,Display_All!AG$2:AG$200,)</f>
        <v/>
      </c>
      <c r="K16" s="264" t="str">
        <f t="array" ref="K16">xlookup(row()-1,Calcs!AQ$2:AQ$200,Display_All!AU$2:AU$200,)</f>
        <v/>
      </c>
      <c r="L16" s="264" t="str">
        <f t="array" ref="L16">xlookup(row()-1,Calcs!AQ$2:AQ$200,Display_All!AW$2:AW$200,)</f>
        <v/>
      </c>
      <c r="M16" s="264" t="str">
        <f t="array" ref="M16">xlookup(row()-1,Calcs!AQ$2:AQ$200,Display_All!AX$2:AX$200,)</f>
        <v/>
      </c>
    </row>
    <row r="17">
      <c r="A17" s="264" t="str">
        <f t="array" ref="A17">xlookup(row()-1,Calcs!AQ$2:AQ$200,Raw!A$2:A$200,)</f>
        <v/>
      </c>
      <c r="B17" s="264" t="str">
        <f t="array" ref="B17">xlookup(row()-1,Calcs!AQ$2:AQ$200,Raw!B$2:B$200,)</f>
        <v/>
      </c>
      <c r="C17" s="264" t="str">
        <f t="array" ref="C17">xlookup(row()-1,Calcs!AQ$2:AQ$200,Raw!I$2:I$200,)</f>
        <v/>
      </c>
      <c r="D17" s="264" t="str">
        <f t="array" ref="D17">xlookup(row()-1,Calcs!AQ$2:AQ$200,Raw!J$2:J$200,)</f>
        <v/>
      </c>
      <c r="E17" s="264" t="str">
        <f t="array" ref="E17">xlookup(row()-1,Calcs!AQ$2:AQ$200,Raw!AO$2:AO$200,)</f>
        <v/>
      </c>
      <c r="F17" s="264"/>
      <c r="G17" s="264" t="str">
        <f t="array" ref="G17">xlookup(row()-1,Calcs!AQ$2:AQ$200,Display_All!AC$2:AC$200,)</f>
        <v/>
      </c>
      <c r="H17" s="264" t="str">
        <f t="array" ref="H17">xlookup(row()-1,Calcs!AQ$2:AQ$200,Display_All!AE$2:AE$200,)</f>
        <v/>
      </c>
      <c r="I17" s="264" t="str">
        <f t="array" ref="I17">xlookup(row()-1,Calcs!AQ$2:AQ$200,Display_All!AH$2:AH$200,)</f>
        <v/>
      </c>
      <c r="J17" s="264" t="str">
        <f t="array" ref="J17">xlookup(row()-1,Calcs!AQ$2:AQ$200,Display_All!AG$2:AG$200,)</f>
        <v/>
      </c>
      <c r="K17" s="264" t="str">
        <f t="array" ref="K17">xlookup(row()-1,Calcs!AQ$2:AQ$200,Display_All!AU$2:AU$200,)</f>
        <v/>
      </c>
      <c r="L17" s="264" t="str">
        <f t="array" ref="L17">xlookup(row()-1,Calcs!AQ$2:AQ$200,Display_All!AW$2:AW$200,)</f>
        <v/>
      </c>
      <c r="M17" s="264" t="str">
        <f t="array" ref="M17">xlookup(row()-1,Calcs!AQ$2:AQ$200,Display_All!AX$2:AX$200,)</f>
        <v/>
      </c>
    </row>
    <row r="18">
      <c r="A18" s="264" t="str">
        <f t="array" ref="A18">xlookup(row()-1,Calcs!AQ$2:AQ$200,Raw!A$2:A$200,)</f>
        <v/>
      </c>
      <c r="B18" s="264" t="str">
        <f t="array" ref="B18">xlookup(row()-1,Calcs!AQ$2:AQ$200,Raw!B$2:B$200,)</f>
        <v/>
      </c>
      <c r="C18" s="264" t="str">
        <f t="array" ref="C18">xlookup(row()-1,Calcs!AQ$2:AQ$200,Raw!I$2:I$200,)</f>
        <v/>
      </c>
      <c r="D18" s="264" t="str">
        <f t="array" ref="D18">xlookup(row()-1,Calcs!AQ$2:AQ$200,Raw!J$2:J$200,)</f>
        <v/>
      </c>
      <c r="E18" s="264" t="str">
        <f t="array" ref="E18">xlookup(row()-1,Calcs!AQ$2:AQ$200,Raw!AO$2:AO$200,)</f>
        <v/>
      </c>
      <c r="F18" s="264"/>
      <c r="G18" s="264" t="str">
        <f t="array" ref="G18">xlookup(row()-1,Calcs!AQ$2:AQ$200,Display_All!AC$2:AC$200,)</f>
        <v/>
      </c>
      <c r="H18" s="264" t="str">
        <f t="array" ref="H18">xlookup(row()-1,Calcs!AQ$2:AQ$200,Display_All!AE$2:AE$200,)</f>
        <v/>
      </c>
      <c r="I18" s="264" t="str">
        <f t="array" ref="I18">xlookup(row()-1,Calcs!AQ$2:AQ$200,Display_All!AH$2:AH$200,)</f>
        <v/>
      </c>
      <c r="J18" s="264" t="str">
        <f t="array" ref="J18">xlookup(row()-1,Calcs!AQ$2:AQ$200,Display_All!AG$2:AG$200,)</f>
        <v/>
      </c>
      <c r="K18" s="264" t="str">
        <f t="array" ref="K18">xlookup(row()-1,Calcs!AQ$2:AQ$200,Display_All!AU$2:AU$200,)</f>
        <v/>
      </c>
      <c r="L18" s="264" t="str">
        <f t="array" ref="L18">xlookup(row()-1,Calcs!AQ$2:AQ$200,Display_All!AW$2:AW$200,)</f>
        <v/>
      </c>
      <c r="M18" s="264" t="str">
        <f t="array" ref="M18">xlookup(row()-1,Calcs!AQ$2:AQ$200,Display_All!AX$2:AX$200,)</f>
        <v/>
      </c>
    </row>
    <row r="19">
      <c r="A19" s="264" t="str">
        <f t="array" ref="A19">xlookup(row()-1,Calcs!AQ$2:AQ$200,Raw!A$2:A$200,)</f>
        <v/>
      </c>
      <c r="B19" s="264" t="str">
        <f t="array" ref="B19">xlookup(row()-1,Calcs!AQ$2:AQ$200,Raw!B$2:B$200,)</f>
        <v/>
      </c>
      <c r="C19" s="264" t="str">
        <f t="array" ref="C19">xlookup(row()-1,Calcs!AQ$2:AQ$200,Raw!I$2:I$200,)</f>
        <v/>
      </c>
      <c r="D19" s="264" t="str">
        <f t="array" ref="D19">xlookup(row()-1,Calcs!AQ$2:AQ$200,Raw!J$2:J$200,)</f>
        <v/>
      </c>
      <c r="E19" s="264" t="str">
        <f t="array" ref="E19">xlookup(row()-1,Calcs!AQ$2:AQ$200,Raw!AO$2:AO$200,)</f>
        <v/>
      </c>
      <c r="F19" s="264"/>
      <c r="G19" s="264" t="str">
        <f t="array" ref="G19">xlookup(row()-1,Calcs!AQ$2:AQ$200,Display_All!AC$2:AC$200,)</f>
        <v/>
      </c>
      <c r="H19" s="264" t="str">
        <f t="array" ref="H19">xlookup(row()-1,Calcs!AQ$2:AQ$200,Display_All!AE$2:AE$200,)</f>
        <v/>
      </c>
      <c r="I19" s="264" t="str">
        <f t="array" ref="I19">xlookup(row()-1,Calcs!AQ$2:AQ$200,Display_All!AH$2:AH$200,)</f>
        <v/>
      </c>
      <c r="J19" s="264" t="str">
        <f t="array" ref="J19">xlookup(row()-1,Calcs!AQ$2:AQ$200,Display_All!AG$2:AG$200,)</f>
        <v/>
      </c>
      <c r="K19" s="264" t="str">
        <f t="array" ref="K19">xlookup(row()-1,Calcs!AQ$2:AQ$200,Display_All!AU$2:AU$200,)</f>
        <v/>
      </c>
      <c r="L19" s="264" t="str">
        <f t="array" ref="L19">xlookup(row()-1,Calcs!AQ$2:AQ$200,Display_All!AW$2:AW$200,)</f>
        <v/>
      </c>
      <c r="M19" s="264" t="str">
        <f t="array" ref="M19">xlookup(row()-1,Calcs!AQ$2:AQ$200,Display_All!AX$2:AX$200,)</f>
        <v/>
      </c>
    </row>
    <row r="20">
      <c r="A20" s="264" t="str">
        <f t="array" ref="A20">xlookup(row()-1,Calcs!AQ$2:AQ$200,Raw!A$2:A$200,)</f>
        <v/>
      </c>
      <c r="B20" s="264" t="str">
        <f t="array" ref="B20">xlookup(row()-1,Calcs!AQ$2:AQ$200,Raw!B$2:B$200,)</f>
        <v/>
      </c>
      <c r="C20" s="264" t="str">
        <f t="array" ref="C20">xlookup(row()-1,Calcs!AQ$2:AQ$200,Raw!I$2:I$200,)</f>
        <v/>
      </c>
      <c r="D20" s="264" t="str">
        <f t="array" ref="D20">xlookup(row()-1,Calcs!AQ$2:AQ$200,Raw!J$2:J$200,)</f>
        <v/>
      </c>
      <c r="E20" s="264" t="str">
        <f t="array" ref="E20">xlookup(row()-1,Calcs!AQ$2:AQ$200,Raw!AO$2:AO$200,)</f>
        <v/>
      </c>
      <c r="F20" s="264"/>
      <c r="G20" s="264" t="str">
        <f t="array" ref="G20">xlookup(row()-1,Calcs!AQ$2:AQ$200,Display_All!AC$2:AC$200,)</f>
        <v/>
      </c>
      <c r="H20" s="264" t="str">
        <f t="array" ref="H20">xlookup(row()-1,Calcs!AQ$2:AQ$200,Display_All!AE$2:AE$200,)</f>
        <v/>
      </c>
      <c r="I20" s="264" t="str">
        <f t="array" ref="I20">xlookup(row()-1,Calcs!AQ$2:AQ$200,Display_All!AH$2:AH$200,)</f>
        <v/>
      </c>
      <c r="J20" s="264" t="str">
        <f t="array" ref="J20">xlookup(row()-1,Calcs!AQ$2:AQ$200,Display_All!AG$2:AG$200,)</f>
        <v/>
      </c>
      <c r="K20" s="264" t="str">
        <f t="array" ref="K20">xlookup(row()-1,Calcs!AQ$2:AQ$200,Display_All!AU$2:AU$200,)</f>
        <v/>
      </c>
      <c r="L20" s="264" t="str">
        <f t="array" ref="L20">xlookup(row()-1,Calcs!AQ$2:AQ$200,Display_All!AW$2:AW$200,)</f>
        <v/>
      </c>
      <c r="M20" s="264" t="str">
        <f t="array" ref="M20">xlookup(row()-1,Calcs!AQ$2:AQ$200,Display_All!AX$2:AX$200,)</f>
        <v/>
      </c>
    </row>
    <row r="21">
      <c r="A21" s="264" t="str">
        <f t="array" ref="A21">xlookup(row()-1,Calcs!AQ$2:AQ$200,Raw!A$2:A$200,)</f>
        <v/>
      </c>
      <c r="B21" s="264" t="str">
        <f t="array" ref="B21">xlookup(row()-1,Calcs!AQ$2:AQ$200,Raw!B$2:B$200,)</f>
        <v/>
      </c>
      <c r="C21" s="264" t="str">
        <f t="array" ref="C21">xlookup(row()-1,Calcs!AQ$2:AQ$200,Raw!I$2:I$200,)</f>
        <v/>
      </c>
      <c r="D21" s="264" t="str">
        <f t="array" ref="D21">xlookup(row()-1,Calcs!AQ$2:AQ$200,Raw!J$2:J$200,)</f>
        <v/>
      </c>
      <c r="E21" s="264" t="str">
        <f t="array" ref="E21">xlookup(row()-1,Calcs!AQ$2:AQ$200,Raw!AO$2:AO$200,)</f>
        <v/>
      </c>
      <c r="F21" s="264"/>
      <c r="G21" s="264" t="str">
        <f t="array" ref="G21">xlookup(row()-1,Calcs!AQ$2:AQ$200,Display_All!AC$2:AC$200,)</f>
        <v/>
      </c>
      <c r="H21" s="264" t="str">
        <f t="array" ref="H21">xlookup(row()-1,Calcs!AQ$2:AQ$200,Display_All!AE$2:AE$200,)</f>
        <v/>
      </c>
      <c r="I21" s="264" t="str">
        <f t="array" ref="I21">xlookup(row()-1,Calcs!AQ$2:AQ$200,Display_All!AH$2:AH$200,)</f>
        <v/>
      </c>
      <c r="J21" s="264" t="str">
        <f t="array" ref="J21">xlookup(row()-1,Calcs!AQ$2:AQ$200,Display_All!AG$2:AG$200,)</f>
        <v/>
      </c>
      <c r="K21" s="264" t="str">
        <f t="array" ref="K21">xlookup(row()-1,Calcs!AQ$2:AQ$200,Display_All!AU$2:AU$200,)</f>
        <v/>
      </c>
      <c r="L21" s="264" t="str">
        <f t="array" ref="L21">xlookup(row()-1,Calcs!AQ$2:AQ$200,Display_All!AW$2:AW$200,)</f>
        <v/>
      </c>
      <c r="M21" s="264" t="str">
        <f t="array" ref="M21">xlookup(row()-1,Calcs!AQ$2:AQ$200,Display_All!AX$2:AX$200,)</f>
        <v/>
      </c>
    </row>
    <row r="22">
      <c r="A22" s="264" t="str">
        <f t="array" ref="A22">xlookup(row()-1,Calcs!AQ$2:AQ$200,Raw!A$2:A$200,)</f>
        <v/>
      </c>
      <c r="B22" s="264" t="str">
        <f t="array" ref="B22">xlookup(row()-1,Calcs!AQ$2:AQ$200,Raw!B$2:B$200,)</f>
        <v/>
      </c>
      <c r="C22" s="264" t="str">
        <f t="array" ref="C22">xlookup(row()-1,Calcs!AQ$2:AQ$200,Raw!I$2:I$200,)</f>
        <v/>
      </c>
      <c r="D22" s="264" t="str">
        <f t="array" ref="D22">xlookup(row()-1,Calcs!AQ$2:AQ$200,Raw!J$2:J$200,)</f>
        <v/>
      </c>
      <c r="E22" s="264" t="str">
        <f t="array" ref="E22">xlookup(row()-1,Calcs!AQ$2:AQ$200,Raw!AO$2:AO$200,)</f>
        <v/>
      </c>
      <c r="F22" s="264"/>
      <c r="G22" s="264" t="str">
        <f t="array" ref="G22">xlookup(row()-1,Calcs!AQ$2:AQ$200,Display_All!AC$2:AC$200,)</f>
        <v/>
      </c>
      <c r="H22" s="264" t="str">
        <f t="array" ref="H22">xlookup(row()-1,Calcs!AQ$2:AQ$200,Display_All!AE$2:AE$200,)</f>
        <v/>
      </c>
      <c r="I22" s="264" t="str">
        <f t="array" ref="I22">xlookup(row()-1,Calcs!AQ$2:AQ$200,Display_All!AH$2:AH$200,)</f>
        <v/>
      </c>
      <c r="J22" s="264" t="str">
        <f t="array" ref="J22">xlookup(row()-1,Calcs!AQ$2:AQ$200,Display_All!AG$2:AG$200,)</f>
        <v/>
      </c>
      <c r="K22" s="264" t="str">
        <f t="array" ref="K22">xlookup(row()-1,Calcs!AQ$2:AQ$200,Display_All!AU$2:AU$200,)</f>
        <v/>
      </c>
      <c r="L22" s="264" t="str">
        <f t="array" ref="L22">xlookup(row()-1,Calcs!AQ$2:AQ$200,Display_All!AW$2:AW$200,)</f>
        <v/>
      </c>
      <c r="M22" s="264" t="str">
        <f t="array" ref="M22">xlookup(row()-1,Calcs!AQ$2:AQ$200,Display_All!AX$2:AX$200,)</f>
        <v/>
      </c>
    </row>
    <row r="23">
      <c r="A23" s="264" t="str">
        <f t="array" ref="A23">xlookup(row()-1,Calcs!AQ$2:AQ$200,Raw!A$2:A$200,)</f>
        <v/>
      </c>
      <c r="B23" s="264" t="str">
        <f t="array" ref="B23">xlookup(row()-1,Calcs!AQ$2:AQ$200,Raw!B$2:B$200,)</f>
        <v/>
      </c>
      <c r="C23" s="264" t="str">
        <f t="array" ref="C23">xlookup(row()-1,Calcs!AQ$2:AQ$200,Raw!I$2:I$200,)</f>
        <v/>
      </c>
      <c r="D23" s="264" t="str">
        <f t="array" ref="D23">xlookup(row()-1,Calcs!AQ$2:AQ$200,Raw!J$2:J$200,)</f>
        <v/>
      </c>
      <c r="E23" s="264" t="str">
        <f t="array" ref="E23">xlookup(row()-1,Calcs!AQ$2:AQ$200,Raw!AO$2:AO$200,)</f>
        <v/>
      </c>
      <c r="F23" s="264"/>
      <c r="G23" s="264" t="str">
        <f t="array" ref="G23">xlookup(row()-1,Calcs!AQ$2:AQ$200,Display_All!AC$2:AC$200,)</f>
        <v/>
      </c>
      <c r="H23" s="264" t="str">
        <f t="array" ref="H23">xlookup(row()-1,Calcs!AQ$2:AQ$200,Display_All!AE$2:AE$200,)</f>
        <v/>
      </c>
      <c r="I23" s="264" t="str">
        <f t="array" ref="I23">xlookup(row()-1,Calcs!AQ$2:AQ$200,Display_All!AH$2:AH$200,)</f>
        <v/>
      </c>
      <c r="J23" s="264" t="str">
        <f t="array" ref="J23">xlookup(row()-1,Calcs!AQ$2:AQ$200,Display_All!AG$2:AG$200,)</f>
        <v/>
      </c>
      <c r="K23" s="264" t="str">
        <f t="array" ref="K23">xlookup(row()-1,Calcs!AQ$2:AQ$200,Display_All!AU$2:AU$200,)</f>
        <v/>
      </c>
      <c r="L23" s="264" t="str">
        <f t="array" ref="L23">xlookup(row()-1,Calcs!AQ$2:AQ$200,Display_All!AW$2:AW$200,)</f>
        <v/>
      </c>
      <c r="M23" s="264" t="str">
        <f t="array" ref="M23">xlookup(row()-1,Calcs!AQ$2:AQ$200,Display_All!AX$2:AX$200,)</f>
        <v/>
      </c>
    </row>
    <row r="24">
      <c r="A24" s="264" t="str">
        <f t="array" ref="A24">xlookup(row()-1,Calcs!AQ$2:AQ$200,Raw!A$2:A$200,)</f>
        <v/>
      </c>
      <c r="B24" s="264" t="str">
        <f t="array" ref="B24">xlookup(row()-1,Calcs!AQ$2:AQ$200,Raw!B$2:B$200,)</f>
        <v/>
      </c>
      <c r="C24" s="264" t="str">
        <f t="array" ref="C24">xlookup(row()-1,Calcs!AQ$2:AQ$200,Raw!I$2:I$200,)</f>
        <v/>
      </c>
      <c r="D24" s="264" t="str">
        <f t="array" ref="D24">xlookup(row()-1,Calcs!AQ$2:AQ$200,Raw!J$2:J$200,)</f>
        <v/>
      </c>
      <c r="E24" s="264" t="str">
        <f t="array" ref="E24">xlookup(row()-1,Calcs!AQ$2:AQ$200,Raw!AO$2:AO$200,)</f>
        <v/>
      </c>
      <c r="F24" s="264"/>
      <c r="G24" s="264" t="str">
        <f t="array" ref="G24">xlookup(row()-1,Calcs!AQ$2:AQ$200,Display_All!AC$2:AC$200,)</f>
        <v/>
      </c>
      <c r="H24" s="264" t="str">
        <f t="array" ref="H24">xlookup(row()-1,Calcs!AQ$2:AQ$200,Display_All!AE$2:AE$200,)</f>
        <v/>
      </c>
      <c r="I24" s="264" t="str">
        <f t="array" ref="I24">xlookup(row()-1,Calcs!AQ$2:AQ$200,Display_All!AH$2:AH$200,)</f>
        <v/>
      </c>
      <c r="J24" s="264" t="str">
        <f t="array" ref="J24">xlookup(row()-1,Calcs!AQ$2:AQ$200,Display_All!AG$2:AG$200,)</f>
        <v/>
      </c>
      <c r="K24" s="264" t="str">
        <f t="array" ref="K24">xlookup(row()-1,Calcs!AQ$2:AQ$200,Display_All!AU$2:AU$200,)</f>
        <v/>
      </c>
      <c r="L24" s="264" t="str">
        <f t="array" ref="L24">xlookup(row()-1,Calcs!AQ$2:AQ$200,Display_All!AW$2:AW$200,)</f>
        <v/>
      </c>
      <c r="M24" s="264" t="str">
        <f t="array" ref="M24">xlookup(row()-1,Calcs!AQ$2:AQ$200,Display_All!AX$2:AX$200,)</f>
        <v/>
      </c>
    </row>
    <row r="25">
      <c r="A25" s="264" t="str">
        <f t="array" ref="A25">xlookup(row()-1,Calcs!AQ$2:AQ$200,Raw!A$2:A$200,)</f>
        <v/>
      </c>
      <c r="B25" s="264" t="str">
        <f t="array" ref="B25">xlookup(row()-1,Calcs!AQ$2:AQ$200,Raw!B$2:B$200,)</f>
        <v/>
      </c>
      <c r="C25" s="264" t="str">
        <f t="array" ref="C25">xlookup(row()-1,Calcs!AQ$2:AQ$200,Raw!I$2:I$200,)</f>
        <v/>
      </c>
      <c r="D25" s="264" t="str">
        <f t="array" ref="D25">xlookup(row()-1,Calcs!AQ$2:AQ$200,Raw!J$2:J$200,)</f>
        <v/>
      </c>
      <c r="E25" s="264" t="str">
        <f t="array" ref="E25">xlookup(row()-1,Calcs!AQ$2:AQ$200,Raw!AO$2:AO$200,)</f>
        <v/>
      </c>
      <c r="F25" s="264"/>
      <c r="G25" s="264" t="str">
        <f t="array" ref="G25">xlookup(row()-1,Calcs!AQ$2:AQ$200,Display_All!AC$2:AC$200,)</f>
        <v/>
      </c>
      <c r="H25" s="264" t="str">
        <f t="array" ref="H25">xlookup(row()-1,Calcs!AQ$2:AQ$200,Display_All!AE$2:AE$200,)</f>
        <v/>
      </c>
      <c r="I25" s="264" t="str">
        <f t="array" ref="I25">xlookup(row()-1,Calcs!AQ$2:AQ$200,Display_All!AH$2:AH$200,)</f>
        <v/>
      </c>
      <c r="J25" s="264" t="str">
        <f t="array" ref="J25">xlookup(row()-1,Calcs!AQ$2:AQ$200,Display_All!AG$2:AG$200,)</f>
        <v/>
      </c>
      <c r="K25" s="264" t="str">
        <f t="array" ref="K25">xlookup(row()-1,Calcs!AQ$2:AQ$200,Display_All!AU$2:AU$200,)</f>
        <v/>
      </c>
      <c r="L25" s="264" t="str">
        <f t="array" ref="L25">xlookup(row()-1,Calcs!AQ$2:AQ$200,Display_All!AW$2:AW$200,)</f>
        <v/>
      </c>
      <c r="M25" s="264" t="str">
        <f t="array" ref="M25">xlookup(row()-1,Calcs!AQ$2:AQ$200,Display_All!AX$2:AX$200,)</f>
        <v/>
      </c>
    </row>
    <row r="26">
      <c r="A26" s="264" t="str">
        <f t="array" ref="A26">xlookup(row()-1,Calcs!AQ$2:AQ$200,Raw!A$2:A$200,)</f>
        <v/>
      </c>
      <c r="B26" s="264" t="str">
        <f t="array" ref="B26">xlookup(row()-1,Calcs!AQ$2:AQ$200,Raw!B$2:B$200,)</f>
        <v/>
      </c>
      <c r="C26" s="264" t="str">
        <f t="array" ref="C26">xlookup(row()-1,Calcs!AQ$2:AQ$200,Raw!I$2:I$200,)</f>
        <v/>
      </c>
      <c r="D26" s="264" t="str">
        <f t="array" ref="D26">xlookup(row()-1,Calcs!AQ$2:AQ$200,Raw!J$2:J$200,)</f>
        <v/>
      </c>
      <c r="E26" s="264" t="str">
        <f t="array" ref="E26">xlookup(row()-1,Calcs!AQ$2:AQ$200,Raw!AO$2:AO$200,)</f>
        <v/>
      </c>
      <c r="F26" s="264"/>
      <c r="G26" s="264" t="str">
        <f t="array" ref="G26">xlookup(row()-1,Calcs!AQ$2:AQ$200,Display_All!AC$2:AC$200,)</f>
        <v/>
      </c>
      <c r="H26" s="264" t="str">
        <f t="array" ref="H26">xlookup(row()-1,Calcs!AQ$2:AQ$200,Display_All!AE$2:AE$200,)</f>
        <v/>
      </c>
      <c r="I26" s="264" t="str">
        <f t="array" ref="I26">xlookup(row()-1,Calcs!AQ$2:AQ$200,Display_All!AH$2:AH$200,)</f>
        <v/>
      </c>
      <c r="J26" s="264" t="str">
        <f t="array" ref="J26">xlookup(row()-1,Calcs!AQ$2:AQ$200,Display_All!AG$2:AG$200,)</f>
        <v/>
      </c>
      <c r="K26" s="264" t="str">
        <f t="array" ref="K26">xlookup(row()-1,Calcs!AQ$2:AQ$200,Display_All!AU$2:AU$200,)</f>
        <v/>
      </c>
      <c r="L26" s="264" t="str">
        <f t="array" ref="L26">xlookup(row()-1,Calcs!AQ$2:AQ$200,Display_All!AW$2:AW$200,)</f>
        <v/>
      </c>
      <c r="M26" s="264" t="str">
        <f t="array" ref="M26">xlookup(row()-1,Calcs!AQ$2:AQ$200,Display_All!AX$2:AX$200,)</f>
        <v/>
      </c>
    </row>
    <row r="27">
      <c r="A27" s="264" t="str">
        <f t="array" ref="A27">xlookup(row()-1,Calcs!AQ$2:AQ$200,Raw!A$2:A$200,)</f>
        <v/>
      </c>
      <c r="B27" s="264" t="str">
        <f t="array" ref="B27">xlookup(row()-1,Calcs!AQ$2:AQ$200,Raw!B$2:B$200,)</f>
        <v/>
      </c>
      <c r="C27" s="264" t="str">
        <f t="array" ref="C27">xlookup(row()-1,Calcs!AQ$2:AQ$200,Raw!I$2:I$200,)</f>
        <v/>
      </c>
      <c r="D27" s="264" t="str">
        <f t="array" ref="D27">xlookup(row()-1,Calcs!AQ$2:AQ$200,Raw!J$2:J$200,)</f>
        <v/>
      </c>
      <c r="E27" s="264" t="str">
        <f t="array" ref="E27">xlookup(row()-1,Calcs!AQ$2:AQ$200,Raw!AO$2:AO$200,)</f>
        <v/>
      </c>
      <c r="F27" s="264"/>
      <c r="G27" s="264" t="str">
        <f t="array" ref="G27">xlookup(row()-1,Calcs!AQ$2:AQ$200,Display_All!AC$2:AC$200,)</f>
        <v/>
      </c>
      <c r="H27" s="264" t="str">
        <f t="array" ref="H27">xlookup(row()-1,Calcs!AQ$2:AQ$200,Display_All!AE$2:AE$200,)</f>
        <v/>
      </c>
      <c r="I27" s="264" t="str">
        <f t="array" ref="I27">xlookup(row()-1,Calcs!AQ$2:AQ$200,Display_All!AH$2:AH$200,)</f>
        <v/>
      </c>
      <c r="J27" s="264" t="str">
        <f t="array" ref="J27">xlookup(row()-1,Calcs!AQ$2:AQ$200,Display_All!AG$2:AG$200,)</f>
        <v/>
      </c>
      <c r="K27" s="264" t="str">
        <f t="array" ref="K27">xlookup(row()-1,Calcs!AQ$2:AQ$200,Display_All!AU$2:AU$200,)</f>
        <v/>
      </c>
      <c r="L27" s="264" t="str">
        <f t="array" ref="L27">xlookup(row()-1,Calcs!AQ$2:AQ$200,Display_All!AW$2:AW$200,)</f>
        <v/>
      </c>
      <c r="M27" s="264" t="str">
        <f t="array" ref="M27">xlookup(row()-1,Calcs!AQ$2:AQ$200,Display_All!AX$2:AX$200,)</f>
        <v/>
      </c>
    </row>
    <row r="28">
      <c r="A28" s="264" t="str">
        <f t="array" ref="A28">xlookup(row()-1,Calcs!AQ$2:AQ$200,Raw!A$2:A$200,)</f>
        <v/>
      </c>
      <c r="B28" s="264" t="str">
        <f t="array" ref="B28">xlookup(row()-1,Calcs!AQ$2:AQ$200,Raw!B$2:B$200,)</f>
        <v/>
      </c>
      <c r="C28" s="264" t="str">
        <f t="array" ref="C28">xlookup(row()-1,Calcs!AQ$2:AQ$200,Raw!I$2:I$200,)</f>
        <v/>
      </c>
      <c r="D28" s="264" t="str">
        <f t="array" ref="D28">xlookup(row()-1,Calcs!AQ$2:AQ$200,Raw!J$2:J$200,)</f>
        <v/>
      </c>
      <c r="E28" s="264" t="str">
        <f t="array" ref="E28">xlookup(row()-1,Calcs!AQ$2:AQ$200,Raw!AO$2:AO$200,)</f>
        <v/>
      </c>
      <c r="F28" s="264"/>
      <c r="G28" s="264" t="str">
        <f t="array" ref="G28">xlookup(row()-1,Calcs!AQ$2:AQ$200,Display_All!AC$2:AC$200,)</f>
        <v/>
      </c>
      <c r="H28" s="264" t="str">
        <f t="array" ref="H28">xlookup(row()-1,Calcs!AQ$2:AQ$200,Display_All!AE$2:AE$200,)</f>
        <v/>
      </c>
      <c r="I28" s="264" t="str">
        <f t="array" ref="I28">xlookup(row()-1,Calcs!AQ$2:AQ$200,Display_All!AH$2:AH$200,)</f>
        <v/>
      </c>
      <c r="J28" s="264" t="str">
        <f t="array" ref="J28">xlookup(row()-1,Calcs!AQ$2:AQ$200,Display_All!AG$2:AG$200,)</f>
        <v/>
      </c>
      <c r="K28" s="264" t="str">
        <f t="array" ref="K28">xlookup(row()-1,Calcs!AQ$2:AQ$200,Display_All!AU$2:AU$200,)</f>
        <v/>
      </c>
      <c r="L28" s="264" t="str">
        <f t="array" ref="L28">xlookup(row()-1,Calcs!AQ$2:AQ$200,Display_All!AW$2:AW$200,)</f>
        <v/>
      </c>
      <c r="M28" s="264" t="str">
        <f t="array" ref="M28">xlookup(row()-1,Calcs!AQ$2:AQ$200,Display_All!AX$2:AX$200,)</f>
        <v/>
      </c>
    </row>
    <row r="29">
      <c r="A29" s="264" t="str">
        <f t="array" ref="A29">xlookup(row()-1,Calcs!AQ$2:AQ$200,Raw!A$2:A$200,)</f>
        <v/>
      </c>
      <c r="B29" s="264" t="str">
        <f t="array" ref="B29">xlookup(row()-1,Calcs!AQ$2:AQ$200,Raw!B$2:B$200,)</f>
        <v/>
      </c>
      <c r="C29" s="264" t="str">
        <f t="array" ref="C29">xlookup(row()-1,Calcs!AQ$2:AQ$200,Raw!I$2:I$200,)</f>
        <v/>
      </c>
      <c r="D29" s="264" t="str">
        <f t="array" ref="D29">xlookup(row()-1,Calcs!AQ$2:AQ$200,Raw!J$2:J$200,)</f>
        <v/>
      </c>
      <c r="E29" s="264" t="str">
        <f t="array" ref="E29">xlookup(row()-1,Calcs!AQ$2:AQ$200,Raw!AO$2:AO$200,)</f>
        <v/>
      </c>
      <c r="F29" s="264"/>
      <c r="G29" s="264" t="str">
        <f t="array" ref="G29">xlookup(row()-1,Calcs!AQ$2:AQ$200,Display_All!AC$2:AC$200,)</f>
        <v/>
      </c>
      <c r="H29" s="264" t="str">
        <f t="array" ref="H29">xlookup(row()-1,Calcs!AQ$2:AQ$200,Display_All!AE$2:AE$200,)</f>
        <v/>
      </c>
      <c r="I29" s="264" t="str">
        <f t="array" ref="I29">xlookup(row()-1,Calcs!AQ$2:AQ$200,Display_All!AH$2:AH$200,)</f>
        <v/>
      </c>
      <c r="J29" s="264" t="str">
        <f t="array" ref="J29">xlookup(row()-1,Calcs!AQ$2:AQ$200,Display_All!AG$2:AG$200,)</f>
        <v/>
      </c>
      <c r="K29" s="264" t="str">
        <f t="array" ref="K29">xlookup(row()-1,Calcs!AQ$2:AQ$200,Display_All!AU$2:AU$200,)</f>
        <v/>
      </c>
      <c r="L29" s="264" t="str">
        <f t="array" ref="L29">xlookup(row()-1,Calcs!AQ$2:AQ$200,Display_All!AW$2:AW$200,)</f>
        <v/>
      </c>
      <c r="M29" s="264" t="str">
        <f t="array" ref="M29">xlookup(row()-1,Calcs!AQ$2:AQ$200,Display_All!AX$2:AX$200,)</f>
        <v/>
      </c>
    </row>
    <row r="30">
      <c r="A30" s="264" t="str">
        <f t="array" ref="A30">xlookup(row()-1,Calcs!AQ$2:AQ$200,Raw!A$2:A$200,)</f>
        <v/>
      </c>
      <c r="B30" s="264" t="str">
        <f t="array" ref="B30">xlookup(row()-1,Calcs!AQ$2:AQ$200,Raw!B$2:B$200,)</f>
        <v/>
      </c>
      <c r="C30" s="264" t="str">
        <f t="array" ref="C30">xlookup(row()-1,Calcs!AQ$2:AQ$200,Raw!I$2:I$200,)</f>
        <v/>
      </c>
      <c r="D30" s="264" t="str">
        <f t="array" ref="D30">xlookup(row()-1,Calcs!AQ$2:AQ$200,Raw!J$2:J$200,)</f>
        <v/>
      </c>
      <c r="E30" s="264" t="str">
        <f t="array" ref="E30">xlookup(row()-1,Calcs!AQ$2:AQ$200,Raw!AO$2:AO$200,)</f>
        <v/>
      </c>
      <c r="F30" s="264"/>
      <c r="G30" s="264" t="str">
        <f t="array" ref="G30">xlookup(row()-1,Calcs!AQ$2:AQ$200,Display_All!AC$2:AC$200,)</f>
        <v/>
      </c>
      <c r="H30" s="264" t="str">
        <f t="array" ref="H30">xlookup(row()-1,Calcs!AQ$2:AQ$200,Display_All!AE$2:AE$200,)</f>
        <v/>
      </c>
      <c r="I30" s="264" t="str">
        <f t="array" ref="I30">xlookup(row()-1,Calcs!AQ$2:AQ$200,Display_All!AH$2:AH$200,)</f>
        <v/>
      </c>
      <c r="J30" s="264" t="str">
        <f t="array" ref="J30">xlookup(row()-1,Calcs!AQ$2:AQ$200,Display_All!AG$2:AG$200,)</f>
        <v/>
      </c>
      <c r="K30" s="264" t="str">
        <f t="array" ref="K30">xlookup(row()-1,Calcs!AQ$2:AQ$200,Display_All!AU$2:AU$200,)</f>
        <v/>
      </c>
      <c r="L30" s="264" t="str">
        <f t="array" ref="L30">xlookup(row()-1,Calcs!AQ$2:AQ$200,Display_All!AW$2:AW$200,)</f>
        <v/>
      </c>
      <c r="M30" s="264" t="str">
        <f t="array" ref="M30">xlookup(row()-1,Calcs!AQ$2:AQ$200,Display_All!AX$2:AX$200,)</f>
        <v/>
      </c>
    </row>
    <row r="31">
      <c r="A31" s="264" t="str">
        <f t="array" ref="A31">xlookup(row()-1,Calcs!AQ$2:AQ$200,Raw!A$2:A$200,)</f>
        <v/>
      </c>
      <c r="B31" s="264" t="str">
        <f t="array" ref="B31">xlookup(row()-1,Calcs!AQ$2:AQ$200,Raw!B$2:B$200,)</f>
        <v/>
      </c>
      <c r="C31" s="264" t="str">
        <f t="array" ref="C31">xlookup(row()-1,Calcs!AQ$2:AQ$200,Raw!I$2:I$200,)</f>
        <v/>
      </c>
      <c r="D31" s="264" t="str">
        <f t="array" ref="D31">xlookup(row()-1,Calcs!AQ$2:AQ$200,Raw!J$2:J$200,)</f>
        <v/>
      </c>
      <c r="E31" s="264" t="str">
        <f t="array" ref="E31">xlookup(row()-1,Calcs!AQ$2:AQ$200,Raw!AO$2:AO$200,)</f>
        <v/>
      </c>
      <c r="F31" s="264"/>
      <c r="G31" s="264" t="str">
        <f t="array" ref="G31">xlookup(row()-1,Calcs!AQ$2:AQ$200,Display_All!AC$2:AC$200,)</f>
        <v/>
      </c>
      <c r="H31" s="264" t="str">
        <f t="array" ref="H31">xlookup(row()-1,Calcs!AQ$2:AQ$200,Display_All!AE$2:AE$200,)</f>
        <v/>
      </c>
      <c r="I31" s="264" t="str">
        <f t="array" ref="I31">xlookup(row()-1,Calcs!AQ$2:AQ$200,Display_All!AH$2:AH$200,)</f>
        <v/>
      </c>
      <c r="J31" s="264" t="str">
        <f t="array" ref="J31">xlookup(row()-1,Calcs!AQ$2:AQ$200,Display_All!AG$2:AG$200,)</f>
        <v/>
      </c>
      <c r="K31" s="264" t="str">
        <f t="array" ref="K31">xlookup(row()-1,Calcs!AQ$2:AQ$200,Display_All!AU$2:AU$200,)</f>
        <v/>
      </c>
      <c r="L31" s="264" t="str">
        <f t="array" ref="L31">xlookup(row()-1,Calcs!AQ$2:AQ$200,Display_All!AW$2:AW$200,)</f>
        <v/>
      </c>
      <c r="M31" s="264" t="str">
        <f t="array" ref="M31">xlookup(row()-1,Calcs!AQ$2:AQ$200,Display_All!AX$2:AX$200,)</f>
        <v/>
      </c>
    </row>
    <row r="32">
      <c r="A32" s="264" t="str">
        <f t="array" ref="A32">xlookup(row()-1,Calcs!AQ$2:AQ$200,Raw!A$2:A$200,)</f>
        <v/>
      </c>
      <c r="B32" s="264" t="str">
        <f t="array" ref="B32">xlookup(row()-1,Calcs!AQ$2:AQ$200,Raw!B$2:B$200,)</f>
        <v/>
      </c>
      <c r="C32" s="264" t="str">
        <f t="array" ref="C32">xlookup(row()-1,Calcs!AQ$2:AQ$200,Raw!I$2:I$200,)</f>
        <v/>
      </c>
      <c r="D32" s="264" t="str">
        <f t="array" ref="D32">xlookup(row()-1,Calcs!AQ$2:AQ$200,Raw!J$2:J$200,)</f>
        <v/>
      </c>
      <c r="E32" s="264" t="str">
        <f t="array" ref="E32">xlookup(row()-1,Calcs!AQ$2:AQ$200,Raw!AO$2:AO$200,)</f>
        <v/>
      </c>
      <c r="F32" s="264"/>
      <c r="G32" s="264" t="str">
        <f t="array" ref="G32">xlookup(row()-1,Calcs!AQ$2:AQ$200,Display_All!AC$2:AC$200,)</f>
        <v/>
      </c>
      <c r="H32" s="264" t="str">
        <f t="array" ref="H32">xlookup(row()-1,Calcs!AQ$2:AQ$200,Display_All!AE$2:AE$200,)</f>
        <v/>
      </c>
      <c r="I32" s="264" t="str">
        <f t="array" ref="I32">xlookup(row()-1,Calcs!AQ$2:AQ$200,Display_All!AH$2:AH$200,)</f>
        <v/>
      </c>
      <c r="J32" s="264" t="str">
        <f t="array" ref="J32">xlookup(row()-1,Calcs!AQ$2:AQ$200,Display_All!AG$2:AG$200,)</f>
        <v/>
      </c>
      <c r="K32" s="264" t="str">
        <f t="array" ref="K32">xlookup(row()-1,Calcs!AQ$2:AQ$200,Display_All!AU$2:AU$200,)</f>
        <v/>
      </c>
      <c r="L32" s="264" t="str">
        <f t="array" ref="L32">xlookup(row()-1,Calcs!AQ$2:AQ$200,Display_All!AW$2:AW$200,)</f>
        <v/>
      </c>
      <c r="M32" s="264" t="str">
        <f t="array" ref="M32">xlookup(row()-1,Calcs!AQ$2:AQ$200,Display_All!AX$2:AX$200,)</f>
        <v/>
      </c>
    </row>
    <row r="33">
      <c r="A33" s="264" t="str">
        <f t="array" ref="A33">xlookup(row()-1,Calcs!AQ$2:AQ$200,Raw!A$2:A$200,)</f>
        <v/>
      </c>
      <c r="B33" s="264" t="str">
        <f t="array" ref="B33">xlookup(row()-1,Calcs!AQ$2:AQ$200,Raw!B$2:B$200,)</f>
        <v/>
      </c>
      <c r="C33" s="264" t="str">
        <f t="array" ref="C33">xlookup(row()-1,Calcs!AQ$2:AQ$200,Raw!I$2:I$200,)</f>
        <v/>
      </c>
      <c r="D33" s="264" t="str">
        <f t="array" ref="D33">xlookup(row()-1,Calcs!AQ$2:AQ$200,Raw!J$2:J$200,)</f>
        <v/>
      </c>
      <c r="E33" s="264" t="str">
        <f t="array" ref="E33">xlookup(row()-1,Calcs!AQ$2:AQ$200,Raw!AO$2:AO$200,)</f>
        <v/>
      </c>
      <c r="F33" s="264"/>
      <c r="G33" s="264" t="str">
        <f t="array" ref="G33">xlookup(row()-1,Calcs!AQ$2:AQ$200,Display_All!AC$2:AC$200,)</f>
        <v/>
      </c>
      <c r="H33" s="264" t="str">
        <f t="array" ref="H33">xlookup(row()-1,Calcs!AQ$2:AQ$200,Display_All!AE$2:AE$200,)</f>
        <v/>
      </c>
      <c r="I33" s="264" t="str">
        <f t="array" ref="I33">xlookup(row()-1,Calcs!AQ$2:AQ$200,Display_All!AH$2:AH$200,)</f>
        <v/>
      </c>
      <c r="J33" s="264" t="str">
        <f t="array" ref="J33">xlookup(row()-1,Calcs!AQ$2:AQ$200,Display_All!AG$2:AG$200,)</f>
        <v/>
      </c>
      <c r="K33" s="264" t="str">
        <f t="array" ref="K33">xlookup(row()-1,Calcs!AQ$2:AQ$200,Display_All!AU$2:AU$200,)</f>
        <v/>
      </c>
      <c r="L33" s="264" t="str">
        <f t="array" ref="L33">xlookup(row()-1,Calcs!AQ$2:AQ$200,Display_All!AW$2:AW$200,)</f>
        <v/>
      </c>
      <c r="M33" s="264" t="str">
        <f t="array" ref="M33">xlookup(row()-1,Calcs!AQ$2:AQ$200,Display_All!AX$2:AX$200,)</f>
        <v/>
      </c>
    </row>
    <row r="34">
      <c r="A34" s="264" t="str">
        <f t="array" ref="A34">xlookup(row()-1,Calcs!AQ$2:AQ$200,Raw!A$2:A$200,)</f>
        <v/>
      </c>
      <c r="B34" s="264" t="str">
        <f t="array" ref="B34">xlookup(row()-1,Calcs!AQ$2:AQ$200,Raw!B$2:B$200,)</f>
        <v/>
      </c>
      <c r="C34" s="264" t="str">
        <f t="array" ref="C34">xlookup(row()-1,Calcs!AQ$2:AQ$200,Raw!I$2:I$200,)</f>
        <v/>
      </c>
      <c r="D34" s="264" t="str">
        <f t="array" ref="D34">xlookup(row()-1,Calcs!AQ$2:AQ$200,Raw!J$2:J$200,)</f>
        <v/>
      </c>
      <c r="E34" s="264" t="str">
        <f t="array" ref="E34">xlookup(row()-1,Calcs!AQ$2:AQ$200,Raw!AO$2:AO$200,)</f>
        <v/>
      </c>
      <c r="F34" s="264"/>
      <c r="G34" s="264" t="str">
        <f t="array" ref="G34">xlookup(row()-1,Calcs!AQ$2:AQ$200,Display_All!AC$2:AC$200,)</f>
        <v/>
      </c>
      <c r="H34" s="264" t="str">
        <f t="array" ref="H34">xlookup(row()-1,Calcs!AQ$2:AQ$200,Display_All!AE$2:AE$200,)</f>
        <v/>
      </c>
      <c r="I34" s="264" t="str">
        <f t="array" ref="I34">xlookup(row()-1,Calcs!AQ$2:AQ$200,Display_All!AH$2:AH$200,)</f>
        <v/>
      </c>
      <c r="J34" s="264" t="str">
        <f t="array" ref="J34">xlookup(row()-1,Calcs!AQ$2:AQ$200,Display_All!AG$2:AG$200,)</f>
        <v/>
      </c>
      <c r="K34" s="264" t="str">
        <f t="array" ref="K34">xlookup(row()-1,Calcs!AQ$2:AQ$200,Display_All!AU$2:AU$200,)</f>
        <v/>
      </c>
      <c r="L34" s="264" t="str">
        <f t="array" ref="L34">xlookup(row()-1,Calcs!AQ$2:AQ$200,Display_All!AW$2:AW$200,)</f>
        <v/>
      </c>
      <c r="M34" s="264" t="str">
        <f t="array" ref="M34">xlookup(row()-1,Calcs!AQ$2:AQ$200,Display_All!AX$2:AX$200,)</f>
        <v/>
      </c>
    </row>
    <row r="35">
      <c r="A35" s="264" t="str">
        <f t="array" ref="A35">xlookup(row()-1,Calcs!AQ$2:AQ$200,Raw!A$2:A$200,)</f>
        <v/>
      </c>
      <c r="B35" s="264" t="str">
        <f t="array" ref="B35">xlookup(row()-1,Calcs!AQ$2:AQ$200,Raw!B$2:B$200,)</f>
        <v/>
      </c>
      <c r="C35" s="264" t="str">
        <f t="array" ref="C35">xlookup(row()-1,Calcs!AQ$2:AQ$200,Raw!I$2:I$200,)</f>
        <v/>
      </c>
      <c r="D35" s="264" t="str">
        <f t="array" ref="D35">xlookup(row()-1,Calcs!AQ$2:AQ$200,Raw!J$2:J$200,)</f>
        <v/>
      </c>
      <c r="E35" s="264" t="str">
        <f t="array" ref="E35">xlookup(row()-1,Calcs!AQ$2:AQ$200,Raw!AO$2:AO$200,)</f>
        <v/>
      </c>
      <c r="F35" s="264"/>
      <c r="G35" s="264" t="str">
        <f t="array" ref="G35">xlookup(row()-1,Calcs!AQ$2:AQ$200,Display_All!AC$2:AC$200,)</f>
        <v/>
      </c>
      <c r="H35" s="264" t="str">
        <f t="array" ref="H35">xlookup(row()-1,Calcs!AQ$2:AQ$200,Display_All!AE$2:AE$200,)</f>
        <v/>
      </c>
      <c r="I35" s="264" t="str">
        <f t="array" ref="I35">xlookup(row()-1,Calcs!AQ$2:AQ$200,Display_All!AH$2:AH$200,)</f>
        <v/>
      </c>
      <c r="J35" s="264" t="str">
        <f t="array" ref="J35">xlookup(row()-1,Calcs!AQ$2:AQ$200,Display_All!AG$2:AG$200,)</f>
        <v/>
      </c>
      <c r="K35" s="264" t="str">
        <f t="array" ref="K35">xlookup(row()-1,Calcs!AQ$2:AQ$200,Display_All!AU$2:AU$200,)</f>
        <v/>
      </c>
      <c r="L35" s="264" t="str">
        <f t="array" ref="L35">xlookup(row()-1,Calcs!AQ$2:AQ$200,Display_All!AW$2:AW$200,)</f>
        <v/>
      </c>
      <c r="M35" s="264" t="str">
        <f t="array" ref="M35">xlookup(row()-1,Calcs!AQ$2:AQ$200,Display_All!AX$2:AX$200,)</f>
        <v/>
      </c>
    </row>
    <row r="36">
      <c r="A36" s="264" t="str">
        <f t="array" ref="A36">xlookup(row()-1,Calcs!AQ$2:AQ$200,Raw!A$2:A$200,)</f>
        <v/>
      </c>
      <c r="B36" s="264" t="str">
        <f t="array" ref="B36">xlookup(row()-1,Calcs!AQ$2:AQ$200,Raw!B$2:B$200,)</f>
        <v/>
      </c>
      <c r="C36" s="264" t="str">
        <f t="array" ref="C36">xlookup(row()-1,Calcs!AQ$2:AQ$200,Raw!I$2:I$200,)</f>
        <v/>
      </c>
      <c r="D36" s="264" t="str">
        <f t="array" ref="D36">xlookup(row()-1,Calcs!AQ$2:AQ$200,Raw!J$2:J$200,)</f>
        <v/>
      </c>
      <c r="E36" s="264" t="str">
        <f t="array" ref="E36">xlookup(row()-1,Calcs!AQ$2:AQ$200,Raw!AO$2:AO$200,)</f>
        <v/>
      </c>
      <c r="F36" s="264"/>
      <c r="G36" s="264" t="str">
        <f t="array" ref="G36">xlookup(row()-1,Calcs!AQ$2:AQ$200,Display_All!AC$2:AC$200,)</f>
        <v/>
      </c>
      <c r="H36" s="264" t="str">
        <f t="array" ref="H36">xlookup(row()-1,Calcs!AQ$2:AQ$200,Display_All!AE$2:AE$200,)</f>
        <v/>
      </c>
      <c r="I36" s="264" t="str">
        <f t="array" ref="I36">xlookup(row()-1,Calcs!AQ$2:AQ$200,Display_All!AH$2:AH$200,)</f>
        <v/>
      </c>
      <c r="J36" s="264" t="str">
        <f t="array" ref="J36">xlookup(row()-1,Calcs!AQ$2:AQ$200,Display_All!AG$2:AG$200,)</f>
        <v/>
      </c>
      <c r="K36" s="264" t="str">
        <f t="array" ref="K36">xlookup(row()-1,Calcs!AQ$2:AQ$200,Display_All!AU$2:AU$200,)</f>
        <v/>
      </c>
      <c r="L36" s="264" t="str">
        <f t="array" ref="L36">xlookup(row()-1,Calcs!AQ$2:AQ$200,Display_All!AW$2:AW$200,)</f>
        <v/>
      </c>
      <c r="M36" s="264" t="str">
        <f t="array" ref="M36">xlookup(row()-1,Calcs!AQ$2:AQ$200,Display_All!AX$2:AX$200,)</f>
        <v/>
      </c>
    </row>
    <row r="37">
      <c r="A37" s="264" t="str">
        <f t="array" ref="A37">xlookup(row()-1,Calcs!AQ$2:AQ$200,Raw!A$2:A$200,)</f>
        <v/>
      </c>
      <c r="B37" s="264" t="str">
        <f t="array" ref="B37">xlookup(row()-1,Calcs!AQ$2:AQ$200,Raw!B$2:B$200,)</f>
        <v/>
      </c>
      <c r="C37" s="264" t="str">
        <f t="array" ref="C37">xlookup(row()-1,Calcs!AQ$2:AQ$200,Raw!I$2:I$200,)</f>
        <v/>
      </c>
      <c r="D37" s="264" t="str">
        <f t="array" ref="D37">xlookup(row()-1,Calcs!AQ$2:AQ$200,Raw!J$2:J$200,)</f>
        <v/>
      </c>
      <c r="E37" s="264" t="str">
        <f t="array" ref="E37">xlookup(row()-1,Calcs!AQ$2:AQ$200,Raw!AO$2:AO$200,)</f>
        <v/>
      </c>
      <c r="F37" s="264"/>
      <c r="G37" s="264" t="str">
        <f t="array" ref="G37">xlookup(row()-1,Calcs!AQ$2:AQ$200,Display_All!AC$2:AC$200,)</f>
        <v/>
      </c>
      <c r="H37" s="264" t="str">
        <f t="array" ref="H37">xlookup(row()-1,Calcs!AQ$2:AQ$200,Display_All!AE$2:AE$200,)</f>
        <v/>
      </c>
      <c r="I37" s="264" t="str">
        <f t="array" ref="I37">xlookup(row()-1,Calcs!AQ$2:AQ$200,Display_All!AH$2:AH$200,)</f>
        <v/>
      </c>
      <c r="J37" s="264" t="str">
        <f t="array" ref="J37">xlookup(row()-1,Calcs!AQ$2:AQ$200,Display_All!AG$2:AG$200,)</f>
        <v/>
      </c>
      <c r="K37" s="264" t="str">
        <f t="array" ref="K37">xlookup(row()-1,Calcs!AQ$2:AQ$200,Display_All!AU$2:AU$200,)</f>
        <v/>
      </c>
      <c r="L37" s="264" t="str">
        <f t="array" ref="L37">xlookup(row()-1,Calcs!AQ$2:AQ$200,Display_All!AW$2:AW$200,)</f>
        <v/>
      </c>
      <c r="M37" s="264" t="str">
        <f t="array" ref="M37">xlookup(row()-1,Calcs!AQ$2:AQ$200,Display_All!AX$2:AX$200,)</f>
        <v/>
      </c>
    </row>
    <row r="38">
      <c r="A38" s="264" t="str">
        <f t="array" ref="A38">xlookup(row()-1,Calcs!AQ$2:AQ$200,Raw!A$2:A$200,)</f>
        <v/>
      </c>
      <c r="B38" s="264" t="str">
        <f t="array" ref="B38">xlookup(row()-1,Calcs!AQ$2:AQ$200,Raw!B$2:B$200,)</f>
        <v/>
      </c>
      <c r="C38" s="264" t="str">
        <f t="array" ref="C38">xlookup(row()-1,Calcs!AQ$2:AQ$200,Raw!I$2:I$200,)</f>
        <v/>
      </c>
      <c r="D38" s="264" t="str">
        <f t="array" ref="D38">xlookup(row()-1,Calcs!AQ$2:AQ$200,Raw!J$2:J$200,)</f>
        <v/>
      </c>
      <c r="E38" s="264" t="str">
        <f t="array" ref="E38">xlookup(row()-1,Calcs!AQ$2:AQ$200,Raw!AO$2:AO$200,)</f>
        <v/>
      </c>
      <c r="F38" s="264"/>
      <c r="G38" s="264" t="str">
        <f t="array" ref="G38">xlookup(row()-1,Calcs!AQ$2:AQ$200,Display_All!AC$2:AC$200,)</f>
        <v/>
      </c>
      <c r="H38" s="264" t="str">
        <f t="array" ref="H38">xlookup(row()-1,Calcs!AQ$2:AQ$200,Display_All!AE$2:AE$200,)</f>
        <v/>
      </c>
      <c r="I38" s="264" t="str">
        <f t="array" ref="I38">xlookup(row()-1,Calcs!AQ$2:AQ$200,Display_All!AH$2:AH$200,)</f>
        <v/>
      </c>
      <c r="J38" s="264" t="str">
        <f t="array" ref="J38">xlookup(row()-1,Calcs!AQ$2:AQ$200,Display_All!AG$2:AG$200,)</f>
        <v/>
      </c>
      <c r="K38" s="264" t="str">
        <f t="array" ref="K38">xlookup(row()-1,Calcs!AQ$2:AQ$200,Display_All!AU$2:AU$200,)</f>
        <v/>
      </c>
      <c r="L38" s="264" t="str">
        <f t="array" ref="L38">xlookup(row()-1,Calcs!AQ$2:AQ$200,Display_All!AW$2:AW$200,)</f>
        <v/>
      </c>
      <c r="M38" s="264" t="str">
        <f t="array" ref="M38">xlookup(row()-1,Calcs!AQ$2:AQ$200,Display_All!AX$2:AX$200,)</f>
        <v/>
      </c>
    </row>
    <row r="39">
      <c r="A39" s="264" t="str">
        <f t="array" ref="A39">xlookup(row()-1,Calcs!AQ$2:AQ$200,Raw!A$2:A$200,)</f>
        <v/>
      </c>
      <c r="B39" s="264" t="str">
        <f t="array" ref="B39">xlookup(row()-1,Calcs!AQ$2:AQ$200,Raw!B$2:B$200,)</f>
        <v/>
      </c>
      <c r="C39" s="264" t="str">
        <f t="array" ref="C39">xlookup(row()-1,Calcs!AQ$2:AQ$200,Raw!I$2:I$200,)</f>
        <v/>
      </c>
      <c r="D39" s="264" t="str">
        <f t="array" ref="D39">xlookup(row()-1,Calcs!AQ$2:AQ$200,Raw!J$2:J$200,)</f>
        <v/>
      </c>
      <c r="E39" s="264" t="str">
        <f t="array" ref="E39">xlookup(row()-1,Calcs!AQ$2:AQ$200,Raw!AO$2:AO$200,)</f>
        <v/>
      </c>
      <c r="F39" s="264"/>
      <c r="G39" s="264" t="str">
        <f t="array" ref="G39">xlookup(row()-1,Calcs!AQ$2:AQ$200,Display_All!AC$2:AC$200,)</f>
        <v/>
      </c>
      <c r="H39" s="264" t="str">
        <f t="array" ref="H39">xlookup(row()-1,Calcs!AQ$2:AQ$200,Display_All!AE$2:AE$200,)</f>
        <v/>
      </c>
      <c r="I39" s="264" t="str">
        <f t="array" ref="I39">xlookup(row()-1,Calcs!AQ$2:AQ$200,Display_All!AH$2:AH$200,)</f>
        <v/>
      </c>
      <c r="J39" s="264" t="str">
        <f t="array" ref="J39">xlookup(row()-1,Calcs!AQ$2:AQ$200,Display_All!AG$2:AG$200,)</f>
        <v/>
      </c>
      <c r="K39" s="264" t="str">
        <f t="array" ref="K39">xlookup(row()-1,Calcs!AQ$2:AQ$200,Display_All!AU$2:AU$200,)</f>
        <v/>
      </c>
      <c r="L39" s="264" t="str">
        <f t="array" ref="L39">xlookup(row()-1,Calcs!AQ$2:AQ$200,Display_All!AW$2:AW$200,)</f>
        <v/>
      </c>
      <c r="M39" s="264" t="str">
        <f t="array" ref="M39">xlookup(row()-1,Calcs!AQ$2:AQ$200,Display_All!AX$2:AX$200,)</f>
        <v/>
      </c>
    </row>
    <row r="40">
      <c r="A40" s="264" t="str">
        <f t="array" ref="A40">xlookup(row()-1,Calcs!AQ$2:AQ$200,Raw!A$2:A$200,)</f>
        <v/>
      </c>
      <c r="B40" s="264" t="str">
        <f t="array" ref="B40">xlookup(row()-1,Calcs!AQ$2:AQ$200,Raw!B$2:B$200,)</f>
        <v/>
      </c>
      <c r="C40" s="264" t="str">
        <f t="array" ref="C40">xlookup(row()-1,Calcs!AQ$2:AQ$200,Raw!I$2:I$200,)</f>
        <v/>
      </c>
      <c r="D40" s="264" t="str">
        <f t="array" ref="D40">xlookup(row()-1,Calcs!AQ$2:AQ$200,Raw!J$2:J$200,)</f>
        <v/>
      </c>
      <c r="E40" s="264" t="str">
        <f t="array" ref="E40">xlookup(row()-1,Calcs!AQ$2:AQ$200,Raw!AO$2:AO$200,)</f>
        <v/>
      </c>
      <c r="F40" s="264"/>
      <c r="G40" s="264" t="str">
        <f t="array" ref="G40">xlookup(row()-1,Calcs!AQ$2:AQ$200,Display_All!AC$2:AC$200,)</f>
        <v/>
      </c>
      <c r="H40" s="264" t="str">
        <f t="array" ref="H40">xlookup(row()-1,Calcs!AQ$2:AQ$200,Display_All!AE$2:AE$200,)</f>
        <v/>
      </c>
      <c r="I40" s="264" t="str">
        <f t="array" ref="I40">xlookup(row()-1,Calcs!AQ$2:AQ$200,Display_All!AH$2:AH$200,)</f>
        <v/>
      </c>
      <c r="J40" s="264" t="str">
        <f t="array" ref="J40">xlookup(row()-1,Calcs!AQ$2:AQ$200,Display_All!AG$2:AG$200,)</f>
        <v/>
      </c>
      <c r="K40" s="264" t="str">
        <f t="array" ref="K40">xlookup(row()-1,Calcs!AQ$2:AQ$200,Display_All!AU$2:AU$200,)</f>
        <v/>
      </c>
      <c r="L40" s="264" t="str">
        <f t="array" ref="L40">xlookup(row()-1,Calcs!AQ$2:AQ$200,Display_All!AW$2:AW$200,)</f>
        <v/>
      </c>
      <c r="M40" s="264" t="str">
        <f t="array" ref="M40">xlookup(row()-1,Calcs!AQ$2:AQ$200,Display_All!AX$2:AX$200,)</f>
        <v/>
      </c>
    </row>
    <row r="41">
      <c r="A41" s="264" t="str">
        <f t="array" ref="A41">xlookup(row()-1,Calcs!AQ$2:AQ$200,Raw!A$2:A$200,)</f>
        <v/>
      </c>
      <c r="B41" s="264" t="str">
        <f t="array" ref="B41">xlookup(row()-1,Calcs!AQ$2:AQ$200,Raw!B$2:B$200,)</f>
        <v/>
      </c>
      <c r="C41" s="264" t="str">
        <f t="array" ref="C41">xlookup(row()-1,Calcs!AQ$2:AQ$200,Raw!I$2:I$200,)</f>
        <v/>
      </c>
      <c r="D41" s="264" t="str">
        <f t="array" ref="D41">xlookup(row()-1,Calcs!AQ$2:AQ$200,Raw!J$2:J$200,)</f>
        <v/>
      </c>
      <c r="E41" s="264" t="str">
        <f t="array" ref="E41">xlookup(row()-1,Calcs!AQ$2:AQ$200,Raw!AO$2:AO$200,)</f>
        <v/>
      </c>
      <c r="F41" s="264"/>
      <c r="G41" s="264" t="str">
        <f t="array" ref="G41">xlookup(row()-1,Calcs!AQ$2:AQ$200,Display_All!AC$2:AC$200,)</f>
        <v/>
      </c>
      <c r="H41" s="264" t="str">
        <f t="array" ref="H41">xlookup(row()-1,Calcs!AQ$2:AQ$200,Display_All!AE$2:AE$200,)</f>
        <v/>
      </c>
      <c r="I41" s="264" t="str">
        <f t="array" ref="I41">xlookup(row()-1,Calcs!AQ$2:AQ$200,Display_All!AH$2:AH$200,)</f>
        <v/>
      </c>
      <c r="J41" s="264" t="str">
        <f t="array" ref="J41">xlookup(row()-1,Calcs!AQ$2:AQ$200,Display_All!AG$2:AG$200,)</f>
        <v/>
      </c>
      <c r="K41" s="264" t="str">
        <f t="array" ref="K41">xlookup(row()-1,Calcs!AQ$2:AQ$200,Display_All!AU$2:AU$200,)</f>
        <v/>
      </c>
      <c r="L41" s="264" t="str">
        <f t="array" ref="L41">xlookup(row()-1,Calcs!AQ$2:AQ$200,Display_All!AW$2:AW$200,)</f>
        <v/>
      </c>
      <c r="M41" s="264" t="str">
        <f t="array" ref="M41">xlookup(row()-1,Calcs!AQ$2:AQ$200,Display_All!AX$2:AX$200,)</f>
        <v/>
      </c>
    </row>
    <row r="42">
      <c r="A42" s="264" t="str">
        <f t="array" ref="A42">xlookup(row()-1,Calcs!AQ$2:AQ$200,Raw!A$2:A$200,)</f>
        <v/>
      </c>
      <c r="B42" s="264" t="str">
        <f t="array" ref="B42">xlookup(row()-1,Calcs!AQ$2:AQ$200,Raw!B$2:B$200,)</f>
        <v/>
      </c>
      <c r="C42" s="264" t="str">
        <f t="array" ref="C42">xlookup(row()-1,Calcs!AQ$2:AQ$200,Raw!I$2:I$200,)</f>
        <v/>
      </c>
      <c r="D42" s="264" t="str">
        <f t="array" ref="D42">xlookup(row()-1,Calcs!AQ$2:AQ$200,Raw!J$2:J$200,)</f>
        <v/>
      </c>
      <c r="E42" s="264" t="str">
        <f t="array" ref="E42">xlookup(row()-1,Calcs!AQ$2:AQ$200,Raw!AO$2:AO$200,)</f>
        <v/>
      </c>
      <c r="F42" s="264"/>
      <c r="G42" s="264" t="str">
        <f t="array" ref="G42">xlookup(row()-1,Calcs!AQ$2:AQ$200,Display_All!AC$2:AC$200,)</f>
        <v/>
      </c>
      <c r="H42" s="264" t="str">
        <f t="array" ref="H42">xlookup(row()-1,Calcs!AQ$2:AQ$200,Display_All!AE$2:AE$200,)</f>
        <v/>
      </c>
      <c r="I42" s="264" t="str">
        <f t="array" ref="I42">xlookup(row()-1,Calcs!AQ$2:AQ$200,Display_All!AH$2:AH$200,)</f>
        <v/>
      </c>
      <c r="J42" s="264" t="str">
        <f t="array" ref="J42">xlookup(row()-1,Calcs!AQ$2:AQ$200,Display_All!AG$2:AG$200,)</f>
        <v/>
      </c>
      <c r="K42" s="264" t="str">
        <f t="array" ref="K42">xlookup(row()-1,Calcs!AQ$2:AQ$200,Display_All!AU$2:AU$200,)</f>
        <v/>
      </c>
      <c r="L42" s="264" t="str">
        <f t="array" ref="L42">xlookup(row()-1,Calcs!AQ$2:AQ$200,Display_All!AW$2:AW$200,)</f>
        <v/>
      </c>
      <c r="M42" s="264" t="str">
        <f t="array" ref="M42">xlookup(row()-1,Calcs!AQ$2:AQ$200,Display_All!AX$2:AX$200,)</f>
        <v/>
      </c>
    </row>
    <row r="43">
      <c r="A43" s="264" t="str">
        <f t="array" ref="A43">xlookup(row()-1,Calcs!AQ$2:AQ$200,Raw!A$2:A$200,)</f>
        <v/>
      </c>
      <c r="B43" s="264" t="str">
        <f t="array" ref="B43">xlookup(row()-1,Calcs!AQ$2:AQ$200,Raw!B$2:B$200,)</f>
        <v/>
      </c>
      <c r="C43" s="264" t="str">
        <f t="array" ref="C43">xlookup(row()-1,Calcs!AQ$2:AQ$200,Raw!I$2:I$200,)</f>
        <v/>
      </c>
      <c r="D43" s="264" t="str">
        <f t="array" ref="D43">xlookup(row()-1,Calcs!AQ$2:AQ$200,Raw!J$2:J$200,)</f>
        <v/>
      </c>
      <c r="E43" s="264" t="str">
        <f t="array" ref="E43">xlookup(row()-1,Calcs!AQ$2:AQ$200,Raw!AO$2:AO$200,)</f>
        <v/>
      </c>
      <c r="F43" s="264"/>
      <c r="G43" s="264" t="str">
        <f t="array" ref="G43">xlookup(row()-1,Calcs!AQ$2:AQ$200,Display_All!AC$2:AC$200,)</f>
        <v/>
      </c>
      <c r="H43" s="264" t="str">
        <f t="array" ref="H43">xlookup(row()-1,Calcs!AQ$2:AQ$200,Display_All!AE$2:AE$200,)</f>
        <v/>
      </c>
      <c r="I43" s="264" t="str">
        <f t="array" ref="I43">xlookup(row()-1,Calcs!AQ$2:AQ$200,Display_All!AH$2:AH$200,)</f>
        <v/>
      </c>
      <c r="J43" s="264" t="str">
        <f t="array" ref="J43">xlookup(row()-1,Calcs!AQ$2:AQ$200,Display_All!AG$2:AG$200,)</f>
        <v/>
      </c>
      <c r="K43" s="264" t="str">
        <f t="array" ref="K43">xlookup(row()-1,Calcs!AQ$2:AQ$200,Display_All!AU$2:AU$200,)</f>
        <v/>
      </c>
      <c r="L43" s="264" t="str">
        <f t="array" ref="L43">xlookup(row()-1,Calcs!AQ$2:AQ$200,Display_All!AW$2:AW$200,)</f>
        <v/>
      </c>
      <c r="M43" s="264" t="str">
        <f t="array" ref="M43">xlookup(row()-1,Calcs!AQ$2:AQ$200,Display_All!AX$2:AX$200,)</f>
        <v/>
      </c>
    </row>
    <row r="44">
      <c r="A44" s="264" t="str">
        <f t="array" ref="A44">xlookup(row()-1,Calcs!AQ$2:AQ$200,Raw!A$2:A$200,)</f>
        <v/>
      </c>
      <c r="B44" s="264" t="str">
        <f t="array" ref="B44">xlookup(row()-1,Calcs!AQ$2:AQ$200,Raw!B$2:B$200,)</f>
        <v/>
      </c>
      <c r="C44" s="264" t="str">
        <f t="array" ref="C44">xlookup(row()-1,Calcs!AQ$2:AQ$200,Raw!I$2:I$200,)</f>
        <v/>
      </c>
      <c r="D44" s="264" t="str">
        <f t="array" ref="D44">xlookup(row()-1,Calcs!AQ$2:AQ$200,Raw!J$2:J$200,)</f>
        <v/>
      </c>
      <c r="E44" s="264" t="str">
        <f t="array" ref="E44">xlookup(row()-1,Calcs!AQ$2:AQ$200,Raw!AO$2:AO$200,)</f>
        <v/>
      </c>
      <c r="F44" s="264"/>
      <c r="G44" s="264" t="str">
        <f t="array" ref="G44">xlookup(row()-1,Calcs!AQ$2:AQ$200,Display_All!AC$2:AC$200,)</f>
        <v/>
      </c>
      <c r="H44" s="264" t="str">
        <f t="array" ref="H44">xlookup(row()-1,Calcs!AQ$2:AQ$200,Display_All!AE$2:AE$200,)</f>
        <v/>
      </c>
      <c r="I44" s="264" t="str">
        <f t="array" ref="I44">xlookup(row()-1,Calcs!AQ$2:AQ$200,Display_All!AH$2:AH$200,)</f>
        <v/>
      </c>
      <c r="J44" s="264" t="str">
        <f t="array" ref="J44">xlookup(row()-1,Calcs!AQ$2:AQ$200,Display_All!AG$2:AG$200,)</f>
        <v/>
      </c>
      <c r="K44" s="264" t="str">
        <f t="array" ref="K44">xlookup(row()-1,Calcs!AQ$2:AQ$200,Display_All!AU$2:AU$200,)</f>
        <v/>
      </c>
      <c r="L44" s="264" t="str">
        <f t="array" ref="L44">xlookup(row()-1,Calcs!AQ$2:AQ$200,Display_All!AW$2:AW$200,)</f>
        <v/>
      </c>
      <c r="M44" s="264" t="str">
        <f t="array" ref="M44">xlookup(row()-1,Calcs!AQ$2:AQ$200,Display_All!AX$2:AX$200,)</f>
        <v/>
      </c>
    </row>
    <row r="45">
      <c r="A45" s="264" t="str">
        <f t="array" ref="A45">xlookup(row()-1,Calcs!AQ$2:AQ$200,Raw!A$2:A$200,)</f>
        <v/>
      </c>
      <c r="B45" s="264" t="str">
        <f t="array" ref="B45">xlookup(row()-1,Calcs!AQ$2:AQ$200,Raw!B$2:B$200,)</f>
        <v/>
      </c>
      <c r="C45" s="264" t="str">
        <f t="array" ref="C45">xlookup(row()-1,Calcs!AQ$2:AQ$200,Raw!I$2:I$200,)</f>
        <v/>
      </c>
      <c r="D45" s="264" t="str">
        <f t="array" ref="D45">xlookup(row()-1,Calcs!AQ$2:AQ$200,Raw!J$2:J$200,)</f>
        <v/>
      </c>
      <c r="E45" s="264" t="str">
        <f t="array" ref="E45">xlookup(row()-1,Calcs!AQ$2:AQ$200,Raw!AO$2:AO$200,)</f>
        <v/>
      </c>
      <c r="F45" s="264"/>
      <c r="G45" s="264" t="str">
        <f t="array" ref="G45">xlookup(row()-1,Calcs!AQ$2:AQ$200,Display_All!AC$2:AC$200,)</f>
        <v/>
      </c>
      <c r="H45" s="264" t="str">
        <f t="array" ref="H45">xlookup(row()-1,Calcs!AQ$2:AQ$200,Display_All!AE$2:AE$200,)</f>
        <v/>
      </c>
      <c r="I45" s="264" t="str">
        <f t="array" ref="I45">xlookup(row()-1,Calcs!AQ$2:AQ$200,Display_All!AH$2:AH$200,)</f>
        <v/>
      </c>
      <c r="J45" s="264" t="str">
        <f t="array" ref="J45">xlookup(row()-1,Calcs!AQ$2:AQ$200,Display_All!AG$2:AG$200,)</f>
        <v/>
      </c>
      <c r="K45" s="264" t="str">
        <f t="array" ref="K45">xlookup(row()-1,Calcs!AQ$2:AQ$200,Display_All!AU$2:AU$200,)</f>
        <v/>
      </c>
      <c r="L45" s="264" t="str">
        <f t="array" ref="L45">xlookup(row()-1,Calcs!AQ$2:AQ$200,Display_All!AW$2:AW$200,)</f>
        <v/>
      </c>
      <c r="M45" s="264" t="str">
        <f t="array" ref="M45">xlookup(row()-1,Calcs!AQ$2:AQ$200,Display_All!AX$2:AX$200,)</f>
        <v/>
      </c>
    </row>
    <row r="46">
      <c r="A46" s="264" t="str">
        <f t="array" ref="A46">xlookup(row()-1,Calcs!AQ$2:AQ$200,Raw!A$2:A$200,)</f>
        <v/>
      </c>
      <c r="B46" s="264" t="str">
        <f t="array" ref="B46">xlookup(row()-1,Calcs!AQ$2:AQ$200,Raw!B$2:B$200,)</f>
        <v/>
      </c>
      <c r="C46" s="264" t="str">
        <f t="array" ref="C46">xlookup(row()-1,Calcs!AQ$2:AQ$200,Raw!I$2:I$200,)</f>
        <v/>
      </c>
      <c r="D46" s="264" t="str">
        <f t="array" ref="D46">xlookup(row()-1,Calcs!AQ$2:AQ$200,Raw!J$2:J$200,)</f>
        <v/>
      </c>
      <c r="E46" s="264" t="str">
        <f t="array" ref="E46">xlookup(row()-1,Calcs!AQ$2:AQ$200,Raw!AO$2:AO$200,)</f>
        <v/>
      </c>
      <c r="F46" s="264"/>
      <c r="G46" s="264" t="str">
        <f t="array" ref="G46">xlookup(row()-1,Calcs!AQ$2:AQ$200,Display_All!AC$2:AC$200,)</f>
        <v/>
      </c>
      <c r="H46" s="264" t="str">
        <f t="array" ref="H46">xlookup(row()-1,Calcs!AQ$2:AQ$200,Display_All!AE$2:AE$200,)</f>
        <v/>
      </c>
      <c r="I46" s="264" t="str">
        <f t="array" ref="I46">xlookup(row()-1,Calcs!AQ$2:AQ$200,Display_All!AH$2:AH$200,)</f>
        <v/>
      </c>
      <c r="J46" s="264" t="str">
        <f t="array" ref="J46">xlookup(row()-1,Calcs!AQ$2:AQ$200,Display_All!AG$2:AG$200,)</f>
        <v/>
      </c>
      <c r="K46" s="264" t="str">
        <f t="array" ref="K46">xlookup(row()-1,Calcs!AQ$2:AQ$200,Display_All!AU$2:AU$200,)</f>
        <v/>
      </c>
      <c r="L46" s="264" t="str">
        <f t="array" ref="L46">xlookup(row()-1,Calcs!AQ$2:AQ$200,Display_All!AW$2:AW$200,)</f>
        <v/>
      </c>
      <c r="M46" s="264" t="str">
        <f t="array" ref="M46">xlookup(row()-1,Calcs!AQ$2:AQ$200,Display_All!AX$2:AX$200,)</f>
        <v/>
      </c>
    </row>
    <row r="47">
      <c r="A47" s="264" t="str">
        <f t="array" ref="A47">xlookup(row()-1,Calcs!AQ$2:AQ$200,Raw!A$2:A$200,)</f>
        <v/>
      </c>
      <c r="B47" s="264" t="str">
        <f t="array" ref="B47">xlookup(row()-1,Calcs!AQ$2:AQ$200,Raw!B$2:B$200,)</f>
        <v/>
      </c>
      <c r="C47" s="264" t="str">
        <f t="array" ref="C47">xlookup(row()-1,Calcs!AQ$2:AQ$200,Raw!I$2:I$200,)</f>
        <v/>
      </c>
      <c r="D47" s="264" t="str">
        <f t="array" ref="D47">xlookup(row()-1,Calcs!AQ$2:AQ$200,Raw!J$2:J$200,)</f>
        <v/>
      </c>
      <c r="E47" s="264" t="str">
        <f t="array" ref="E47">xlookup(row()-1,Calcs!AQ$2:AQ$200,Raw!AO$2:AO$200,)</f>
        <v/>
      </c>
      <c r="F47" s="264"/>
      <c r="G47" s="264" t="str">
        <f t="array" ref="G47">xlookup(row()-1,Calcs!AQ$2:AQ$200,Display_All!AC$2:AC$200,)</f>
        <v/>
      </c>
      <c r="H47" s="264" t="str">
        <f t="array" ref="H47">xlookup(row()-1,Calcs!AQ$2:AQ$200,Display_All!AE$2:AE$200,)</f>
        <v/>
      </c>
      <c r="I47" s="264" t="str">
        <f t="array" ref="I47">xlookup(row()-1,Calcs!AQ$2:AQ$200,Display_All!AH$2:AH$200,)</f>
        <v/>
      </c>
      <c r="J47" s="264" t="str">
        <f t="array" ref="J47">xlookup(row()-1,Calcs!AQ$2:AQ$200,Display_All!AG$2:AG$200,)</f>
        <v/>
      </c>
      <c r="K47" s="264" t="str">
        <f t="array" ref="K47">xlookup(row()-1,Calcs!AQ$2:AQ$200,Display_All!AU$2:AU$200,)</f>
        <v/>
      </c>
      <c r="L47" s="264" t="str">
        <f t="array" ref="L47">xlookup(row()-1,Calcs!AQ$2:AQ$200,Display_All!AW$2:AW$200,)</f>
        <v/>
      </c>
      <c r="M47" s="264" t="str">
        <f t="array" ref="M47">xlookup(row()-1,Calcs!AQ$2:AQ$200,Display_All!AX$2:AX$200,)</f>
        <v/>
      </c>
    </row>
    <row r="48">
      <c r="A48" s="264" t="str">
        <f t="array" ref="A48">xlookup(row()-1,Calcs!AQ$2:AQ$200,Raw!A$2:A$200,)</f>
        <v/>
      </c>
      <c r="B48" s="264" t="str">
        <f t="array" ref="B48">xlookup(row()-1,Calcs!AQ$2:AQ$200,Raw!B$2:B$200,)</f>
        <v/>
      </c>
      <c r="C48" s="264" t="str">
        <f t="array" ref="C48">xlookup(row()-1,Calcs!AQ$2:AQ$200,Raw!I$2:I$200,)</f>
        <v/>
      </c>
      <c r="D48" s="264" t="str">
        <f t="array" ref="D48">xlookup(row()-1,Calcs!AQ$2:AQ$200,Raw!J$2:J$200,)</f>
        <v/>
      </c>
      <c r="E48" s="264" t="str">
        <f t="array" ref="E48">xlookup(row()-1,Calcs!AQ$2:AQ$200,Raw!AO$2:AO$200,)</f>
        <v/>
      </c>
      <c r="F48" s="264"/>
      <c r="G48" s="264" t="str">
        <f t="array" ref="G48">xlookup(row()-1,Calcs!AQ$2:AQ$200,Display_All!AC$2:AC$200,)</f>
        <v/>
      </c>
      <c r="H48" s="264" t="str">
        <f t="array" ref="H48">xlookup(row()-1,Calcs!AQ$2:AQ$200,Display_All!AE$2:AE$200,)</f>
        <v/>
      </c>
      <c r="I48" s="264" t="str">
        <f t="array" ref="I48">xlookup(row()-1,Calcs!AQ$2:AQ$200,Display_All!AH$2:AH$200,)</f>
        <v/>
      </c>
      <c r="J48" s="264" t="str">
        <f t="array" ref="J48">xlookup(row()-1,Calcs!AQ$2:AQ$200,Display_All!AG$2:AG$200,)</f>
        <v/>
      </c>
      <c r="K48" s="264" t="str">
        <f t="array" ref="K48">xlookup(row()-1,Calcs!AQ$2:AQ$200,Display_All!AU$2:AU$200,)</f>
        <v/>
      </c>
      <c r="L48" s="264" t="str">
        <f t="array" ref="L48">xlookup(row()-1,Calcs!AQ$2:AQ$200,Display_All!AW$2:AW$200,)</f>
        <v/>
      </c>
      <c r="M48" s="264" t="str">
        <f t="array" ref="M48">xlookup(row()-1,Calcs!AQ$2:AQ$200,Display_All!AX$2:AX$200,)</f>
        <v/>
      </c>
    </row>
    <row r="49">
      <c r="A49" s="264" t="str">
        <f t="array" ref="A49">xlookup(row()-1,Calcs!AQ$2:AQ$200,Raw!A$2:A$200,)</f>
        <v/>
      </c>
      <c r="B49" s="264" t="str">
        <f t="array" ref="B49">xlookup(row()-1,Calcs!AQ$2:AQ$200,Raw!B$2:B$200,)</f>
        <v/>
      </c>
      <c r="C49" s="264" t="str">
        <f t="array" ref="C49">xlookup(row()-1,Calcs!AQ$2:AQ$200,Raw!I$2:I$200,)</f>
        <v/>
      </c>
      <c r="D49" s="264" t="str">
        <f t="array" ref="D49">xlookup(row()-1,Calcs!AQ$2:AQ$200,Raw!J$2:J$200,)</f>
        <v/>
      </c>
      <c r="E49" s="264" t="str">
        <f t="array" ref="E49">xlookup(row()-1,Calcs!AQ$2:AQ$200,Raw!AO$2:AO$200,)</f>
        <v/>
      </c>
      <c r="F49" s="264"/>
      <c r="G49" s="264" t="str">
        <f t="array" ref="G49">xlookup(row()-1,Calcs!AQ$2:AQ$200,Display_All!AC$2:AC$200,)</f>
        <v/>
      </c>
      <c r="H49" s="264" t="str">
        <f t="array" ref="H49">xlookup(row()-1,Calcs!AQ$2:AQ$200,Display_All!AE$2:AE$200,)</f>
        <v/>
      </c>
      <c r="I49" s="264" t="str">
        <f t="array" ref="I49">xlookup(row()-1,Calcs!AQ$2:AQ$200,Display_All!AH$2:AH$200,)</f>
        <v/>
      </c>
      <c r="J49" s="264" t="str">
        <f t="array" ref="J49">xlookup(row()-1,Calcs!AQ$2:AQ$200,Display_All!AG$2:AG$200,)</f>
        <v/>
      </c>
      <c r="K49" s="264" t="str">
        <f t="array" ref="K49">xlookup(row()-1,Calcs!AQ$2:AQ$200,Display_All!AU$2:AU$200,)</f>
        <v/>
      </c>
      <c r="L49" s="264" t="str">
        <f t="array" ref="L49">xlookup(row()-1,Calcs!AQ$2:AQ$200,Display_All!AW$2:AW$200,)</f>
        <v/>
      </c>
      <c r="M49" s="264" t="str">
        <f t="array" ref="M49">xlookup(row()-1,Calcs!AQ$2:AQ$200,Display_All!AX$2:AX$200,)</f>
        <v/>
      </c>
    </row>
    <row r="50">
      <c r="A50" s="264" t="str">
        <f t="array" ref="A50">xlookup(row()-1,Calcs!AQ$2:AQ$200,Raw!A$2:A$200,)</f>
        <v/>
      </c>
      <c r="B50" s="264" t="str">
        <f t="array" ref="B50">xlookup(row()-1,Calcs!AQ$2:AQ$200,Raw!B$2:B$200,)</f>
        <v/>
      </c>
      <c r="C50" s="264" t="str">
        <f t="array" ref="C50">xlookup(row()-1,Calcs!AQ$2:AQ$200,Raw!I$2:I$200,)</f>
        <v/>
      </c>
      <c r="D50" s="264" t="str">
        <f t="array" ref="D50">xlookup(row()-1,Calcs!AQ$2:AQ$200,Raw!J$2:J$200,)</f>
        <v/>
      </c>
      <c r="E50" s="264" t="str">
        <f t="array" ref="E50">xlookup(row()-1,Calcs!AQ$2:AQ$200,Raw!AO$2:AO$200,)</f>
        <v/>
      </c>
      <c r="F50" s="264"/>
      <c r="G50" s="264" t="str">
        <f t="array" ref="G50">xlookup(row()-1,Calcs!AQ$2:AQ$200,Display_All!AC$2:AC$200,)</f>
        <v/>
      </c>
      <c r="H50" s="264" t="str">
        <f t="array" ref="H50">xlookup(row()-1,Calcs!AQ$2:AQ$200,Display_All!AE$2:AE$200,)</f>
        <v/>
      </c>
      <c r="I50" s="264" t="str">
        <f t="array" ref="I50">xlookup(row()-1,Calcs!AQ$2:AQ$200,Display_All!AH$2:AH$200,)</f>
        <v/>
      </c>
      <c r="J50" s="264" t="str">
        <f t="array" ref="J50">xlookup(row()-1,Calcs!AQ$2:AQ$200,Display_All!AG$2:AG$200,)</f>
        <v/>
      </c>
      <c r="K50" s="264" t="str">
        <f t="array" ref="K50">xlookup(row()-1,Calcs!AQ$2:AQ$200,Display_All!AU$2:AU$200,)</f>
        <v/>
      </c>
      <c r="L50" s="264" t="str">
        <f t="array" ref="L50">xlookup(row()-1,Calcs!AQ$2:AQ$200,Display_All!AW$2:AW$200,)</f>
        <v/>
      </c>
      <c r="M50" s="264" t="str">
        <f t="array" ref="M50">xlookup(row()-1,Calcs!AQ$2:AQ$200,Display_All!AX$2:AX$200,)</f>
        <v/>
      </c>
    </row>
    <row r="51">
      <c r="A51" s="264" t="str">
        <f t="array" ref="A51">xlookup(row()-1,Calcs!AQ$2:AQ$200,Raw!A$2:A$200,)</f>
        <v/>
      </c>
      <c r="B51" s="264" t="str">
        <f t="array" ref="B51">xlookup(row()-1,Calcs!AQ$2:AQ$200,Raw!B$2:B$200,)</f>
        <v/>
      </c>
      <c r="C51" s="264" t="str">
        <f t="array" ref="C51">xlookup(row()-1,Calcs!AQ$2:AQ$200,Raw!I$2:I$200,)</f>
        <v/>
      </c>
      <c r="D51" s="264" t="str">
        <f t="array" ref="D51">xlookup(row()-1,Calcs!AQ$2:AQ$200,Raw!J$2:J$200,)</f>
        <v/>
      </c>
      <c r="E51" s="264" t="str">
        <f t="array" ref="E51">xlookup(row()-1,Calcs!AQ$2:AQ$200,Raw!AO$2:AO$200,)</f>
        <v/>
      </c>
      <c r="F51" s="264"/>
      <c r="G51" s="264" t="str">
        <f t="array" ref="G51">xlookup(row()-1,Calcs!AQ$2:AQ$200,Display_All!AC$2:AC$200,)</f>
        <v/>
      </c>
      <c r="H51" s="264" t="str">
        <f t="array" ref="H51">xlookup(row()-1,Calcs!AQ$2:AQ$200,Display_All!AE$2:AE$200,)</f>
        <v/>
      </c>
      <c r="I51" s="264" t="str">
        <f t="array" ref="I51">xlookup(row()-1,Calcs!AQ$2:AQ$200,Display_All!AH$2:AH$200,)</f>
        <v/>
      </c>
      <c r="J51" s="264" t="str">
        <f t="array" ref="J51">xlookup(row()-1,Calcs!AQ$2:AQ$200,Display_All!AG$2:AG$200,)</f>
        <v/>
      </c>
      <c r="K51" s="264" t="str">
        <f t="array" ref="K51">xlookup(row()-1,Calcs!AQ$2:AQ$200,Display_All!AU$2:AU$200,)</f>
        <v/>
      </c>
      <c r="L51" s="264" t="str">
        <f t="array" ref="L51">xlookup(row()-1,Calcs!AQ$2:AQ$200,Display_All!AW$2:AW$200,)</f>
        <v/>
      </c>
      <c r="M51" s="264" t="str">
        <f t="array" ref="M51">xlookup(row()-1,Calcs!AQ$2:AQ$200,Display_All!AX$2:AX$200,)</f>
        <v/>
      </c>
    </row>
    <row r="52">
      <c r="A52" s="264" t="str">
        <f t="array" ref="A52">xlookup(row()-1,Calcs!AQ$2:AQ$200,Raw!A$2:A$200,)</f>
        <v/>
      </c>
      <c r="B52" s="264" t="str">
        <f t="array" ref="B52">xlookup(row()-1,Calcs!AQ$2:AQ$200,Raw!B$2:B$200,)</f>
        <v/>
      </c>
      <c r="C52" s="264" t="str">
        <f t="array" ref="C52">xlookup(row()-1,Calcs!AQ$2:AQ$200,Raw!I$2:I$200,)</f>
        <v/>
      </c>
      <c r="D52" s="264" t="str">
        <f t="array" ref="D52">xlookup(row()-1,Calcs!AQ$2:AQ$200,Raw!J$2:J$200,)</f>
        <v/>
      </c>
      <c r="E52" s="264" t="str">
        <f t="array" ref="E52">xlookup(row()-1,Calcs!AQ$2:AQ$200,Raw!AO$2:AO$200,)</f>
        <v/>
      </c>
      <c r="F52" s="264"/>
      <c r="G52" s="264" t="str">
        <f t="array" ref="G52">xlookup(row()-1,Calcs!AQ$2:AQ$200,Display_All!AC$2:AC$200,)</f>
        <v/>
      </c>
      <c r="H52" s="264" t="str">
        <f t="array" ref="H52">xlookup(row()-1,Calcs!AQ$2:AQ$200,Display_All!AE$2:AE$200,)</f>
        <v/>
      </c>
      <c r="I52" s="264" t="str">
        <f t="array" ref="I52">xlookup(row()-1,Calcs!AQ$2:AQ$200,Display_All!AH$2:AH$200,)</f>
        <v/>
      </c>
      <c r="J52" s="264" t="str">
        <f t="array" ref="J52">xlookup(row()-1,Calcs!AQ$2:AQ$200,Display_All!AG$2:AG$200,)</f>
        <v/>
      </c>
      <c r="K52" s="264" t="str">
        <f t="array" ref="K52">xlookup(row()-1,Calcs!AQ$2:AQ$200,Display_All!AU$2:AU$200,)</f>
        <v/>
      </c>
      <c r="L52" s="264" t="str">
        <f t="array" ref="L52">xlookup(row()-1,Calcs!AQ$2:AQ$200,Display_All!AW$2:AW$200,)</f>
        <v/>
      </c>
      <c r="M52" s="264" t="str">
        <f t="array" ref="M52">xlookup(row()-1,Calcs!AQ$2:AQ$200,Display_All!AX$2:AX$200,)</f>
        <v/>
      </c>
    </row>
    <row r="53">
      <c r="A53" s="264" t="str">
        <f t="array" ref="A53">xlookup(row()-1,Calcs!AQ$2:AQ$200,Raw!A$2:A$200,)</f>
        <v/>
      </c>
      <c r="B53" s="264" t="str">
        <f t="array" ref="B53">xlookup(row()-1,Calcs!AQ$2:AQ$200,Raw!B$2:B$200,)</f>
        <v/>
      </c>
      <c r="C53" s="264" t="str">
        <f t="array" ref="C53">xlookup(row()-1,Calcs!AQ$2:AQ$200,Raw!I$2:I$200,)</f>
        <v/>
      </c>
      <c r="D53" s="264" t="str">
        <f t="array" ref="D53">xlookup(row()-1,Calcs!AQ$2:AQ$200,Raw!J$2:J$200,)</f>
        <v/>
      </c>
      <c r="E53" s="264" t="str">
        <f t="array" ref="E53">xlookup(row()-1,Calcs!AQ$2:AQ$200,Raw!AO$2:AO$200,)</f>
        <v/>
      </c>
      <c r="F53" s="264"/>
      <c r="G53" s="264" t="str">
        <f t="array" ref="G53">xlookup(row()-1,Calcs!AQ$2:AQ$200,Display_All!AC$2:AC$200,)</f>
        <v/>
      </c>
      <c r="H53" s="264" t="str">
        <f t="array" ref="H53">xlookup(row()-1,Calcs!AQ$2:AQ$200,Display_All!AE$2:AE$200,)</f>
        <v/>
      </c>
      <c r="I53" s="264" t="str">
        <f t="array" ref="I53">xlookup(row()-1,Calcs!AQ$2:AQ$200,Display_All!AH$2:AH$200,)</f>
        <v/>
      </c>
      <c r="J53" s="264" t="str">
        <f t="array" ref="J53">xlookup(row()-1,Calcs!AQ$2:AQ$200,Display_All!AG$2:AG$200,)</f>
        <v/>
      </c>
      <c r="K53" s="264" t="str">
        <f t="array" ref="K53">xlookup(row()-1,Calcs!AQ$2:AQ$200,Display_All!AU$2:AU$200,)</f>
        <v/>
      </c>
      <c r="L53" s="264" t="str">
        <f t="array" ref="L53">xlookup(row()-1,Calcs!AQ$2:AQ$200,Display_All!AW$2:AW$200,)</f>
        <v/>
      </c>
      <c r="M53" s="264" t="str">
        <f t="array" ref="M53">xlookup(row()-1,Calcs!AQ$2:AQ$200,Display_All!AX$2:AX$200,)</f>
        <v/>
      </c>
    </row>
    <row r="54">
      <c r="A54" s="264" t="str">
        <f t="array" ref="A54">xlookup(row()-1,Calcs!AQ$2:AQ$200,Raw!A$2:A$200,)</f>
        <v/>
      </c>
      <c r="B54" s="264" t="str">
        <f t="array" ref="B54">xlookup(row()-1,Calcs!AQ$2:AQ$200,Raw!B$2:B$200,)</f>
        <v/>
      </c>
      <c r="C54" s="264" t="str">
        <f t="array" ref="C54">xlookup(row()-1,Calcs!AQ$2:AQ$200,Raw!I$2:I$200,)</f>
        <v/>
      </c>
      <c r="D54" s="264" t="str">
        <f t="array" ref="D54">xlookup(row()-1,Calcs!AQ$2:AQ$200,Raw!J$2:J$200,)</f>
        <v/>
      </c>
      <c r="E54" s="264" t="str">
        <f t="array" ref="E54">xlookup(row()-1,Calcs!AQ$2:AQ$200,Raw!AO$2:AO$200,)</f>
        <v/>
      </c>
      <c r="F54" s="264"/>
      <c r="G54" s="264" t="str">
        <f t="array" ref="G54">xlookup(row()-1,Calcs!AQ$2:AQ$200,Display_All!AC$2:AC$200,)</f>
        <v/>
      </c>
      <c r="H54" s="264" t="str">
        <f t="array" ref="H54">xlookup(row()-1,Calcs!AQ$2:AQ$200,Display_All!AE$2:AE$200,)</f>
        <v/>
      </c>
      <c r="I54" s="264" t="str">
        <f t="array" ref="I54">xlookup(row()-1,Calcs!AQ$2:AQ$200,Display_All!AH$2:AH$200,)</f>
        <v/>
      </c>
      <c r="J54" s="264" t="str">
        <f t="array" ref="J54">xlookup(row()-1,Calcs!AQ$2:AQ$200,Display_All!AG$2:AG$200,)</f>
        <v/>
      </c>
      <c r="K54" s="264" t="str">
        <f t="array" ref="K54">xlookup(row()-1,Calcs!AQ$2:AQ$200,Display_All!AU$2:AU$200,)</f>
        <v/>
      </c>
      <c r="L54" s="264" t="str">
        <f t="array" ref="L54">xlookup(row()-1,Calcs!AQ$2:AQ$200,Display_All!AW$2:AW$200,)</f>
        <v/>
      </c>
      <c r="M54" s="264" t="str">
        <f t="array" ref="M54">xlookup(row()-1,Calcs!AQ$2:AQ$200,Display_All!AX$2:AX$200,)</f>
        <v/>
      </c>
    </row>
    <row r="55">
      <c r="A55" s="264" t="str">
        <f t="array" ref="A55">xlookup(row()-1,Calcs!AQ$2:AQ$200,Raw!A$2:A$200,)</f>
        <v/>
      </c>
      <c r="B55" s="264" t="str">
        <f t="array" ref="B55">xlookup(row()-1,Calcs!AQ$2:AQ$200,Raw!B$2:B$200,)</f>
        <v/>
      </c>
      <c r="C55" s="264" t="str">
        <f t="array" ref="C55">xlookup(row()-1,Calcs!AQ$2:AQ$200,Raw!I$2:I$200,)</f>
        <v/>
      </c>
      <c r="D55" s="264" t="str">
        <f t="array" ref="D55">xlookup(row()-1,Calcs!AQ$2:AQ$200,Raw!J$2:J$200,)</f>
        <v/>
      </c>
      <c r="E55" s="264" t="str">
        <f t="array" ref="E55">xlookup(row()-1,Calcs!AQ$2:AQ$200,Raw!AO$2:AO$200,)</f>
        <v/>
      </c>
      <c r="F55" s="264"/>
      <c r="G55" s="264" t="str">
        <f t="array" ref="G55">xlookup(row()-1,Calcs!AQ$2:AQ$200,Display_All!AC$2:AC$200,)</f>
        <v/>
      </c>
      <c r="H55" s="264" t="str">
        <f t="array" ref="H55">xlookup(row()-1,Calcs!AQ$2:AQ$200,Display_All!AE$2:AE$200,)</f>
        <v/>
      </c>
      <c r="I55" s="264" t="str">
        <f t="array" ref="I55">xlookup(row()-1,Calcs!AQ$2:AQ$200,Display_All!AH$2:AH$200,)</f>
        <v/>
      </c>
      <c r="J55" s="264" t="str">
        <f t="array" ref="J55">xlookup(row()-1,Calcs!AQ$2:AQ$200,Display_All!AG$2:AG$200,)</f>
        <v/>
      </c>
      <c r="K55" s="264" t="str">
        <f t="array" ref="K55">xlookup(row()-1,Calcs!AQ$2:AQ$200,Display_All!AU$2:AU$200,)</f>
        <v/>
      </c>
      <c r="L55" s="264" t="str">
        <f t="array" ref="L55">xlookup(row()-1,Calcs!AQ$2:AQ$200,Display_All!AW$2:AW$200,)</f>
        <v/>
      </c>
      <c r="M55" s="264" t="str">
        <f t="array" ref="M55">xlookup(row()-1,Calcs!AQ$2:AQ$200,Display_All!AX$2:AX$200,)</f>
        <v/>
      </c>
    </row>
    <row r="56">
      <c r="A56" s="264" t="str">
        <f t="array" ref="A56">xlookup(row()-1,Calcs!AQ$2:AQ$200,Raw!A$2:A$200,)</f>
        <v/>
      </c>
      <c r="B56" s="264" t="str">
        <f t="array" ref="B56">xlookup(row()-1,Calcs!AQ$2:AQ$200,Raw!B$2:B$200,)</f>
        <v/>
      </c>
      <c r="C56" s="264" t="str">
        <f t="array" ref="C56">xlookup(row()-1,Calcs!AQ$2:AQ$200,Raw!I$2:I$200,)</f>
        <v/>
      </c>
      <c r="D56" s="264" t="str">
        <f t="array" ref="D56">xlookup(row()-1,Calcs!AQ$2:AQ$200,Raw!J$2:J$200,)</f>
        <v/>
      </c>
      <c r="E56" s="264" t="str">
        <f t="array" ref="E56">xlookup(row()-1,Calcs!AQ$2:AQ$200,Raw!AO$2:AO$200,)</f>
        <v/>
      </c>
      <c r="F56" s="264"/>
      <c r="G56" s="264" t="str">
        <f t="array" ref="G56">xlookup(row()-1,Calcs!AQ$2:AQ$200,Display_All!AC$2:AC$200,)</f>
        <v/>
      </c>
      <c r="H56" s="264" t="str">
        <f t="array" ref="H56">xlookup(row()-1,Calcs!AQ$2:AQ$200,Display_All!AE$2:AE$200,)</f>
        <v/>
      </c>
      <c r="I56" s="264" t="str">
        <f t="array" ref="I56">xlookup(row()-1,Calcs!AQ$2:AQ$200,Display_All!AH$2:AH$200,)</f>
        <v/>
      </c>
      <c r="J56" s="264" t="str">
        <f t="array" ref="J56">xlookup(row()-1,Calcs!AQ$2:AQ$200,Display_All!AG$2:AG$200,)</f>
        <v/>
      </c>
      <c r="K56" s="264" t="str">
        <f t="array" ref="K56">xlookup(row()-1,Calcs!AQ$2:AQ$200,Display_All!AU$2:AU$200,)</f>
        <v/>
      </c>
      <c r="L56" s="264" t="str">
        <f t="array" ref="L56">xlookup(row()-1,Calcs!AQ$2:AQ$200,Display_All!AW$2:AW$200,)</f>
        <v/>
      </c>
      <c r="M56" s="264" t="str">
        <f t="array" ref="M56">xlookup(row()-1,Calcs!AQ$2:AQ$200,Display_All!AX$2:AX$200,)</f>
        <v/>
      </c>
    </row>
    <row r="57">
      <c r="A57" s="264" t="str">
        <f t="array" ref="A57">xlookup(row()-1,Calcs!AQ$2:AQ$200,Raw!A$2:A$200,)</f>
        <v/>
      </c>
      <c r="B57" s="264" t="str">
        <f t="array" ref="B57">xlookup(row()-1,Calcs!AQ$2:AQ$200,Raw!B$2:B$200,)</f>
        <v/>
      </c>
      <c r="C57" s="264" t="str">
        <f t="array" ref="C57">xlookup(row()-1,Calcs!AQ$2:AQ$200,Raw!I$2:I$200,)</f>
        <v/>
      </c>
      <c r="D57" s="264" t="str">
        <f t="array" ref="D57">xlookup(row()-1,Calcs!AQ$2:AQ$200,Raw!J$2:J$200,)</f>
        <v/>
      </c>
      <c r="E57" s="264" t="str">
        <f t="array" ref="E57">xlookup(row()-1,Calcs!AQ$2:AQ$200,Raw!AO$2:AO$200,)</f>
        <v/>
      </c>
      <c r="F57" s="264"/>
      <c r="G57" s="264" t="str">
        <f t="array" ref="G57">xlookup(row()-1,Calcs!AQ$2:AQ$200,Display_All!AC$2:AC$200,)</f>
        <v/>
      </c>
      <c r="H57" s="264" t="str">
        <f t="array" ref="H57">xlookup(row()-1,Calcs!AQ$2:AQ$200,Display_All!AE$2:AE$200,)</f>
        <v/>
      </c>
      <c r="I57" s="264" t="str">
        <f t="array" ref="I57">xlookup(row()-1,Calcs!AQ$2:AQ$200,Display_All!AH$2:AH$200,)</f>
        <v/>
      </c>
      <c r="J57" s="264" t="str">
        <f t="array" ref="J57">xlookup(row()-1,Calcs!AQ$2:AQ$200,Display_All!AG$2:AG$200,)</f>
        <v/>
      </c>
      <c r="K57" s="264" t="str">
        <f t="array" ref="K57">xlookup(row()-1,Calcs!AQ$2:AQ$200,Display_All!AU$2:AU$200,)</f>
        <v/>
      </c>
      <c r="L57" s="264" t="str">
        <f t="array" ref="L57">xlookup(row()-1,Calcs!AQ$2:AQ$200,Display_All!AW$2:AW$200,)</f>
        <v/>
      </c>
      <c r="M57" s="264" t="str">
        <f t="array" ref="M57">xlookup(row()-1,Calcs!AQ$2:AQ$200,Display_All!AX$2:AX$200,)</f>
        <v/>
      </c>
    </row>
    <row r="58">
      <c r="A58" s="264" t="str">
        <f t="array" ref="A58">xlookup(row()-1,Calcs!AQ$2:AQ$200,Raw!A$2:A$200,)</f>
        <v/>
      </c>
      <c r="B58" s="264" t="str">
        <f t="array" ref="B58">xlookup(row()-1,Calcs!AQ$2:AQ$200,Raw!B$2:B$200,)</f>
        <v/>
      </c>
      <c r="C58" s="264" t="str">
        <f t="array" ref="C58">xlookup(row()-1,Calcs!AQ$2:AQ$200,Raw!I$2:I$200,)</f>
        <v/>
      </c>
      <c r="D58" s="264" t="str">
        <f t="array" ref="D58">xlookup(row()-1,Calcs!AQ$2:AQ$200,Raw!J$2:J$200,)</f>
        <v/>
      </c>
      <c r="E58" s="264" t="str">
        <f t="array" ref="E58">xlookup(row()-1,Calcs!AQ$2:AQ$200,Raw!AO$2:AO$200,)</f>
        <v/>
      </c>
      <c r="F58" s="264"/>
      <c r="G58" s="264" t="str">
        <f t="array" ref="G58">xlookup(row()-1,Calcs!AQ$2:AQ$200,Display_All!AC$2:AC$200,)</f>
        <v/>
      </c>
      <c r="H58" s="264" t="str">
        <f t="array" ref="H58">xlookup(row()-1,Calcs!AQ$2:AQ$200,Display_All!AE$2:AE$200,)</f>
        <v/>
      </c>
      <c r="I58" s="264" t="str">
        <f t="array" ref="I58">xlookup(row()-1,Calcs!AQ$2:AQ$200,Display_All!AH$2:AH$200,)</f>
        <v/>
      </c>
      <c r="J58" s="264" t="str">
        <f t="array" ref="J58">xlookup(row()-1,Calcs!AQ$2:AQ$200,Display_All!AG$2:AG$200,)</f>
        <v/>
      </c>
      <c r="K58" s="264" t="str">
        <f t="array" ref="K58">xlookup(row()-1,Calcs!AQ$2:AQ$200,Display_All!AU$2:AU$200,)</f>
        <v/>
      </c>
      <c r="L58" s="264" t="str">
        <f t="array" ref="L58">xlookup(row()-1,Calcs!AQ$2:AQ$200,Display_All!AW$2:AW$200,)</f>
        <v/>
      </c>
      <c r="M58" s="264" t="str">
        <f t="array" ref="M58">xlookup(row()-1,Calcs!AQ$2:AQ$200,Display_All!AX$2:AX$200,)</f>
        <v/>
      </c>
    </row>
    <row r="59">
      <c r="A59" s="264" t="str">
        <f t="array" ref="A59">xlookup(row()-1,Calcs!AQ$2:AQ$200,Raw!A$2:A$200,)</f>
        <v/>
      </c>
      <c r="B59" s="264" t="str">
        <f t="array" ref="B59">xlookup(row()-1,Calcs!AQ$2:AQ$200,Raw!B$2:B$200,)</f>
        <v/>
      </c>
      <c r="C59" s="264" t="str">
        <f t="array" ref="C59">xlookup(row()-1,Calcs!AQ$2:AQ$200,Raw!I$2:I$200,)</f>
        <v/>
      </c>
      <c r="D59" s="264" t="str">
        <f t="array" ref="D59">xlookup(row()-1,Calcs!AQ$2:AQ$200,Raw!J$2:J$200,)</f>
        <v/>
      </c>
      <c r="E59" s="264" t="str">
        <f t="array" ref="E59">xlookup(row()-1,Calcs!AQ$2:AQ$200,Raw!AO$2:AO$200,)</f>
        <v/>
      </c>
      <c r="F59" s="264"/>
      <c r="G59" s="264" t="str">
        <f t="array" ref="G59">xlookup(row()-1,Calcs!AQ$2:AQ$200,Display_All!AC$2:AC$200,)</f>
        <v/>
      </c>
      <c r="H59" s="264" t="str">
        <f t="array" ref="H59">xlookup(row()-1,Calcs!AQ$2:AQ$200,Display_All!AE$2:AE$200,)</f>
        <v/>
      </c>
      <c r="I59" s="264" t="str">
        <f t="array" ref="I59">xlookup(row()-1,Calcs!AQ$2:AQ$200,Display_All!AH$2:AH$200,)</f>
        <v/>
      </c>
      <c r="J59" s="264" t="str">
        <f t="array" ref="J59">xlookup(row()-1,Calcs!AQ$2:AQ$200,Display_All!AG$2:AG$200,)</f>
        <v/>
      </c>
      <c r="K59" s="264" t="str">
        <f t="array" ref="K59">xlookup(row()-1,Calcs!AQ$2:AQ$200,Display_All!AU$2:AU$200,)</f>
        <v/>
      </c>
      <c r="L59" s="264" t="str">
        <f t="array" ref="L59">xlookup(row()-1,Calcs!AQ$2:AQ$200,Display_All!AW$2:AW$200,)</f>
        <v/>
      </c>
      <c r="M59" s="264" t="str">
        <f t="array" ref="M59">xlookup(row()-1,Calcs!AQ$2:AQ$200,Display_All!AX$2:AX$200,)</f>
        <v/>
      </c>
    </row>
    <row r="60">
      <c r="A60" s="264" t="str">
        <f t="array" ref="A60">xlookup(row()-1,Calcs!AQ$2:AQ$200,Raw!A$2:A$200,)</f>
        <v/>
      </c>
      <c r="B60" s="264" t="str">
        <f t="array" ref="B60">xlookup(row()-1,Calcs!AQ$2:AQ$200,Raw!B$2:B$200,)</f>
        <v/>
      </c>
      <c r="C60" s="264" t="str">
        <f t="array" ref="C60">xlookup(row()-1,Calcs!AQ$2:AQ$200,Raw!I$2:I$200,)</f>
        <v/>
      </c>
      <c r="D60" s="264" t="str">
        <f t="array" ref="D60">xlookup(row()-1,Calcs!AQ$2:AQ$200,Raw!J$2:J$200,)</f>
        <v/>
      </c>
      <c r="E60" s="264" t="str">
        <f t="array" ref="E60">xlookup(row()-1,Calcs!AQ$2:AQ$200,Raw!AO$2:AO$200,)</f>
        <v/>
      </c>
      <c r="F60" s="264"/>
      <c r="G60" s="264" t="str">
        <f t="array" ref="G60">xlookup(row()-1,Calcs!AQ$2:AQ$200,Display_All!AC$2:AC$200,)</f>
        <v/>
      </c>
      <c r="H60" s="264" t="str">
        <f t="array" ref="H60">xlookup(row()-1,Calcs!AQ$2:AQ$200,Display_All!AE$2:AE$200,)</f>
        <v/>
      </c>
      <c r="I60" s="264" t="str">
        <f t="array" ref="I60">xlookup(row()-1,Calcs!AQ$2:AQ$200,Display_All!AH$2:AH$200,)</f>
        <v/>
      </c>
      <c r="J60" s="264" t="str">
        <f t="array" ref="J60">xlookup(row()-1,Calcs!AQ$2:AQ$200,Display_All!AG$2:AG$200,)</f>
        <v/>
      </c>
      <c r="K60" s="264" t="str">
        <f t="array" ref="K60">xlookup(row()-1,Calcs!AQ$2:AQ$200,Display_All!AU$2:AU$200,)</f>
        <v/>
      </c>
      <c r="L60" s="264" t="str">
        <f t="array" ref="L60">xlookup(row()-1,Calcs!AQ$2:AQ$200,Display_All!AW$2:AW$200,)</f>
        <v/>
      </c>
      <c r="M60" s="264" t="str">
        <f t="array" ref="M60">xlookup(row()-1,Calcs!AQ$2:AQ$200,Display_All!AX$2:AX$200,)</f>
        <v/>
      </c>
    </row>
    <row r="61">
      <c r="A61" s="264" t="str">
        <f t="array" ref="A61">xlookup(row()-1,Calcs!AQ$2:AQ$200,Raw!A$2:A$200,)</f>
        <v/>
      </c>
      <c r="B61" s="264" t="str">
        <f t="array" ref="B61">xlookup(row()-1,Calcs!AQ$2:AQ$200,Raw!B$2:B$200,)</f>
        <v/>
      </c>
      <c r="C61" s="264" t="str">
        <f t="array" ref="C61">xlookup(row()-1,Calcs!AQ$2:AQ$200,Raw!I$2:I$200,)</f>
        <v/>
      </c>
      <c r="D61" s="264" t="str">
        <f t="array" ref="D61">xlookup(row()-1,Calcs!AQ$2:AQ$200,Raw!J$2:J$200,)</f>
        <v/>
      </c>
      <c r="E61" s="264" t="str">
        <f t="array" ref="E61">xlookup(row()-1,Calcs!AQ$2:AQ$200,Raw!AO$2:AO$200,)</f>
        <v/>
      </c>
      <c r="F61" s="264"/>
      <c r="G61" s="264" t="str">
        <f t="array" ref="G61">xlookup(row()-1,Calcs!AQ$2:AQ$200,Display_All!AC$2:AC$200,)</f>
        <v/>
      </c>
      <c r="H61" s="264" t="str">
        <f t="array" ref="H61">xlookup(row()-1,Calcs!AQ$2:AQ$200,Display_All!AE$2:AE$200,)</f>
        <v/>
      </c>
      <c r="I61" s="264" t="str">
        <f t="array" ref="I61">xlookup(row()-1,Calcs!AQ$2:AQ$200,Display_All!AH$2:AH$200,)</f>
        <v/>
      </c>
      <c r="J61" s="264" t="str">
        <f t="array" ref="J61">xlookup(row()-1,Calcs!AQ$2:AQ$200,Display_All!AG$2:AG$200,)</f>
        <v/>
      </c>
      <c r="K61" s="264" t="str">
        <f t="array" ref="K61">xlookup(row()-1,Calcs!AQ$2:AQ$200,Display_All!AU$2:AU$200,)</f>
        <v/>
      </c>
      <c r="L61" s="264" t="str">
        <f t="array" ref="L61">xlookup(row()-1,Calcs!AQ$2:AQ$200,Display_All!AW$2:AW$200,)</f>
        <v/>
      </c>
      <c r="M61" s="264" t="str">
        <f t="array" ref="M61">xlookup(row()-1,Calcs!AQ$2:AQ$200,Display_All!AX$2:AX$200,)</f>
        <v/>
      </c>
    </row>
    <row r="62">
      <c r="A62" s="264" t="str">
        <f t="array" ref="A62">xlookup(row()-1,Calcs!AQ$2:AQ$200,Raw!A$2:A$200,)</f>
        <v/>
      </c>
      <c r="B62" s="264" t="str">
        <f t="array" ref="B62">xlookup(row()-1,Calcs!AQ$2:AQ$200,Raw!B$2:B$200,)</f>
        <v/>
      </c>
      <c r="C62" s="264" t="str">
        <f t="array" ref="C62">xlookup(row()-1,Calcs!AQ$2:AQ$200,Raw!I$2:I$200,)</f>
        <v/>
      </c>
      <c r="D62" s="264" t="str">
        <f t="array" ref="D62">xlookup(row()-1,Calcs!AQ$2:AQ$200,Raw!J$2:J$200,)</f>
        <v/>
      </c>
      <c r="E62" s="264" t="str">
        <f t="array" ref="E62">xlookup(row()-1,Calcs!AQ$2:AQ$200,Raw!AO$2:AO$200,)</f>
        <v/>
      </c>
      <c r="F62" s="264"/>
      <c r="G62" s="264" t="str">
        <f t="array" ref="G62">xlookup(row()-1,Calcs!AQ$2:AQ$200,Display_All!AC$2:AC$200,)</f>
        <v/>
      </c>
      <c r="H62" s="264" t="str">
        <f t="array" ref="H62">xlookup(row()-1,Calcs!AQ$2:AQ$200,Display_All!AE$2:AE$200,)</f>
        <v/>
      </c>
      <c r="I62" s="264" t="str">
        <f t="array" ref="I62">xlookup(row()-1,Calcs!AQ$2:AQ$200,Display_All!AH$2:AH$200,)</f>
        <v/>
      </c>
      <c r="J62" s="264" t="str">
        <f t="array" ref="J62">xlookup(row()-1,Calcs!AQ$2:AQ$200,Display_All!AG$2:AG$200,)</f>
        <v/>
      </c>
      <c r="K62" s="264" t="str">
        <f t="array" ref="K62">xlookup(row()-1,Calcs!AQ$2:AQ$200,Display_All!AU$2:AU$200,)</f>
        <v/>
      </c>
      <c r="L62" s="264" t="str">
        <f t="array" ref="L62">xlookup(row()-1,Calcs!AQ$2:AQ$200,Display_All!AW$2:AW$200,)</f>
        <v/>
      </c>
      <c r="M62" s="264" t="str">
        <f t="array" ref="M62">xlookup(row()-1,Calcs!AQ$2:AQ$200,Display_All!AX$2:AX$200,)</f>
        <v/>
      </c>
    </row>
    <row r="63">
      <c r="A63" s="264" t="str">
        <f t="array" ref="A63">xlookup(row()-1,Calcs!AQ$2:AQ$200,Raw!A$2:A$200,)</f>
        <v/>
      </c>
      <c r="B63" s="264" t="str">
        <f t="array" ref="B63">xlookup(row()-1,Calcs!AQ$2:AQ$200,Raw!B$2:B$200,)</f>
        <v/>
      </c>
      <c r="C63" s="264" t="str">
        <f t="array" ref="C63">xlookup(row()-1,Calcs!AQ$2:AQ$200,Raw!I$2:I$200,)</f>
        <v/>
      </c>
      <c r="D63" s="264" t="str">
        <f t="array" ref="D63">xlookup(row()-1,Calcs!AQ$2:AQ$200,Raw!J$2:J$200,)</f>
        <v/>
      </c>
      <c r="E63" s="264" t="str">
        <f t="array" ref="E63">xlookup(row()-1,Calcs!AQ$2:AQ$200,Raw!AO$2:AO$200,)</f>
        <v/>
      </c>
      <c r="F63" s="264"/>
      <c r="G63" s="264" t="str">
        <f t="array" ref="G63">xlookup(row()-1,Calcs!AQ$2:AQ$200,Display_All!AC$2:AC$200,)</f>
        <v/>
      </c>
      <c r="H63" s="264" t="str">
        <f t="array" ref="H63">xlookup(row()-1,Calcs!AQ$2:AQ$200,Display_All!AE$2:AE$200,)</f>
        <v/>
      </c>
      <c r="I63" s="264" t="str">
        <f t="array" ref="I63">xlookup(row()-1,Calcs!AQ$2:AQ$200,Display_All!AH$2:AH$200,)</f>
        <v/>
      </c>
      <c r="J63" s="264" t="str">
        <f t="array" ref="J63">xlookup(row()-1,Calcs!AQ$2:AQ$200,Display_All!AG$2:AG$200,)</f>
        <v/>
      </c>
      <c r="K63" s="264" t="str">
        <f t="array" ref="K63">xlookup(row()-1,Calcs!AQ$2:AQ$200,Display_All!AU$2:AU$200,)</f>
        <v/>
      </c>
      <c r="L63" s="264" t="str">
        <f t="array" ref="L63">xlookup(row()-1,Calcs!AQ$2:AQ$200,Display_All!AW$2:AW$200,)</f>
        <v/>
      </c>
      <c r="M63" s="264" t="str">
        <f t="array" ref="M63">xlookup(row()-1,Calcs!AQ$2:AQ$200,Display_All!AX$2:AX$200,)</f>
        <v/>
      </c>
    </row>
    <row r="64">
      <c r="A64" s="264" t="str">
        <f t="array" ref="A64">xlookup(row()-1,Calcs!AQ$2:AQ$200,Raw!A$2:A$200,)</f>
        <v/>
      </c>
      <c r="B64" s="264" t="str">
        <f t="array" ref="B64">xlookup(row()-1,Calcs!AQ$2:AQ$200,Raw!B$2:B$200,)</f>
        <v/>
      </c>
      <c r="C64" s="264" t="str">
        <f t="array" ref="C64">xlookup(row()-1,Calcs!AQ$2:AQ$200,Raw!I$2:I$200,)</f>
        <v/>
      </c>
      <c r="D64" s="264" t="str">
        <f t="array" ref="D64">xlookup(row()-1,Calcs!AQ$2:AQ$200,Raw!J$2:J$200,)</f>
        <v/>
      </c>
      <c r="E64" s="264" t="str">
        <f t="array" ref="E64">xlookup(row()-1,Calcs!AQ$2:AQ$200,Raw!AO$2:AO$200,)</f>
        <v/>
      </c>
      <c r="F64" s="264"/>
      <c r="G64" s="264" t="str">
        <f t="array" ref="G64">xlookup(row()-1,Calcs!AQ$2:AQ$200,Display_All!AC$2:AC$200,)</f>
        <v/>
      </c>
      <c r="H64" s="264" t="str">
        <f t="array" ref="H64">xlookup(row()-1,Calcs!AQ$2:AQ$200,Display_All!AE$2:AE$200,)</f>
        <v/>
      </c>
      <c r="I64" s="264" t="str">
        <f t="array" ref="I64">xlookup(row()-1,Calcs!AQ$2:AQ$200,Display_All!AH$2:AH$200,)</f>
        <v/>
      </c>
      <c r="J64" s="264" t="str">
        <f t="array" ref="J64">xlookup(row()-1,Calcs!AQ$2:AQ$200,Display_All!AG$2:AG$200,)</f>
        <v/>
      </c>
      <c r="K64" s="264" t="str">
        <f t="array" ref="K64">xlookup(row()-1,Calcs!AQ$2:AQ$200,Display_All!AU$2:AU$200,)</f>
        <v/>
      </c>
      <c r="L64" s="264" t="str">
        <f t="array" ref="L64">xlookup(row()-1,Calcs!AQ$2:AQ$200,Display_All!AW$2:AW$200,)</f>
        <v/>
      </c>
      <c r="M64" s="264" t="str">
        <f t="array" ref="M64">xlookup(row()-1,Calcs!AQ$2:AQ$200,Display_All!AX$2:AX$200,)</f>
        <v/>
      </c>
    </row>
    <row r="65">
      <c r="A65" s="264" t="str">
        <f t="array" ref="A65">xlookup(row()-1,Calcs!AQ$2:AQ$200,Raw!A$2:A$200,)</f>
        <v/>
      </c>
      <c r="B65" s="264" t="str">
        <f t="array" ref="B65">xlookup(row()-1,Calcs!AQ$2:AQ$200,Raw!B$2:B$200,)</f>
        <v/>
      </c>
      <c r="C65" s="264" t="str">
        <f t="array" ref="C65">xlookup(row()-1,Calcs!AQ$2:AQ$200,Raw!I$2:I$200,)</f>
        <v/>
      </c>
      <c r="D65" s="264" t="str">
        <f t="array" ref="D65">xlookup(row()-1,Calcs!AQ$2:AQ$200,Raw!J$2:J$200,)</f>
        <v/>
      </c>
      <c r="E65" s="264" t="str">
        <f t="array" ref="E65">xlookup(row()-1,Calcs!AQ$2:AQ$200,Raw!AO$2:AO$200,)</f>
        <v/>
      </c>
      <c r="F65" s="264"/>
      <c r="G65" s="264" t="str">
        <f t="array" ref="G65">xlookup(row()-1,Calcs!AQ$2:AQ$200,Display_All!AC$2:AC$200,)</f>
        <v/>
      </c>
      <c r="H65" s="264" t="str">
        <f t="array" ref="H65">xlookup(row()-1,Calcs!AQ$2:AQ$200,Display_All!AE$2:AE$200,)</f>
        <v/>
      </c>
      <c r="I65" s="264" t="str">
        <f t="array" ref="I65">xlookup(row()-1,Calcs!AQ$2:AQ$200,Display_All!AH$2:AH$200,)</f>
        <v/>
      </c>
      <c r="J65" s="264" t="str">
        <f t="array" ref="J65">xlookup(row()-1,Calcs!AQ$2:AQ$200,Display_All!AG$2:AG$200,)</f>
        <v/>
      </c>
      <c r="K65" s="264" t="str">
        <f t="array" ref="K65">xlookup(row()-1,Calcs!AQ$2:AQ$200,Display_All!AU$2:AU$200,)</f>
        <v/>
      </c>
      <c r="L65" s="264" t="str">
        <f t="array" ref="L65">xlookup(row()-1,Calcs!AQ$2:AQ$200,Display_All!AW$2:AW$200,)</f>
        <v/>
      </c>
      <c r="M65" s="264" t="str">
        <f t="array" ref="M65">xlookup(row()-1,Calcs!AQ$2:AQ$200,Display_All!AX$2:AX$200,)</f>
        <v/>
      </c>
    </row>
    <row r="66">
      <c r="A66" s="264" t="str">
        <f t="array" ref="A66">xlookup(row()-1,Calcs!AQ$2:AQ$200,Raw!A$2:A$200,)</f>
        <v/>
      </c>
      <c r="B66" s="264" t="str">
        <f t="array" ref="B66">xlookup(row()-1,Calcs!AQ$2:AQ$200,Raw!B$2:B$200,)</f>
        <v/>
      </c>
      <c r="C66" s="264" t="str">
        <f t="array" ref="C66">xlookup(row()-1,Calcs!AQ$2:AQ$200,Raw!I$2:I$200,)</f>
        <v/>
      </c>
      <c r="D66" s="264" t="str">
        <f t="array" ref="D66">xlookup(row()-1,Calcs!AQ$2:AQ$200,Raw!J$2:J$200,)</f>
        <v/>
      </c>
      <c r="E66" s="264" t="str">
        <f t="array" ref="E66">xlookup(row()-1,Calcs!AQ$2:AQ$200,Raw!AO$2:AO$200,)</f>
        <v/>
      </c>
      <c r="F66" s="264"/>
      <c r="G66" s="264" t="str">
        <f t="array" ref="G66">xlookup(row()-1,Calcs!AQ$2:AQ$200,Display_All!AC$2:AC$200,)</f>
        <v/>
      </c>
      <c r="H66" s="264" t="str">
        <f t="array" ref="H66">xlookup(row()-1,Calcs!AQ$2:AQ$200,Display_All!AE$2:AE$200,)</f>
        <v/>
      </c>
      <c r="I66" s="264" t="str">
        <f t="array" ref="I66">xlookup(row()-1,Calcs!AQ$2:AQ$200,Display_All!AH$2:AH$200,)</f>
        <v/>
      </c>
      <c r="J66" s="264" t="str">
        <f t="array" ref="J66">xlookup(row()-1,Calcs!AQ$2:AQ$200,Display_All!AG$2:AG$200,)</f>
        <v/>
      </c>
      <c r="K66" s="264" t="str">
        <f t="array" ref="K66">xlookup(row()-1,Calcs!AQ$2:AQ$200,Display_All!AU$2:AU$200,)</f>
        <v/>
      </c>
      <c r="L66" s="264" t="str">
        <f t="array" ref="L66">xlookup(row()-1,Calcs!AQ$2:AQ$200,Display_All!AW$2:AW$200,)</f>
        <v/>
      </c>
      <c r="M66" s="264" t="str">
        <f t="array" ref="M66">xlookup(row()-1,Calcs!AQ$2:AQ$200,Display_All!AX$2:AX$200,)</f>
        <v/>
      </c>
    </row>
    <row r="67">
      <c r="A67" s="264" t="str">
        <f t="array" ref="A67">xlookup(row()-1,Calcs!AQ$2:AQ$200,Raw!A$2:A$200,)</f>
        <v/>
      </c>
      <c r="B67" s="264" t="str">
        <f t="array" ref="B67">xlookup(row()-1,Calcs!AQ$2:AQ$200,Raw!B$2:B$200,)</f>
        <v/>
      </c>
      <c r="C67" s="264" t="str">
        <f t="array" ref="C67">xlookup(row()-1,Calcs!AQ$2:AQ$200,Raw!I$2:I$200,)</f>
        <v/>
      </c>
      <c r="D67" s="264" t="str">
        <f t="array" ref="D67">xlookup(row()-1,Calcs!AQ$2:AQ$200,Raw!J$2:J$200,)</f>
        <v/>
      </c>
      <c r="E67" s="264" t="str">
        <f t="array" ref="E67">xlookup(row()-1,Calcs!AQ$2:AQ$200,Raw!AO$2:AO$200,)</f>
        <v/>
      </c>
      <c r="F67" s="264"/>
      <c r="G67" s="264" t="str">
        <f t="array" ref="G67">xlookup(row()-1,Calcs!AQ$2:AQ$200,Display_All!AC$2:AC$200,)</f>
        <v/>
      </c>
      <c r="H67" s="264" t="str">
        <f t="array" ref="H67">xlookup(row()-1,Calcs!AQ$2:AQ$200,Display_All!AE$2:AE$200,)</f>
        <v/>
      </c>
      <c r="I67" s="264" t="str">
        <f t="array" ref="I67">xlookup(row()-1,Calcs!AQ$2:AQ$200,Display_All!AH$2:AH$200,)</f>
        <v/>
      </c>
      <c r="J67" s="264" t="str">
        <f t="array" ref="J67">xlookup(row()-1,Calcs!AQ$2:AQ$200,Display_All!AG$2:AG$200,)</f>
        <v/>
      </c>
      <c r="K67" s="264" t="str">
        <f t="array" ref="K67">xlookup(row()-1,Calcs!AQ$2:AQ$200,Display_All!AU$2:AU$200,)</f>
        <v/>
      </c>
      <c r="L67" s="264" t="str">
        <f t="array" ref="L67">xlookup(row()-1,Calcs!AQ$2:AQ$200,Display_All!AW$2:AW$200,)</f>
        <v/>
      </c>
      <c r="M67" s="264" t="str">
        <f t="array" ref="M67">xlookup(row()-1,Calcs!AQ$2:AQ$200,Display_All!AX$2:AX$200,)</f>
        <v/>
      </c>
    </row>
    <row r="68">
      <c r="A68" s="264" t="str">
        <f t="array" ref="A68">xlookup(row()-1,Calcs!AQ$2:AQ$200,Raw!A$2:A$200,)</f>
        <v/>
      </c>
      <c r="B68" s="264" t="str">
        <f t="array" ref="B68">xlookup(row()-1,Calcs!AQ$2:AQ$200,Raw!B$2:B$200,)</f>
        <v/>
      </c>
      <c r="C68" s="264" t="str">
        <f t="array" ref="C68">xlookup(row()-1,Calcs!AQ$2:AQ$200,Raw!I$2:I$200,)</f>
        <v/>
      </c>
      <c r="D68" s="264" t="str">
        <f t="array" ref="D68">xlookup(row()-1,Calcs!AQ$2:AQ$200,Raw!J$2:J$200,)</f>
        <v/>
      </c>
      <c r="E68" s="264" t="str">
        <f t="array" ref="E68">xlookup(row()-1,Calcs!AQ$2:AQ$200,Raw!AO$2:AO$200,)</f>
        <v/>
      </c>
      <c r="F68" s="264"/>
      <c r="G68" s="264" t="str">
        <f t="array" ref="G68">xlookup(row()-1,Calcs!AQ$2:AQ$200,Display_All!AC$2:AC$200,)</f>
        <v/>
      </c>
      <c r="H68" s="264" t="str">
        <f t="array" ref="H68">xlookup(row()-1,Calcs!AQ$2:AQ$200,Display_All!AE$2:AE$200,)</f>
        <v/>
      </c>
      <c r="I68" s="264" t="str">
        <f t="array" ref="I68">xlookup(row()-1,Calcs!AQ$2:AQ$200,Display_All!AH$2:AH$200,)</f>
        <v/>
      </c>
      <c r="J68" s="264" t="str">
        <f t="array" ref="J68">xlookup(row()-1,Calcs!AQ$2:AQ$200,Display_All!AG$2:AG$200,)</f>
        <v/>
      </c>
      <c r="K68" s="264" t="str">
        <f t="array" ref="K68">xlookup(row()-1,Calcs!AQ$2:AQ$200,Display_All!AU$2:AU$200,)</f>
        <v/>
      </c>
      <c r="L68" s="264" t="str">
        <f t="array" ref="L68">xlookup(row()-1,Calcs!AQ$2:AQ$200,Display_All!AW$2:AW$200,)</f>
        <v/>
      </c>
      <c r="M68" s="264" t="str">
        <f t="array" ref="M68">xlookup(row()-1,Calcs!AQ$2:AQ$200,Display_All!AX$2:AX$200,)</f>
        <v/>
      </c>
    </row>
    <row r="69">
      <c r="A69" s="264" t="str">
        <f t="array" ref="A69">xlookup(row()-1,Calcs!AQ$2:AQ$200,Raw!A$2:A$200,)</f>
        <v/>
      </c>
      <c r="B69" s="264" t="str">
        <f t="array" ref="B69">xlookup(row()-1,Calcs!AQ$2:AQ$200,Raw!B$2:B$200,)</f>
        <v/>
      </c>
      <c r="C69" s="264" t="str">
        <f t="array" ref="C69">xlookup(row()-1,Calcs!AQ$2:AQ$200,Raw!I$2:I$200,)</f>
        <v/>
      </c>
      <c r="D69" s="264" t="str">
        <f t="array" ref="D69">xlookup(row()-1,Calcs!AQ$2:AQ$200,Raw!J$2:J$200,)</f>
        <v/>
      </c>
      <c r="E69" s="264" t="str">
        <f t="array" ref="E69">xlookup(row()-1,Calcs!AQ$2:AQ$200,Raw!AO$2:AO$200,)</f>
        <v/>
      </c>
      <c r="F69" s="264"/>
      <c r="G69" s="264" t="str">
        <f t="array" ref="G69">xlookup(row()-1,Calcs!AQ$2:AQ$200,Display_All!AC$2:AC$200,)</f>
        <v/>
      </c>
      <c r="H69" s="264" t="str">
        <f t="array" ref="H69">xlookup(row()-1,Calcs!AQ$2:AQ$200,Display_All!AE$2:AE$200,)</f>
        <v/>
      </c>
      <c r="I69" s="264" t="str">
        <f t="array" ref="I69">xlookup(row()-1,Calcs!AQ$2:AQ$200,Display_All!AH$2:AH$200,)</f>
        <v/>
      </c>
      <c r="J69" s="264" t="str">
        <f t="array" ref="J69">xlookup(row()-1,Calcs!AQ$2:AQ$200,Display_All!AG$2:AG$200,)</f>
        <v/>
      </c>
      <c r="K69" s="264" t="str">
        <f t="array" ref="K69">xlookup(row()-1,Calcs!AQ$2:AQ$200,Display_All!AU$2:AU$200,)</f>
        <v/>
      </c>
      <c r="L69" s="264" t="str">
        <f t="array" ref="L69">xlookup(row()-1,Calcs!AQ$2:AQ$200,Display_All!AW$2:AW$200,)</f>
        <v/>
      </c>
      <c r="M69" s="264" t="str">
        <f t="array" ref="M69">xlookup(row()-1,Calcs!AQ$2:AQ$200,Display_All!AX$2:AX$200,)</f>
        <v/>
      </c>
    </row>
    <row r="70">
      <c r="A70" s="264" t="str">
        <f t="array" ref="A70">xlookup(row()-1,Calcs!AQ$2:AQ$200,Raw!A$2:A$200,)</f>
        <v/>
      </c>
      <c r="B70" s="264" t="str">
        <f t="array" ref="B70">xlookup(row()-1,Calcs!AQ$2:AQ$200,Raw!B$2:B$200,)</f>
        <v/>
      </c>
      <c r="C70" s="264" t="str">
        <f t="array" ref="C70">xlookup(row()-1,Calcs!AQ$2:AQ$200,Raw!I$2:I$200,)</f>
        <v/>
      </c>
      <c r="D70" s="264" t="str">
        <f t="array" ref="D70">xlookup(row()-1,Calcs!AQ$2:AQ$200,Raw!J$2:J$200,)</f>
        <v/>
      </c>
      <c r="E70" s="264" t="str">
        <f t="array" ref="E70">xlookup(row()-1,Calcs!AQ$2:AQ$200,Raw!AO$2:AO$200,)</f>
        <v/>
      </c>
      <c r="F70" s="264"/>
      <c r="G70" s="264" t="str">
        <f t="array" ref="G70">xlookup(row()-1,Calcs!AQ$2:AQ$200,Display_All!AC$2:AC$200,)</f>
        <v/>
      </c>
      <c r="H70" s="264" t="str">
        <f t="array" ref="H70">xlookup(row()-1,Calcs!AQ$2:AQ$200,Display_All!AE$2:AE$200,)</f>
        <v/>
      </c>
      <c r="I70" s="264" t="str">
        <f t="array" ref="I70">xlookup(row()-1,Calcs!AQ$2:AQ$200,Display_All!AH$2:AH$200,)</f>
        <v/>
      </c>
      <c r="J70" s="264" t="str">
        <f t="array" ref="J70">xlookup(row()-1,Calcs!AQ$2:AQ$200,Display_All!AG$2:AG$200,)</f>
        <v/>
      </c>
      <c r="K70" s="264" t="str">
        <f t="array" ref="K70">xlookup(row()-1,Calcs!AQ$2:AQ$200,Display_All!AU$2:AU$200,)</f>
        <v/>
      </c>
      <c r="L70" s="264" t="str">
        <f t="array" ref="L70">xlookup(row()-1,Calcs!AQ$2:AQ$200,Display_All!AW$2:AW$200,)</f>
        <v/>
      </c>
      <c r="M70" s="264" t="str">
        <f t="array" ref="M70">xlookup(row()-1,Calcs!AQ$2:AQ$200,Display_All!AX$2:AX$200,)</f>
        <v/>
      </c>
    </row>
    <row r="71">
      <c r="A71" s="264" t="str">
        <f t="array" ref="A71">xlookup(row()-1,Calcs!AQ$2:AQ$200,Raw!A$2:A$200,)</f>
        <v/>
      </c>
      <c r="B71" s="264" t="str">
        <f t="array" ref="B71">xlookup(row()-1,Calcs!AQ$2:AQ$200,Raw!B$2:B$200,)</f>
        <v/>
      </c>
      <c r="C71" s="264" t="str">
        <f t="array" ref="C71">xlookup(row()-1,Calcs!AQ$2:AQ$200,Raw!I$2:I$200,)</f>
        <v/>
      </c>
      <c r="D71" s="264" t="str">
        <f t="array" ref="D71">xlookup(row()-1,Calcs!AQ$2:AQ$200,Raw!J$2:J$200,)</f>
        <v/>
      </c>
      <c r="E71" s="264" t="str">
        <f t="array" ref="E71">xlookup(row()-1,Calcs!AQ$2:AQ$200,Raw!AO$2:AO$200,)</f>
        <v/>
      </c>
      <c r="F71" s="264"/>
      <c r="G71" s="264" t="str">
        <f t="array" ref="G71">xlookup(row()-1,Calcs!AQ$2:AQ$200,Display_All!AC$2:AC$200,)</f>
        <v/>
      </c>
      <c r="H71" s="264" t="str">
        <f t="array" ref="H71">xlookup(row()-1,Calcs!AQ$2:AQ$200,Display_All!AE$2:AE$200,)</f>
        <v/>
      </c>
      <c r="I71" s="264" t="str">
        <f t="array" ref="I71">xlookup(row()-1,Calcs!AQ$2:AQ$200,Display_All!AH$2:AH$200,)</f>
        <v/>
      </c>
      <c r="J71" s="264" t="str">
        <f t="array" ref="J71">xlookup(row()-1,Calcs!AQ$2:AQ$200,Display_All!AG$2:AG$200,)</f>
        <v/>
      </c>
      <c r="K71" s="264" t="str">
        <f t="array" ref="K71">xlookup(row()-1,Calcs!AQ$2:AQ$200,Display_All!AU$2:AU$200,)</f>
        <v/>
      </c>
      <c r="L71" s="264" t="str">
        <f t="array" ref="L71">xlookup(row()-1,Calcs!AQ$2:AQ$200,Display_All!AW$2:AW$200,)</f>
        <v/>
      </c>
      <c r="M71" s="264" t="str">
        <f t="array" ref="M71">xlookup(row()-1,Calcs!AQ$2:AQ$200,Display_All!AX$2:AX$200,)</f>
        <v/>
      </c>
    </row>
    <row r="72">
      <c r="A72" s="264" t="str">
        <f t="array" ref="A72">xlookup(row()-1,Calcs!AQ$2:AQ$200,Raw!A$2:A$200,)</f>
        <v/>
      </c>
      <c r="B72" s="264" t="str">
        <f t="array" ref="B72">xlookup(row()-1,Calcs!AQ$2:AQ$200,Raw!B$2:B$200,)</f>
        <v/>
      </c>
      <c r="C72" s="264" t="str">
        <f t="array" ref="C72">xlookup(row()-1,Calcs!AQ$2:AQ$200,Raw!I$2:I$200,)</f>
        <v/>
      </c>
      <c r="D72" s="264" t="str">
        <f t="array" ref="D72">xlookup(row()-1,Calcs!AQ$2:AQ$200,Raw!J$2:J$200,)</f>
        <v/>
      </c>
      <c r="E72" s="264" t="str">
        <f t="array" ref="E72">xlookup(row()-1,Calcs!AQ$2:AQ$200,Raw!AO$2:AO$200,)</f>
        <v/>
      </c>
      <c r="F72" s="264"/>
      <c r="G72" s="264" t="str">
        <f t="array" ref="G72">xlookup(row()-1,Calcs!AQ$2:AQ$200,Display_All!AC$2:AC$200,)</f>
        <v/>
      </c>
      <c r="H72" s="264" t="str">
        <f t="array" ref="H72">xlookup(row()-1,Calcs!AQ$2:AQ$200,Display_All!AE$2:AE$200,)</f>
        <v/>
      </c>
      <c r="I72" s="264" t="str">
        <f t="array" ref="I72">xlookup(row()-1,Calcs!AQ$2:AQ$200,Display_All!AH$2:AH$200,)</f>
        <v/>
      </c>
      <c r="J72" s="264" t="str">
        <f t="array" ref="J72">xlookup(row()-1,Calcs!AQ$2:AQ$200,Display_All!AG$2:AG$200,)</f>
        <v/>
      </c>
      <c r="K72" s="264" t="str">
        <f t="array" ref="K72">xlookup(row()-1,Calcs!AQ$2:AQ$200,Display_All!AU$2:AU$200,)</f>
        <v/>
      </c>
      <c r="L72" s="264" t="str">
        <f t="array" ref="L72">xlookup(row()-1,Calcs!AQ$2:AQ$200,Display_All!AW$2:AW$200,)</f>
        <v/>
      </c>
      <c r="M72" s="264" t="str">
        <f t="array" ref="M72">xlookup(row()-1,Calcs!AQ$2:AQ$200,Display_All!AX$2:AX$200,)</f>
        <v/>
      </c>
    </row>
    <row r="73">
      <c r="A73" s="264" t="str">
        <f t="array" ref="A73">xlookup(row()-1,Calcs!AQ$2:AQ$200,Raw!A$2:A$200,)</f>
        <v/>
      </c>
      <c r="B73" s="264" t="str">
        <f t="array" ref="B73">xlookup(row()-1,Calcs!AQ$2:AQ$200,Raw!B$2:B$200,)</f>
        <v/>
      </c>
      <c r="C73" s="264" t="str">
        <f t="array" ref="C73">xlookup(row()-1,Calcs!AQ$2:AQ$200,Raw!I$2:I$200,)</f>
        <v/>
      </c>
      <c r="D73" s="264" t="str">
        <f t="array" ref="D73">xlookup(row()-1,Calcs!AQ$2:AQ$200,Raw!J$2:J$200,)</f>
        <v/>
      </c>
      <c r="E73" s="264" t="str">
        <f t="array" ref="E73">xlookup(row()-1,Calcs!AQ$2:AQ$200,Raw!AO$2:AO$200,)</f>
        <v/>
      </c>
      <c r="F73" s="264"/>
      <c r="G73" s="264" t="str">
        <f t="array" ref="G73">xlookup(row()-1,Calcs!AQ$2:AQ$200,Display_All!AC$2:AC$200,)</f>
        <v/>
      </c>
      <c r="H73" s="264" t="str">
        <f t="array" ref="H73">xlookup(row()-1,Calcs!AQ$2:AQ$200,Display_All!AE$2:AE$200,)</f>
        <v/>
      </c>
      <c r="I73" s="264" t="str">
        <f t="array" ref="I73">xlookup(row()-1,Calcs!AQ$2:AQ$200,Display_All!AH$2:AH$200,)</f>
        <v/>
      </c>
      <c r="J73" s="264" t="str">
        <f t="array" ref="J73">xlookup(row()-1,Calcs!AQ$2:AQ$200,Display_All!AG$2:AG$200,)</f>
        <v/>
      </c>
      <c r="K73" s="264" t="str">
        <f t="array" ref="K73">xlookup(row()-1,Calcs!AQ$2:AQ$200,Display_All!AU$2:AU$200,)</f>
        <v/>
      </c>
      <c r="L73" s="264" t="str">
        <f t="array" ref="L73">xlookup(row()-1,Calcs!AQ$2:AQ$200,Display_All!AW$2:AW$200,)</f>
        <v/>
      </c>
      <c r="M73" s="264" t="str">
        <f t="array" ref="M73">xlookup(row()-1,Calcs!AQ$2:AQ$200,Display_All!AX$2:AX$200,)</f>
        <v/>
      </c>
    </row>
    <row r="74">
      <c r="A74" s="264" t="str">
        <f t="array" ref="A74">xlookup(row()-1,Calcs!AQ$2:AQ$200,Raw!A$2:A$200,)</f>
        <v/>
      </c>
      <c r="B74" s="264" t="str">
        <f t="array" ref="B74">xlookup(row()-1,Calcs!AQ$2:AQ$200,Raw!B$2:B$200,)</f>
        <v/>
      </c>
      <c r="C74" s="264" t="str">
        <f t="array" ref="C74">xlookup(row()-1,Calcs!AQ$2:AQ$200,Raw!I$2:I$200,)</f>
        <v/>
      </c>
      <c r="D74" s="264" t="str">
        <f t="array" ref="D74">xlookup(row()-1,Calcs!AQ$2:AQ$200,Raw!J$2:J$200,)</f>
        <v/>
      </c>
      <c r="E74" s="264" t="str">
        <f t="array" ref="E74">xlookup(row()-1,Calcs!AQ$2:AQ$200,Raw!AO$2:AO$200,)</f>
        <v/>
      </c>
      <c r="F74" s="264"/>
      <c r="G74" s="264" t="str">
        <f t="array" ref="G74">xlookup(row()-1,Calcs!AQ$2:AQ$200,Display_All!AC$2:AC$200,)</f>
        <v/>
      </c>
      <c r="H74" s="264" t="str">
        <f t="array" ref="H74">xlookup(row()-1,Calcs!AQ$2:AQ$200,Display_All!AE$2:AE$200,)</f>
        <v/>
      </c>
      <c r="I74" s="264" t="str">
        <f t="array" ref="I74">xlookup(row()-1,Calcs!AQ$2:AQ$200,Display_All!AH$2:AH$200,)</f>
        <v/>
      </c>
      <c r="J74" s="264" t="str">
        <f t="array" ref="J74">xlookup(row()-1,Calcs!AQ$2:AQ$200,Display_All!AG$2:AG$200,)</f>
        <v/>
      </c>
      <c r="K74" s="264" t="str">
        <f t="array" ref="K74">xlookup(row()-1,Calcs!AQ$2:AQ$200,Display_All!AU$2:AU$200,)</f>
        <v/>
      </c>
      <c r="L74" s="264" t="str">
        <f t="array" ref="L74">xlookup(row()-1,Calcs!AQ$2:AQ$200,Display_All!AW$2:AW$200,)</f>
        <v/>
      </c>
      <c r="M74" s="264" t="str">
        <f t="array" ref="M74">xlookup(row()-1,Calcs!AQ$2:AQ$200,Display_All!AX$2:AX$200,)</f>
        <v/>
      </c>
    </row>
    <row r="75">
      <c r="A75" s="264" t="str">
        <f t="array" ref="A75">xlookup(row()-1,Calcs!AQ$2:AQ$200,Raw!A$2:A$200,)</f>
        <v/>
      </c>
      <c r="B75" s="264" t="str">
        <f t="array" ref="B75">xlookup(row()-1,Calcs!AQ$2:AQ$200,Raw!B$2:B$200,)</f>
        <v/>
      </c>
      <c r="C75" s="264" t="str">
        <f t="array" ref="C75">xlookup(row()-1,Calcs!AQ$2:AQ$200,Raw!I$2:I$200,)</f>
        <v/>
      </c>
      <c r="D75" s="264" t="str">
        <f t="array" ref="D75">xlookup(row()-1,Calcs!AQ$2:AQ$200,Raw!J$2:J$200,)</f>
        <v/>
      </c>
      <c r="E75" s="264" t="str">
        <f t="array" ref="E75">xlookup(row()-1,Calcs!AQ$2:AQ$200,Raw!AO$2:AO$200,)</f>
        <v/>
      </c>
      <c r="F75" s="264"/>
      <c r="G75" s="264" t="str">
        <f t="array" ref="G75">xlookup(row()-1,Calcs!AQ$2:AQ$200,Display_All!AC$2:AC$200,)</f>
        <v/>
      </c>
      <c r="H75" s="264" t="str">
        <f t="array" ref="H75">xlookup(row()-1,Calcs!AQ$2:AQ$200,Display_All!AE$2:AE$200,)</f>
        <v/>
      </c>
      <c r="I75" s="264" t="str">
        <f t="array" ref="I75">xlookup(row()-1,Calcs!AQ$2:AQ$200,Display_All!AH$2:AH$200,)</f>
        <v/>
      </c>
      <c r="J75" s="264" t="str">
        <f t="array" ref="J75">xlookup(row()-1,Calcs!AQ$2:AQ$200,Display_All!AG$2:AG$200,)</f>
        <v/>
      </c>
      <c r="K75" s="264" t="str">
        <f t="array" ref="K75">xlookup(row()-1,Calcs!AQ$2:AQ$200,Display_All!AU$2:AU$200,)</f>
        <v/>
      </c>
      <c r="L75" s="264" t="str">
        <f t="array" ref="L75">xlookup(row()-1,Calcs!AQ$2:AQ$200,Display_All!AW$2:AW$200,)</f>
        <v/>
      </c>
      <c r="M75" s="264" t="str">
        <f t="array" ref="M75">xlookup(row()-1,Calcs!AQ$2:AQ$200,Display_All!AX$2:AX$200,)</f>
        <v/>
      </c>
    </row>
    <row r="76">
      <c r="A76" s="264" t="str">
        <f t="array" ref="A76">xlookup(row()-1,Calcs!AQ$2:AQ$200,Raw!A$2:A$200,)</f>
        <v/>
      </c>
      <c r="B76" s="264" t="str">
        <f t="array" ref="B76">xlookup(row()-1,Calcs!AQ$2:AQ$200,Raw!B$2:B$200,)</f>
        <v/>
      </c>
      <c r="C76" s="264" t="str">
        <f t="array" ref="C76">xlookup(row()-1,Calcs!AQ$2:AQ$200,Raw!I$2:I$200,)</f>
        <v/>
      </c>
      <c r="D76" s="264" t="str">
        <f t="array" ref="D76">xlookup(row()-1,Calcs!AQ$2:AQ$200,Raw!J$2:J$200,)</f>
        <v/>
      </c>
      <c r="E76" s="264" t="str">
        <f t="array" ref="E76">xlookup(row()-1,Calcs!AQ$2:AQ$200,Raw!AO$2:AO$200,)</f>
        <v/>
      </c>
      <c r="F76" s="264"/>
      <c r="G76" s="264" t="str">
        <f t="array" ref="G76">xlookup(row()-1,Calcs!AQ$2:AQ$200,Display_All!AC$2:AC$200,)</f>
        <v/>
      </c>
      <c r="H76" s="264" t="str">
        <f t="array" ref="H76">xlookup(row()-1,Calcs!AQ$2:AQ$200,Display_All!AE$2:AE$200,)</f>
        <v/>
      </c>
      <c r="I76" s="264" t="str">
        <f t="array" ref="I76">xlookup(row()-1,Calcs!AQ$2:AQ$200,Display_All!AH$2:AH$200,)</f>
        <v/>
      </c>
      <c r="J76" s="264" t="str">
        <f t="array" ref="J76">xlookup(row()-1,Calcs!AQ$2:AQ$200,Display_All!AG$2:AG$200,)</f>
        <v/>
      </c>
      <c r="K76" s="264" t="str">
        <f t="array" ref="K76">xlookup(row()-1,Calcs!AQ$2:AQ$200,Display_All!AU$2:AU$200,)</f>
        <v/>
      </c>
      <c r="L76" s="264" t="str">
        <f t="array" ref="L76">xlookup(row()-1,Calcs!AQ$2:AQ$200,Display_All!AW$2:AW$200,)</f>
        <v/>
      </c>
      <c r="M76" s="264" t="str">
        <f t="array" ref="M76">xlookup(row()-1,Calcs!AQ$2:AQ$200,Display_All!AX$2:AX$200,)</f>
        <v/>
      </c>
    </row>
    <row r="77">
      <c r="A77" s="264" t="str">
        <f t="array" ref="A77">xlookup(row()-1,Calcs!AQ$2:AQ$200,Raw!A$2:A$200,)</f>
        <v/>
      </c>
      <c r="B77" s="264" t="str">
        <f t="array" ref="B77">xlookup(row()-1,Calcs!AQ$2:AQ$200,Raw!B$2:B$200,)</f>
        <v/>
      </c>
      <c r="C77" s="264" t="str">
        <f t="array" ref="C77">xlookup(row()-1,Calcs!AQ$2:AQ$200,Raw!I$2:I$200,)</f>
        <v/>
      </c>
      <c r="D77" s="264" t="str">
        <f t="array" ref="D77">xlookup(row()-1,Calcs!AQ$2:AQ$200,Raw!J$2:J$200,)</f>
        <v/>
      </c>
      <c r="E77" s="264" t="str">
        <f t="array" ref="E77">xlookup(row()-1,Calcs!AQ$2:AQ$200,Raw!AO$2:AO$200,)</f>
        <v/>
      </c>
      <c r="F77" s="264"/>
      <c r="G77" s="264" t="str">
        <f t="array" ref="G77">xlookup(row()-1,Calcs!AQ$2:AQ$200,Display_All!AC$2:AC$200,)</f>
        <v/>
      </c>
      <c r="H77" s="264" t="str">
        <f t="array" ref="H77">xlookup(row()-1,Calcs!AQ$2:AQ$200,Display_All!AE$2:AE$200,)</f>
        <v/>
      </c>
      <c r="I77" s="264" t="str">
        <f t="array" ref="I77">xlookup(row()-1,Calcs!AQ$2:AQ$200,Display_All!AH$2:AH$200,)</f>
        <v/>
      </c>
      <c r="J77" s="264" t="str">
        <f t="array" ref="J77">xlookup(row()-1,Calcs!AQ$2:AQ$200,Display_All!AG$2:AG$200,)</f>
        <v/>
      </c>
      <c r="K77" s="264" t="str">
        <f t="array" ref="K77">xlookup(row()-1,Calcs!AQ$2:AQ$200,Display_All!AU$2:AU$200,)</f>
        <v/>
      </c>
      <c r="L77" s="264" t="str">
        <f t="array" ref="L77">xlookup(row()-1,Calcs!AQ$2:AQ$200,Display_All!AW$2:AW$200,)</f>
        <v/>
      </c>
      <c r="M77" s="264" t="str">
        <f t="array" ref="M77">xlookup(row()-1,Calcs!AQ$2:AQ$200,Display_All!AX$2:AX$200,)</f>
        <v/>
      </c>
    </row>
    <row r="78">
      <c r="A78" s="264" t="str">
        <f t="array" ref="A78">xlookup(row()-1,Calcs!AQ$2:AQ$200,Raw!A$2:A$200,)</f>
        <v/>
      </c>
      <c r="B78" s="264" t="str">
        <f t="array" ref="B78">xlookup(row()-1,Calcs!AQ$2:AQ$200,Raw!B$2:B$200,)</f>
        <v/>
      </c>
      <c r="C78" s="264" t="str">
        <f t="array" ref="C78">xlookup(row()-1,Calcs!AQ$2:AQ$200,Raw!I$2:I$200,)</f>
        <v/>
      </c>
      <c r="D78" s="264" t="str">
        <f t="array" ref="D78">xlookup(row()-1,Calcs!AQ$2:AQ$200,Raw!J$2:J$200,)</f>
        <v/>
      </c>
      <c r="E78" s="264" t="str">
        <f t="array" ref="E78">xlookup(row()-1,Calcs!AQ$2:AQ$200,Raw!AO$2:AO$200,)</f>
        <v/>
      </c>
      <c r="F78" s="264"/>
      <c r="G78" s="264" t="str">
        <f t="array" ref="G78">xlookup(row()-1,Calcs!AQ$2:AQ$200,Display_All!AC$2:AC$200,)</f>
        <v/>
      </c>
      <c r="H78" s="264" t="str">
        <f t="array" ref="H78">xlookup(row()-1,Calcs!AQ$2:AQ$200,Display_All!AE$2:AE$200,)</f>
        <v/>
      </c>
      <c r="I78" s="264" t="str">
        <f t="array" ref="I78">xlookup(row()-1,Calcs!AQ$2:AQ$200,Display_All!AH$2:AH$200,)</f>
        <v/>
      </c>
      <c r="J78" s="264" t="str">
        <f t="array" ref="J78">xlookup(row()-1,Calcs!AQ$2:AQ$200,Display_All!AG$2:AG$200,)</f>
        <v/>
      </c>
      <c r="K78" s="264" t="str">
        <f t="array" ref="K78">xlookup(row()-1,Calcs!AQ$2:AQ$200,Display_All!AU$2:AU$200,)</f>
        <v/>
      </c>
      <c r="L78" s="264" t="str">
        <f t="array" ref="L78">xlookup(row()-1,Calcs!AQ$2:AQ$200,Display_All!AW$2:AW$200,)</f>
        <v/>
      </c>
      <c r="M78" s="264" t="str">
        <f t="array" ref="M78">xlookup(row()-1,Calcs!AQ$2:AQ$200,Display_All!AX$2:AX$200,)</f>
        <v/>
      </c>
    </row>
    <row r="79">
      <c r="A79" s="264" t="str">
        <f t="array" ref="A79">xlookup(row()-1,Calcs!AQ$2:AQ$200,Raw!A$2:A$200,)</f>
        <v/>
      </c>
      <c r="B79" s="264" t="str">
        <f t="array" ref="B79">xlookup(row()-1,Calcs!AQ$2:AQ$200,Raw!B$2:B$200,)</f>
        <v/>
      </c>
      <c r="C79" s="264" t="str">
        <f t="array" ref="C79">xlookup(row()-1,Calcs!AQ$2:AQ$200,Raw!I$2:I$200,)</f>
        <v/>
      </c>
      <c r="D79" s="264" t="str">
        <f t="array" ref="D79">xlookup(row()-1,Calcs!AQ$2:AQ$200,Raw!J$2:J$200,)</f>
        <v/>
      </c>
      <c r="E79" s="264" t="str">
        <f t="array" ref="E79">xlookup(row()-1,Calcs!AQ$2:AQ$200,Raw!AO$2:AO$200,)</f>
        <v/>
      </c>
      <c r="F79" s="264"/>
      <c r="G79" s="264" t="str">
        <f t="array" ref="G79">xlookup(row()-1,Calcs!AQ$2:AQ$200,Display_All!AC$2:AC$200,)</f>
        <v/>
      </c>
      <c r="H79" s="264" t="str">
        <f t="array" ref="H79">xlookup(row()-1,Calcs!AQ$2:AQ$200,Display_All!AE$2:AE$200,)</f>
        <v/>
      </c>
      <c r="I79" s="264" t="str">
        <f t="array" ref="I79">xlookup(row()-1,Calcs!AQ$2:AQ$200,Display_All!AH$2:AH$200,)</f>
        <v/>
      </c>
      <c r="J79" s="264" t="str">
        <f t="array" ref="J79">xlookup(row()-1,Calcs!AQ$2:AQ$200,Display_All!AG$2:AG$200,)</f>
        <v/>
      </c>
      <c r="K79" s="264" t="str">
        <f t="array" ref="K79">xlookup(row()-1,Calcs!AQ$2:AQ$200,Display_All!AU$2:AU$200,)</f>
        <v/>
      </c>
      <c r="L79" s="264" t="str">
        <f t="array" ref="L79">xlookup(row()-1,Calcs!AQ$2:AQ$200,Display_All!AW$2:AW$200,)</f>
        <v/>
      </c>
      <c r="M79" s="264" t="str">
        <f t="array" ref="M79">xlookup(row()-1,Calcs!AQ$2:AQ$200,Display_All!AX$2:AX$200,)</f>
        <v/>
      </c>
    </row>
    <row r="80">
      <c r="A80" s="264" t="str">
        <f t="array" ref="A80">xlookup(row()-1,Calcs!AQ$2:AQ$200,Raw!A$2:A$200,)</f>
        <v/>
      </c>
      <c r="B80" s="264" t="str">
        <f t="array" ref="B80">xlookup(row()-1,Calcs!AQ$2:AQ$200,Raw!B$2:B$200,)</f>
        <v/>
      </c>
      <c r="C80" s="264" t="str">
        <f t="array" ref="C80">xlookup(row()-1,Calcs!AQ$2:AQ$200,Raw!I$2:I$200,)</f>
        <v/>
      </c>
      <c r="D80" s="264" t="str">
        <f t="array" ref="D80">xlookup(row()-1,Calcs!AQ$2:AQ$200,Raw!J$2:J$200,)</f>
        <v/>
      </c>
      <c r="E80" s="264" t="str">
        <f t="array" ref="E80">xlookup(row()-1,Calcs!AQ$2:AQ$200,Raw!AO$2:AO$200,)</f>
        <v/>
      </c>
      <c r="F80" s="264"/>
      <c r="G80" s="264" t="str">
        <f t="array" ref="G80">xlookup(row()-1,Calcs!AQ$2:AQ$200,Display_All!AC$2:AC$200,)</f>
        <v/>
      </c>
      <c r="H80" s="264" t="str">
        <f t="array" ref="H80">xlookup(row()-1,Calcs!AQ$2:AQ$200,Display_All!AE$2:AE$200,)</f>
        <v/>
      </c>
      <c r="I80" s="264" t="str">
        <f t="array" ref="I80">xlookup(row()-1,Calcs!AQ$2:AQ$200,Display_All!AH$2:AH$200,)</f>
        <v/>
      </c>
      <c r="J80" s="264" t="str">
        <f t="array" ref="J80">xlookup(row()-1,Calcs!AQ$2:AQ$200,Display_All!AG$2:AG$200,)</f>
        <v/>
      </c>
      <c r="K80" s="264" t="str">
        <f t="array" ref="K80">xlookup(row()-1,Calcs!AQ$2:AQ$200,Display_All!AU$2:AU$200,)</f>
        <v/>
      </c>
      <c r="L80" s="264" t="str">
        <f t="array" ref="L80">xlookup(row()-1,Calcs!AQ$2:AQ$200,Display_All!AW$2:AW$200,)</f>
        <v/>
      </c>
      <c r="M80" s="264" t="str">
        <f t="array" ref="M80">xlookup(row()-1,Calcs!AQ$2:AQ$200,Display_All!AX$2:AX$200,)</f>
        <v/>
      </c>
    </row>
    <row r="81">
      <c r="A81" s="264" t="str">
        <f t="array" ref="A81">xlookup(row()-1,Calcs!AQ$2:AQ$200,Raw!A$2:A$200,)</f>
        <v/>
      </c>
      <c r="B81" s="264" t="str">
        <f t="array" ref="B81">xlookup(row()-1,Calcs!AQ$2:AQ$200,Raw!B$2:B$200,)</f>
        <v/>
      </c>
      <c r="C81" s="264" t="str">
        <f t="array" ref="C81">xlookup(row()-1,Calcs!AQ$2:AQ$200,Raw!I$2:I$200,)</f>
        <v/>
      </c>
      <c r="D81" s="264" t="str">
        <f t="array" ref="D81">xlookup(row()-1,Calcs!AQ$2:AQ$200,Raw!J$2:J$200,)</f>
        <v/>
      </c>
      <c r="E81" s="264" t="str">
        <f t="array" ref="E81">xlookup(row()-1,Calcs!AQ$2:AQ$200,Raw!AO$2:AO$200,)</f>
        <v/>
      </c>
      <c r="F81" s="264"/>
      <c r="G81" s="264" t="str">
        <f t="array" ref="G81">xlookup(row()-1,Calcs!AQ$2:AQ$200,Display_All!AC$2:AC$200,)</f>
        <v/>
      </c>
      <c r="H81" s="264" t="str">
        <f t="array" ref="H81">xlookup(row()-1,Calcs!AQ$2:AQ$200,Display_All!AE$2:AE$200,)</f>
        <v/>
      </c>
      <c r="I81" s="264" t="str">
        <f t="array" ref="I81">xlookup(row()-1,Calcs!AQ$2:AQ$200,Display_All!AH$2:AH$200,)</f>
        <v/>
      </c>
      <c r="J81" s="264" t="str">
        <f t="array" ref="J81">xlookup(row()-1,Calcs!AQ$2:AQ$200,Display_All!AG$2:AG$200,)</f>
        <v/>
      </c>
      <c r="K81" s="264" t="str">
        <f t="array" ref="K81">xlookup(row()-1,Calcs!AQ$2:AQ$200,Display_All!AU$2:AU$200,)</f>
        <v/>
      </c>
      <c r="L81" s="264" t="str">
        <f t="array" ref="L81">xlookup(row()-1,Calcs!AQ$2:AQ$200,Display_All!AW$2:AW$200,)</f>
        <v/>
      </c>
      <c r="M81" s="264" t="str">
        <f t="array" ref="M81">xlookup(row()-1,Calcs!AQ$2:AQ$200,Display_All!AX$2:AX$200,)</f>
        <v/>
      </c>
    </row>
    <row r="82">
      <c r="A82" s="264" t="str">
        <f t="array" ref="A82">xlookup(row()-1,Calcs!AQ$2:AQ$200,Raw!A$2:A$200,)</f>
        <v/>
      </c>
      <c r="B82" s="264" t="str">
        <f t="array" ref="B82">xlookup(row()-1,Calcs!AQ$2:AQ$200,Raw!B$2:B$200,)</f>
        <v/>
      </c>
      <c r="C82" s="264" t="str">
        <f t="array" ref="C82">xlookup(row()-1,Calcs!AQ$2:AQ$200,Raw!I$2:I$200,)</f>
        <v/>
      </c>
      <c r="D82" s="264" t="str">
        <f t="array" ref="D82">xlookup(row()-1,Calcs!AQ$2:AQ$200,Raw!J$2:J$200,)</f>
        <v/>
      </c>
      <c r="E82" s="264" t="str">
        <f t="array" ref="E82">xlookup(row()-1,Calcs!AQ$2:AQ$200,Raw!AO$2:AO$200,)</f>
        <v/>
      </c>
      <c r="F82" s="264"/>
      <c r="G82" s="264" t="str">
        <f t="array" ref="G82">xlookup(row()-1,Calcs!AQ$2:AQ$200,Display_All!AC$2:AC$200,)</f>
        <v/>
      </c>
      <c r="H82" s="264" t="str">
        <f t="array" ref="H82">xlookup(row()-1,Calcs!AQ$2:AQ$200,Display_All!AE$2:AE$200,)</f>
        <v/>
      </c>
      <c r="I82" s="264" t="str">
        <f t="array" ref="I82">xlookup(row()-1,Calcs!AQ$2:AQ$200,Display_All!AH$2:AH$200,)</f>
        <v/>
      </c>
      <c r="J82" s="264" t="str">
        <f t="array" ref="J82">xlookup(row()-1,Calcs!AQ$2:AQ$200,Display_All!AG$2:AG$200,)</f>
        <v/>
      </c>
      <c r="K82" s="264" t="str">
        <f t="array" ref="K82">xlookup(row()-1,Calcs!AQ$2:AQ$200,Display_All!AU$2:AU$200,)</f>
        <v/>
      </c>
      <c r="L82" s="264" t="str">
        <f t="array" ref="L82">xlookup(row()-1,Calcs!AQ$2:AQ$200,Display_All!AW$2:AW$200,)</f>
        <v/>
      </c>
      <c r="M82" s="264" t="str">
        <f t="array" ref="M82">xlookup(row()-1,Calcs!AQ$2:AQ$200,Display_All!AX$2:AX$200,)</f>
        <v/>
      </c>
    </row>
    <row r="83">
      <c r="A83" s="264" t="str">
        <f t="array" ref="A83">xlookup(row()-1,Calcs!AQ$2:AQ$200,Raw!A$2:A$200,)</f>
        <v/>
      </c>
      <c r="B83" s="264" t="str">
        <f t="array" ref="B83">xlookup(row()-1,Calcs!AQ$2:AQ$200,Raw!B$2:B$200,)</f>
        <v/>
      </c>
      <c r="C83" s="264" t="str">
        <f t="array" ref="C83">xlookup(row()-1,Calcs!AQ$2:AQ$200,Raw!I$2:I$200,)</f>
        <v/>
      </c>
      <c r="D83" s="264" t="str">
        <f t="array" ref="D83">xlookup(row()-1,Calcs!AQ$2:AQ$200,Raw!J$2:J$200,)</f>
        <v/>
      </c>
      <c r="E83" s="264" t="str">
        <f t="array" ref="E83">xlookup(row()-1,Calcs!AQ$2:AQ$200,Raw!AO$2:AO$200,)</f>
        <v/>
      </c>
      <c r="F83" s="264"/>
      <c r="G83" s="264" t="str">
        <f t="array" ref="G83">xlookup(row()-1,Calcs!AQ$2:AQ$200,Display_All!AC$2:AC$200,)</f>
        <v/>
      </c>
      <c r="H83" s="264" t="str">
        <f t="array" ref="H83">xlookup(row()-1,Calcs!AQ$2:AQ$200,Display_All!AE$2:AE$200,)</f>
        <v/>
      </c>
      <c r="I83" s="264" t="str">
        <f t="array" ref="I83">xlookup(row()-1,Calcs!AQ$2:AQ$200,Display_All!AH$2:AH$200,)</f>
        <v/>
      </c>
      <c r="J83" s="264" t="str">
        <f t="array" ref="J83">xlookup(row()-1,Calcs!AQ$2:AQ$200,Display_All!AG$2:AG$200,)</f>
        <v/>
      </c>
      <c r="K83" s="264" t="str">
        <f t="array" ref="K83">xlookup(row()-1,Calcs!AQ$2:AQ$200,Display_All!AU$2:AU$200,)</f>
        <v/>
      </c>
      <c r="L83" s="264" t="str">
        <f t="array" ref="L83">xlookup(row()-1,Calcs!AQ$2:AQ$200,Display_All!AW$2:AW$200,)</f>
        <v/>
      </c>
      <c r="M83" s="264" t="str">
        <f t="array" ref="M83">xlookup(row()-1,Calcs!AQ$2:AQ$200,Display_All!AX$2:AX$200,)</f>
        <v/>
      </c>
    </row>
    <row r="84">
      <c r="A84" s="264" t="str">
        <f t="array" ref="A84">xlookup(row()-1,Calcs!AQ$2:AQ$200,Raw!A$2:A$200,)</f>
        <v/>
      </c>
      <c r="B84" s="264" t="str">
        <f t="array" ref="B84">xlookup(row()-1,Calcs!AQ$2:AQ$200,Raw!B$2:B$200,)</f>
        <v/>
      </c>
      <c r="C84" s="264" t="str">
        <f t="array" ref="C84">xlookup(row()-1,Calcs!AQ$2:AQ$200,Raw!I$2:I$200,)</f>
        <v/>
      </c>
      <c r="D84" s="264" t="str">
        <f t="array" ref="D84">xlookup(row()-1,Calcs!AQ$2:AQ$200,Raw!J$2:J$200,)</f>
        <v/>
      </c>
      <c r="E84" s="264" t="str">
        <f t="array" ref="E84">xlookup(row()-1,Calcs!AQ$2:AQ$200,Raw!AO$2:AO$200,)</f>
        <v/>
      </c>
      <c r="F84" s="264"/>
      <c r="G84" s="264" t="str">
        <f t="array" ref="G84">xlookup(row()-1,Calcs!AQ$2:AQ$200,Display_All!AC$2:AC$200,)</f>
        <v/>
      </c>
      <c r="H84" s="264" t="str">
        <f t="array" ref="H84">xlookup(row()-1,Calcs!AQ$2:AQ$200,Display_All!AE$2:AE$200,)</f>
        <v/>
      </c>
      <c r="I84" s="264" t="str">
        <f t="array" ref="I84">xlookup(row()-1,Calcs!AQ$2:AQ$200,Display_All!AH$2:AH$200,)</f>
        <v/>
      </c>
      <c r="J84" s="264" t="str">
        <f t="array" ref="J84">xlookup(row()-1,Calcs!AQ$2:AQ$200,Display_All!AG$2:AG$200,)</f>
        <v/>
      </c>
      <c r="K84" s="264" t="str">
        <f t="array" ref="K84">xlookup(row()-1,Calcs!AQ$2:AQ$200,Display_All!AU$2:AU$200,)</f>
        <v/>
      </c>
      <c r="L84" s="264" t="str">
        <f t="array" ref="L84">xlookup(row()-1,Calcs!AQ$2:AQ$200,Display_All!AW$2:AW$200,)</f>
        <v/>
      </c>
      <c r="M84" s="264" t="str">
        <f t="array" ref="M84">xlookup(row()-1,Calcs!AQ$2:AQ$200,Display_All!AX$2:AX$200,)</f>
        <v/>
      </c>
    </row>
    <row r="85">
      <c r="A85" s="264" t="str">
        <f t="array" ref="A85">xlookup(row()-1,Calcs!AQ$2:AQ$200,Raw!A$2:A$200,)</f>
        <v/>
      </c>
      <c r="B85" s="264" t="str">
        <f t="array" ref="B85">xlookup(row()-1,Calcs!AQ$2:AQ$200,Raw!B$2:B$200,)</f>
        <v/>
      </c>
      <c r="C85" s="264" t="str">
        <f t="array" ref="C85">xlookup(row()-1,Calcs!AQ$2:AQ$200,Raw!I$2:I$200,)</f>
        <v/>
      </c>
      <c r="D85" s="264" t="str">
        <f t="array" ref="D85">xlookup(row()-1,Calcs!AQ$2:AQ$200,Raw!J$2:J$200,)</f>
        <v/>
      </c>
      <c r="E85" s="264" t="str">
        <f t="array" ref="E85">xlookup(row()-1,Calcs!AQ$2:AQ$200,Raw!AO$2:AO$200,)</f>
        <v/>
      </c>
      <c r="F85" s="264"/>
      <c r="G85" s="264" t="str">
        <f t="array" ref="G85">xlookup(row()-1,Calcs!AQ$2:AQ$200,Display_All!AC$2:AC$200,)</f>
        <v/>
      </c>
      <c r="H85" s="264" t="str">
        <f t="array" ref="H85">xlookup(row()-1,Calcs!AQ$2:AQ$200,Display_All!AE$2:AE$200,)</f>
        <v/>
      </c>
      <c r="I85" s="264" t="str">
        <f t="array" ref="I85">xlookup(row()-1,Calcs!AQ$2:AQ$200,Display_All!AH$2:AH$200,)</f>
        <v/>
      </c>
      <c r="J85" s="264" t="str">
        <f t="array" ref="J85">xlookup(row()-1,Calcs!AQ$2:AQ$200,Display_All!AG$2:AG$200,)</f>
        <v/>
      </c>
      <c r="K85" s="264" t="str">
        <f t="array" ref="K85">xlookup(row()-1,Calcs!AQ$2:AQ$200,Display_All!AU$2:AU$200,)</f>
        <v/>
      </c>
      <c r="L85" s="264" t="str">
        <f t="array" ref="L85">xlookup(row()-1,Calcs!AQ$2:AQ$200,Display_All!AW$2:AW$200,)</f>
        <v/>
      </c>
      <c r="M85" s="264" t="str">
        <f t="array" ref="M85">xlookup(row()-1,Calcs!AQ$2:AQ$200,Display_All!AX$2:AX$200,)</f>
        <v/>
      </c>
    </row>
    <row r="86">
      <c r="A86" s="264" t="str">
        <f t="array" ref="A86">xlookup(row()-1,Calcs!AQ$2:AQ$200,Raw!A$2:A$200,)</f>
        <v/>
      </c>
      <c r="B86" s="264" t="str">
        <f t="array" ref="B86">xlookup(row()-1,Calcs!AQ$2:AQ$200,Raw!B$2:B$200,)</f>
        <v/>
      </c>
      <c r="C86" s="264" t="str">
        <f t="array" ref="C86">xlookup(row()-1,Calcs!AQ$2:AQ$200,Raw!I$2:I$200,)</f>
        <v/>
      </c>
      <c r="D86" s="264" t="str">
        <f t="array" ref="D86">xlookup(row()-1,Calcs!AQ$2:AQ$200,Raw!J$2:J$200,)</f>
        <v/>
      </c>
      <c r="E86" s="264" t="str">
        <f t="array" ref="E86">xlookup(row()-1,Calcs!AQ$2:AQ$200,Raw!AO$2:AO$200,)</f>
        <v/>
      </c>
      <c r="F86" s="264"/>
      <c r="G86" s="264" t="str">
        <f t="array" ref="G86">xlookup(row()-1,Calcs!AQ$2:AQ$200,Display_All!AC$2:AC$200,)</f>
        <v/>
      </c>
      <c r="H86" s="264" t="str">
        <f t="array" ref="H86">xlookup(row()-1,Calcs!AQ$2:AQ$200,Display_All!AE$2:AE$200,)</f>
        <v/>
      </c>
      <c r="I86" s="264" t="str">
        <f t="array" ref="I86">xlookup(row()-1,Calcs!AQ$2:AQ$200,Display_All!AH$2:AH$200,)</f>
        <v/>
      </c>
      <c r="J86" s="264" t="str">
        <f t="array" ref="J86">xlookup(row()-1,Calcs!AQ$2:AQ$200,Display_All!AG$2:AG$200,)</f>
        <v/>
      </c>
      <c r="K86" s="264" t="str">
        <f t="array" ref="K86">xlookup(row()-1,Calcs!AQ$2:AQ$200,Display_All!AU$2:AU$200,)</f>
        <v/>
      </c>
      <c r="L86" s="264" t="str">
        <f t="array" ref="L86">xlookup(row()-1,Calcs!AQ$2:AQ$200,Display_All!AW$2:AW$200,)</f>
        <v/>
      </c>
      <c r="M86" s="264" t="str">
        <f t="array" ref="M86">xlookup(row()-1,Calcs!AQ$2:AQ$200,Display_All!AX$2:AX$200,)</f>
        <v/>
      </c>
    </row>
    <row r="87">
      <c r="A87" s="264" t="str">
        <f t="array" ref="A87">xlookup(row()-1,Calcs!AQ$2:AQ$200,Raw!A$2:A$200,)</f>
        <v/>
      </c>
      <c r="B87" s="264" t="str">
        <f t="array" ref="B87">xlookup(row()-1,Calcs!AQ$2:AQ$200,Raw!B$2:B$200,)</f>
        <v/>
      </c>
      <c r="C87" s="264" t="str">
        <f t="array" ref="C87">xlookup(row()-1,Calcs!AQ$2:AQ$200,Raw!I$2:I$200,)</f>
        <v/>
      </c>
      <c r="D87" s="264" t="str">
        <f t="array" ref="D87">xlookup(row()-1,Calcs!AQ$2:AQ$200,Raw!J$2:J$200,)</f>
        <v/>
      </c>
      <c r="E87" s="264" t="str">
        <f t="array" ref="E87">xlookup(row()-1,Calcs!AQ$2:AQ$200,Raw!AO$2:AO$200,)</f>
        <v/>
      </c>
      <c r="F87" s="264"/>
      <c r="G87" s="264" t="str">
        <f t="array" ref="G87">xlookup(row()-1,Calcs!AQ$2:AQ$200,Display_All!AC$2:AC$200,)</f>
        <v/>
      </c>
      <c r="H87" s="264" t="str">
        <f t="array" ref="H87">xlookup(row()-1,Calcs!AQ$2:AQ$200,Display_All!AE$2:AE$200,)</f>
        <v/>
      </c>
      <c r="I87" s="264" t="str">
        <f t="array" ref="I87">xlookup(row()-1,Calcs!AQ$2:AQ$200,Display_All!AH$2:AH$200,)</f>
        <v/>
      </c>
      <c r="J87" s="264" t="str">
        <f t="array" ref="J87">xlookup(row()-1,Calcs!AQ$2:AQ$200,Display_All!AG$2:AG$200,)</f>
        <v/>
      </c>
      <c r="K87" s="264" t="str">
        <f t="array" ref="K87">xlookup(row()-1,Calcs!AQ$2:AQ$200,Display_All!AU$2:AU$200,)</f>
        <v/>
      </c>
      <c r="L87" s="264" t="str">
        <f t="array" ref="L87">xlookup(row()-1,Calcs!AQ$2:AQ$200,Display_All!AW$2:AW$200,)</f>
        <v/>
      </c>
      <c r="M87" s="264" t="str">
        <f t="array" ref="M87">xlookup(row()-1,Calcs!AQ$2:AQ$200,Display_All!AX$2:AX$200,)</f>
        <v/>
      </c>
    </row>
    <row r="88">
      <c r="A88" s="264" t="str">
        <f t="array" ref="A88">xlookup(row()-1,Calcs!AQ$2:AQ$200,Raw!A$2:A$200,)</f>
        <v/>
      </c>
      <c r="B88" s="264" t="str">
        <f t="array" ref="B88">xlookup(row()-1,Calcs!AQ$2:AQ$200,Raw!B$2:B$200,)</f>
        <v/>
      </c>
      <c r="C88" s="264" t="str">
        <f t="array" ref="C88">xlookup(row()-1,Calcs!AQ$2:AQ$200,Raw!I$2:I$200,)</f>
        <v/>
      </c>
      <c r="D88" s="264" t="str">
        <f t="array" ref="D88">xlookup(row()-1,Calcs!AQ$2:AQ$200,Raw!J$2:J$200,)</f>
        <v/>
      </c>
      <c r="E88" s="264" t="str">
        <f t="array" ref="E88">xlookup(row()-1,Calcs!AQ$2:AQ$200,Raw!AO$2:AO$200,)</f>
        <v/>
      </c>
      <c r="F88" s="264"/>
      <c r="G88" s="264" t="str">
        <f t="array" ref="G88">xlookup(row()-1,Calcs!AQ$2:AQ$200,Display_All!AC$2:AC$200,)</f>
        <v/>
      </c>
      <c r="H88" s="264" t="str">
        <f t="array" ref="H88">xlookup(row()-1,Calcs!AQ$2:AQ$200,Display_All!AE$2:AE$200,)</f>
        <v/>
      </c>
      <c r="I88" s="264" t="str">
        <f t="array" ref="I88">xlookup(row()-1,Calcs!AQ$2:AQ$200,Display_All!AH$2:AH$200,)</f>
        <v/>
      </c>
      <c r="J88" s="264" t="str">
        <f t="array" ref="J88">xlookup(row()-1,Calcs!AQ$2:AQ$200,Display_All!AG$2:AG$200,)</f>
        <v/>
      </c>
      <c r="K88" s="264" t="str">
        <f t="array" ref="K88">xlookup(row()-1,Calcs!AQ$2:AQ$200,Display_All!AU$2:AU$200,)</f>
        <v/>
      </c>
      <c r="L88" s="264" t="str">
        <f t="array" ref="L88">xlookup(row()-1,Calcs!AQ$2:AQ$200,Display_All!AW$2:AW$200,)</f>
        <v/>
      </c>
      <c r="M88" s="264" t="str">
        <f t="array" ref="M88">xlookup(row()-1,Calcs!AQ$2:AQ$200,Display_All!AX$2:AX$200,)</f>
        <v/>
      </c>
    </row>
    <row r="89">
      <c r="A89" s="264" t="str">
        <f t="array" ref="A89">xlookup(row()-1,Calcs!AQ$2:AQ$200,Raw!A$2:A$200,)</f>
        <v/>
      </c>
      <c r="B89" s="264" t="str">
        <f t="array" ref="B89">xlookup(row()-1,Calcs!AQ$2:AQ$200,Raw!B$2:B$200,)</f>
        <v/>
      </c>
      <c r="C89" s="264" t="str">
        <f t="array" ref="C89">xlookup(row()-1,Calcs!AQ$2:AQ$200,Raw!I$2:I$200,)</f>
        <v/>
      </c>
      <c r="D89" s="264" t="str">
        <f t="array" ref="D89">xlookup(row()-1,Calcs!AQ$2:AQ$200,Raw!J$2:J$200,)</f>
        <v/>
      </c>
      <c r="E89" s="264" t="str">
        <f t="array" ref="E89">xlookup(row()-1,Calcs!AQ$2:AQ$200,Raw!AO$2:AO$200,)</f>
        <v/>
      </c>
      <c r="F89" s="264"/>
      <c r="G89" s="264" t="str">
        <f t="array" ref="G89">xlookup(row()-1,Calcs!AQ$2:AQ$200,Display_All!AC$2:AC$200,)</f>
        <v/>
      </c>
      <c r="H89" s="264" t="str">
        <f t="array" ref="H89">xlookup(row()-1,Calcs!AQ$2:AQ$200,Display_All!AE$2:AE$200,)</f>
        <v/>
      </c>
      <c r="I89" s="264" t="str">
        <f t="array" ref="I89">xlookup(row()-1,Calcs!AQ$2:AQ$200,Display_All!AH$2:AH$200,)</f>
        <v/>
      </c>
      <c r="J89" s="264" t="str">
        <f t="array" ref="J89">xlookup(row()-1,Calcs!AQ$2:AQ$200,Display_All!AG$2:AG$200,)</f>
        <v/>
      </c>
      <c r="K89" s="264" t="str">
        <f t="array" ref="K89">xlookup(row()-1,Calcs!AQ$2:AQ$200,Display_All!AU$2:AU$200,)</f>
        <v/>
      </c>
      <c r="L89" s="264" t="str">
        <f t="array" ref="L89">xlookup(row()-1,Calcs!AQ$2:AQ$200,Display_All!AW$2:AW$200,)</f>
        <v/>
      </c>
      <c r="M89" s="264" t="str">
        <f t="array" ref="M89">xlookup(row()-1,Calcs!AQ$2:AQ$200,Display_All!AX$2:AX$200,)</f>
        <v/>
      </c>
    </row>
    <row r="90">
      <c r="A90" s="264" t="str">
        <f t="array" ref="A90">xlookup(row()-1,Calcs!AQ$2:AQ$200,Raw!A$2:A$200,)</f>
        <v/>
      </c>
      <c r="B90" s="264" t="str">
        <f t="array" ref="B90">xlookup(row()-1,Calcs!AQ$2:AQ$200,Raw!B$2:B$200,)</f>
        <v/>
      </c>
      <c r="C90" s="264" t="str">
        <f t="array" ref="C90">xlookup(row()-1,Calcs!AQ$2:AQ$200,Raw!I$2:I$200,)</f>
        <v/>
      </c>
      <c r="D90" s="264" t="str">
        <f t="array" ref="D90">xlookup(row()-1,Calcs!AQ$2:AQ$200,Raw!J$2:J$200,)</f>
        <v/>
      </c>
      <c r="E90" s="264" t="str">
        <f t="array" ref="E90">xlookup(row()-1,Calcs!AQ$2:AQ$200,Raw!AO$2:AO$200,)</f>
        <v/>
      </c>
      <c r="F90" s="264"/>
      <c r="G90" s="264" t="str">
        <f t="array" ref="G90">xlookup(row()-1,Calcs!AQ$2:AQ$200,Display_All!AC$2:AC$200,)</f>
        <v/>
      </c>
      <c r="H90" s="264" t="str">
        <f t="array" ref="H90">xlookup(row()-1,Calcs!AQ$2:AQ$200,Display_All!AE$2:AE$200,)</f>
        <v/>
      </c>
      <c r="I90" s="264" t="str">
        <f t="array" ref="I90">xlookup(row()-1,Calcs!AQ$2:AQ$200,Display_All!AH$2:AH$200,)</f>
        <v/>
      </c>
      <c r="J90" s="264" t="str">
        <f t="array" ref="J90">xlookup(row()-1,Calcs!AQ$2:AQ$200,Display_All!AG$2:AG$200,)</f>
        <v/>
      </c>
      <c r="K90" s="264" t="str">
        <f t="array" ref="K90">xlookup(row()-1,Calcs!AQ$2:AQ$200,Display_All!AU$2:AU$200,)</f>
        <v/>
      </c>
      <c r="L90" s="264" t="str">
        <f t="array" ref="L90">xlookup(row()-1,Calcs!AQ$2:AQ$200,Display_All!AW$2:AW$200,)</f>
        <v/>
      </c>
      <c r="M90" s="264" t="str">
        <f t="array" ref="M90">xlookup(row()-1,Calcs!AQ$2:AQ$200,Display_All!AX$2:AX$200,)</f>
        <v/>
      </c>
    </row>
    <row r="91">
      <c r="A91" s="264" t="str">
        <f t="array" ref="A91">xlookup(row()-1,Calcs!AQ$2:AQ$200,Raw!A$2:A$200,)</f>
        <v/>
      </c>
      <c r="B91" s="264" t="str">
        <f t="array" ref="B91">xlookup(row()-1,Calcs!AQ$2:AQ$200,Raw!B$2:B$200,)</f>
        <v/>
      </c>
      <c r="C91" s="264" t="str">
        <f t="array" ref="C91">xlookup(row()-1,Calcs!AQ$2:AQ$200,Raw!I$2:I$200,)</f>
        <v/>
      </c>
      <c r="D91" s="264" t="str">
        <f t="array" ref="D91">xlookup(row()-1,Calcs!AQ$2:AQ$200,Raw!J$2:J$200,)</f>
        <v/>
      </c>
      <c r="E91" s="264" t="str">
        <f t="array" ref="E91">xlookup(row()-1,Calcs!AQ$2:AQ$200,Raw!AO$2:AO$200,)</f>
        <v/>
      </c>
      <c r="F91" s="264"/>
      <c r="G91" s="264" t="str">
        <f t="array" ref="G91">xlookup(row()-1,Calcs!AQ$2:AQ$200,Display_All!AC$2:AC$200,)</f>
        <v/>
      </c>
      <c r="H91" s="264" t="str">
        <f t="array" ref="H91">xlookup(row()-1,Calcs!AQ$2:AQ$200,Display_All!AE$2:AE$200,)</f>
        <v/>
      </c>
      <c r="I91" s="264" t="str">
        <f t="array" ref="I91">xlookup(row()-1,Calcs!AQ$2:AQ$200,Display_All!AH$2:AH$200,)</f>
        <v/>
      </c>
      <c r="J91" s="264" t="str">
        <f t="array" ref="J91">xlookup(row()-1,Calcs!AQ$2:AQ$200,Display_All!AG$2:AG$200,)</f>
        <v/>
      </c>
      <c r="K91" s="264" t="str">
        <f t="array" ref="K91">xlookup(row()-1,Calcs!AQ$2:AQ$200,Display_All!AU$2:AU$200,)</f>
        <v/>
      </c>
      <c r="L91" s="264" t="str">
        <f t="array" ref="L91">xlookup(row()-1,Calcs!AQ$2:AQ$200,Display_All!AW$2:AW$200,)</f>
        <v/>
      </c>
      <c r="M91" s="264" t="str">
        <f t="array" ref="M91">xlookup(row()-1,Calcs!AQ$2:AQ$200,Display_All!AX$2:AX$200,)</f>
        <v/>
      </c>
    </row>
    <row r="92">
      <c r="A92" s="264" t="str">
        <f t="array" ref="A92">xlookup(row()-1,Calcs!AQ$2:AQ$200,Raw!A$2:A$200,)</f>
        <v/>
      </c>
      <c r="B92" s="264" t="str">
        <f t="array" ref="B92">xlookup(row()-1,Calcs!AQ$2:AQ$200,Raw!B$2:B$200,)</f>
        <v/>
      </c>
      <c r="C92" s="264" t="str">
        <f t="array" ref="C92">xlookup(row()-1,Calcs!AQ$2:AQ$200,Raw!I$2:I$200,)</f>
        <v/>
      </c>
      <c r="D92" s="264" t="str">
        <f t="array" ref="D92">xlookup(row()-1,Calcs!AQ$2:AQ$200,Raw!J$2:J$200,)</f>
        <v/>
      </c>
      <c r="E92" s="264" t="str">
        <f t="array" ref="E92">xlookup(row()-1,Calcs!AQ$2:AQ$200,Raw!AO$2:AO$200,)</f>
        <v/>
      </c>
      <c r="F92" s="264"/>
      <c r="G92" s="264" t="str">
        <f t="array" ref="G92">xlookup(row()-1,Calcs!AQ$2:AQ$200,Display_All!AC$2:AC$200,)</f>
        <v/>
      </c>
      <c r="H92" s="264" t="str">
        <f t="array" ref="H92">xlookup(row()-1,Calcs!AQ$2:AQ$200,Display_All!AE$2:AE$200,)</f>
        <v/>
      </c>
      <c r="I92" s="264" t="str">
        <f t="array" ref="I92">xlookup(row()-1,Calcs!AQ$2:AQ$200,Display_All!AH$2:AH$200,)</f>
        <v/>
      </c>
      <c r="J92" s="264" t="str">
        <f t="array" ref="J92">xlookup(row()-1,Calcs!AQ$2:AQ$200,Display_All!AG$2:AG$200,)</f>
        <v/>
      </c>
      <c r="K92" s="264" t="str">
        <f t="array" ref="K92">xlookup(row()-1,Calcs!AQ$2:AQ$200,Display_All!AU$2:AU$200,)</f>
        <v/>
      </c>
      <c r="L92" s="264" t="str">
        <f t="array" ref="L92">xlookup(row()-1,Calcs!AQ$2:AQ$200,Display_All!AW$2:AW$200,)</f>
        <v/>
      </c>
      <c r="M92" s="264" t="str">
        <f t="array" ref="M92">xlookup(row()-1,Calcs!AQ$2:AQ$200,Display_All!AX$2:AX$200,)</f>
        <v/>
      </c>
    </row>
    <row r="93">
      <c r="A93" s="264" t="str">
        <f t="array" ref="A93">xlookup(row()-1,Calcs!AQ$2:AQ$200,Raw!A$2:A$200,)</f>
        <v/>
      </c>
      <c r="B93" s="264" t="str">
        <f t="array" ref="B93">xlookup(row()-1,Calcs!AQ$2:AQ$200,Raw!B$2:B$200,)</f>
        <v/>
      </c>
      <c r="C93" s="264" t="str">
        <f t="array" ref="C93">xlookup(row()-1,Calcs!AQ$2:AQ$200,Raw!I$2:I$200,)</f>
        <v/>
      </c>
      <c r="D93" s="264" t="str">
        <f t="array" ref="D93">xlookup(row()-1,Calcs!AQ$2:AQ$200,Raw!J$2:J$200,)</f>
        <v/>
      </c>
      <c r="E93" s="264" t="str">
        <f t="array" ref="E93">xlookup(row()-1,Calcs!AQ$2:AQ$200,Raw!AO$2:AO$200,)</f>
        <v/>
      </c>
      <c r="F93" s="264"/>
      <c r="G93" s="264" t="str">
        <f t="array" ref="G93">xlookup(row()-1,Calcs!AQ$2:AQ$200,Display_All!AC$2:AC$200,)</f>
        <v/>
      </c>
      <c r="H93" s="264" t="str">
        <f t="array" ref="H93">xlookup(row()-1,Calcs!AQ$2:AQ$200,Display_All!AE$2:AE$200,)</f>
        <v/>
      </c>
      <c r="I93" s="264" t="str">
        <f t="array" ref="I93">xlookup(row()-1,Calcs!AQ$2:AQ$200,Display_All!AH$2:AH$200,)</f>
        <v/>
      </c>
      <c r="J93" s="264" t="str">
        <f t="array" ref="J93">xlookup(row()-1,Calcs!AQ$2:AQ$200,Display_All!AG$2:AG$200,)</f>
        <v/>
      </c>
      <c r="K93" s="264" t="str">
        <f t="array" ref="K93">xlookup(row()-1,Calcs!AQ$2:AQ$200,Display_All!AU$2:AU$200,)</f>
        <v/>
      </c>
      <c r="L93" s="264" t="str">
        <f t="array" ref="L93">xlookup(row()-1,Calcs!AQ$2:AQ$200,Display_All!AW$2:AW$200,)</f>
        <v/>
      </c>
      <c r="M93" s="264" t="str">
        <f t="array" ref="M93">xlookup(row()-1,Calcs!AQ$2:AQ$200,Display_All!AX$2:AX$200,)</f>
        <v/>
      </c>
    </row>
    <row r="94">
      <c r="A94" s="264" t="str">
        <f t="array" ref="A94">xlookup(row()-1,Calcs!AQ$2:AQ$200,Raw!A$2:A$200,)</f>
        <v/>
      </c>
      <c r="B94" s="264" t="str">
        <f t="array" ref="B94">xlookup(row()-1,Calcs!AQ$2:AQ$200,Raw!B$2:B$200,)</f>
        <v/>
      </c>
      <c r="C94" s="264" t="str">
        <f t="array" ref="C94">xlookup(row()-1,Calcs!AQ$2:AQ$200,Raw!I$2:I$200,)</f>
        <v/>
      </c>
      <c r="D94" s="264" t="str">
        <f t="array" ref="D94">xlookup(row()-1,Calcs!AQ$2:AQ$200,Raw!J$2:J$200,)</f>
        <v/>
      </c>
      <c r="E94" s="264" t="str">
        <f t="array" ref="E94">xlookup(row()-1,Calcs!AQ$2:AQ$200,Raw!AO$2:AO$200,)</f>
        <v/>
      </c>
      <c r="F94" s="264"/>
      <c r="G94" s="264" t="str">
        <f t="array" ref="G94">xlookup(row()-1,Calcs!AQ$2:AQ$200,Display_All!AC$2:AC$200,)</f>
        <v/>
      </c>
      <c r="H94" s="264" t="str">
        <f t="array" ref="H94">xlookup(row()-1,Calcs!AQ$2:AQ$200,Display_All!AE$2:AE$200,)</f>
        <v/>
      </c>
      <c r="I94" s="264" t="str">
        <f t="array" ref="I94">xlookup(row()-1,Calcs!AQ$2:AQ$200,Display_All!AH$2:AH$200,)</f>
        <v/>
      </c>
      <c r="J94" s="264" t="str">
        <f t="array" ref="J94">xlookup(row()-1,Calcs!AQ$2:AQ$200,Display_All!AG$2:AG$200,)</f>
        <v/>
      </c>
      <c r="K94" s="264" t="str">
        <f t="array" ref="K94">xlookup(row()-1,Calcs!AQ$2:AQ$200,Display_All!AU$2:AU$200,)</f>
        <v/>
      </c>
      <c r="L94" s="264" t="str">
        <f t="array" ref="L94">xlookup(row()-1,Calcs!AQ$2:AQ$200,Display_All!AW$2:AW$200,)</f>
        <v/>
      </c>
      <c r="M94" s="264" t="str">
        <f t="array" ref="M94">xlookup(row()-1,Calcs!AQ$2:AQ$200,Display_All!AX$2:AX$200,)</f>
        <v/>
      </c>
    </row>
    <row r="95">
      <c r="A95" s="264" t="str">
        <f t="array" ref="A95">xlookup(row()-1,Calcs!AQ$2:AQ$200,Raw!A$2:A$200,)</f>
        <v/>
      </c>
      <c r="B95" s="264" t="str">
        <f t="array" ref="B95">xlookup(row()-1,Calcs!AQ$2:AQ$200,Raw!B$2:B$200,)</f>
        <v/>
      </c>
      <c r="C95" s="264" t="str">
        <f t="array" ref="C95">xlookup(row()-1,Calcs!AQ$2:AQ$200,Raw!I$2:I$200,)</f>
        <v/>
      </c>
      <c r="D95" s="264" t="str">
        <f t="array" ref="D95">xlookup(row()-1,Calcs!AQ$2:AQ$200,Raw!J$2:J$200,)</f>
        <v/>
      </c>
      <c r="E95" s="264" t="str">
        <f t="array" ref="E95">xlookup(row()-1,Calcs!AQ$2:AQ$200,Raw!AO$2:AO$200,)</f>
        <v/>
      </c>
      <c r="F95" s="264"/>
      <c r="G95" s="264" t="str">
        <f t="array" ref="G95">xlookup(row()-1,Calcs!AQ$2:AQ$200,Display_All!AC$2:AC$200,)</f>
        <v/>
      </c>
      <c r="H95" s="264" t="str">
        <f t="array" ref="H95">xlookup(row()-1,Calcs!AQ$2:AQ$200,Display_All!AE$2:AE$200,)</f>
        <v/>
      </c>
      <c r="I95" s="264" t="str">
        <f t="array" ref="I95">xlookup(row()-1,Calcs!AQ$2:AQ$200,Display_All!AH$2:AH$200,)</f>
        <v/>
      </c>
      <c r="J95" s="264" t="str">
        <f t="array" ref="J95">xlookup(row()-1,Calcs!AQ$2:AQ$200,Display_All!AG$2:AG$200,)</f>
        <v/>
      </c>
      <c r="K95" s="264" t="str">
        <f t="array" ref="K95">xlookup(row()-1,Calcs!AQ$2:AQ$200,Display_All!AU$2:AU$200,)</f>
        <v/>
      </c>
      <c r="L95" s="264" t="str">
        <f t="array" ref="L95">xlookup(row()-1,Calcs!AQ$2:AQ$200,Display_All!AW$2:AW$200,)</f>
        <v/>
      </c>
      <c r="M95" s="264" t="str">
        <f t="array" ref="M95">xlookup(row()-1,Calcs!AQ$2:AQ$200,Display_All!AX$2:AX$200,)</f>
        <v/>
      </c>
    </row>
    <row r="96">
      <c r="A96" s="264" t="str">
        <f t="array" ref="A96">xlookup(row()-1,Calcs!AQ$2:AQ$200,Raw!A$2:A$200,)</f>
        <v/>
      </c>
      <c r="B96" s="264" t="str">
        <f t="array" ref="B96">xlookup(row()-1,Calcs!AQ$2:AQ$200,Raw!B$2:B$200,)</f>
        <v/>
      </c>
      <c r="C96" s="264" t="str">
        <f t="array" ref="C96">xlookup(row()-1,Calcs!AQ$2:AQ$200,Raw!I$2:I$200,)</f>
        <v/>
      </c>
      <c r="D96" s="264" t="str">
        <f t="array" ref="D96">xlookup(row()-1,Calcs!AQ$2:AQ$200,Raw!J$2:J$200,)</f>
        <v/>
      </c>
      <c r="E96" s="264" t="str">
        <f t="array" ref="E96">xlookup(row()-1,Calcs!AQ$2:AQ$200,Raw!AO$2:AO$200,)</f>
        <v/>
      </c>
      <c r="F96" s="264"/>
      <c r="G96" s="264" t="str">
        <f t="array" ref="G96">xlookup(row()-1,Calcs!AQ$2:AQ$200,Display_All!AC$2:AC$200,)</f>
        <v/>
      </c>
      <c r="H96" s="264" t="str">
        <f t="array" ref="H96">xlookup(row()-1,Calcs!AQ$2:AQ$200,Display_All!AE$2:AE$200,)</f>
        <v/>
      </c>
      <c r="I96" s="264" t="str">
        <f t="array" ref="I96">xlookup(row()-1,Calcs!AQ$2:AQ$200,Display_All!AH$2:AH$200,)</f>
        <v/>
      </c>
      <c r="J96" s="264" t="str">
        <f t="array" ref="J96">xlookup(row()-1,Calcs!AQ$2:AQ$200,Display_All!AG$2:AG$200,)</f>
        <v/>
      </c>
      <c r="K96" s="264" t="str">
        <f t="array" ref="K96">xlookup(row()-1,Calcs!AQ$2:AQ$200,Display_All!AU$2:AU$200,)</f>
        <v/>
      </c>
      <c r="L96" s="264" t="str">
        <f t="array" ref="L96">xlookup(row()-1,Calcs!AQ$2:AQ$200,Display_All!AW$2:AW$200,)</f>
        <v/>
      </c>
      <c r="M96" s="264" t="str">
        <f t="array" ref="M96">xlookup(row()-1,Calcs!AQ$2:AQ$200,Display_All!AX$2:AX$200,)</f>
        <v/>
      </c>
    </row>
    <row r="97">
      <c r="A97" s="264" t="str">
        <f t="array" ref="A97">xlookup(row()-1,Calcs!AQ$2:AQ$200,Raw!A$2:A$200,)</f>
        <v/>
      </c>
      <c r="B97" s="264" t="str">
        <f t="array" ref="B97">xlookup(row()-1,Calcs!AQ$2:AQ$200,Raw!B$2:B$200,)</f>
        <v/>
      </c>
      <c r="C97" s="264" t="str">
        <f t="array" ref="C97">xlookup(row()-1,Calcs!AQ$2:AQ$200,Raw!I$2:I$200,)</f>
        <v/>
      </c>
      <c r="D97" s="264" t="str">
        <f t="array" ref="D97">xlookup(row()-1,Calcs!AQ$2:AQ$200,Raw!J$2:J$200,)</f>
        <v/>
      </c>
      <c r="E97" s="264" t="str">
        <f t="array" ref="E97">xlookup(row()-1,Calcs!AQ$2:AQ$200,Raw!AO$2:AO$200,)</f>
        <v/>
      </c>
      <c r="F97" s="264"/>
      <c r="G97" s="264" t="str">
        <f t="array" ref="G97">xlookup(row()-1,Calcs!AQ$2:AQ$200,Display_All!AC$2:AC$200,)</f>
        <v/>
      </c>
      <c r="H97" s="264" t="str">
        <f t="array" ref="H97">xlookup(row()-1,Calcs!AQ$2:AQ$200,Display_All!AE$2:AE$200,)</f>
        <v/>
      </c>
      <c r="I97" s="264" t="str">
        <f t="array" ref="I97">xlookup(row()-1,Calcs!AQ$2:AQ$200,Display_All!AH$2:AH$200,)</f>
        <v/>
      </c>
      <c r="J97" s="264" t="str">
        <f t="array" ref="J97">xlookup(row()-1,Calcs!AQ$2:AQ$200,Display_All!AG$2:AG$200,)</f>
        <v/>
      </c>
      <c r="K97" s="264" t="str">
        <f t="array" ref="K97">xlookup(row()-1,Calcs!AQ$2:AQ$200,Display_All!AU$2:AU$200,)</f>
        <v/>
      </c>
      <c r="L97" s="264" t="str">
        <f t="array" ref="L97">xlookup(row()-1,Calcs!AQ$2:AQ$200,Display_All!AW$2:AW$200,)</f>
        <v/>
      </c>
      <c r="M97" s="264" t="str">
        <f t="array" ref="M97">xlookup(row()-1,Calcs!AQ$2:AQ$200,Display_All!AX$2:AX$200,)</f>
        <v/>
      </c>
    </row>
    <row r="98">
      <c r="A98" s="264" t="str">
        <f t="array" ref="A98">xlookup(row()-1,Calcs!AQ$2:AQ$200,Raw!A$2:A$200,)</f>
        <v/>
      </c>
      <c r="B98" s="264" t="str">
        <f t="array" ref="B98">xlookup(row()-1,Calcs!AQ$2:AQ$200,Raw!B$2:B$200,)</f>
        <v/>
      </c>
      <c r="C98" s="264" t="str">
        <f t="array" ref="C98">xlookup(row()-1,Calcs!AQ$2:AQ$200,Raw!I$2:I$200,)</f>
        <v/>
      </c>
      <c r="D98" s="264" t="str">
        <f t="array" ref="D98">xlookup(row()-1,Calcs!AQ$2:AQ$200,Raw!J$2:J$200,)</f>
        <v/>
      </c>
      <c r="E98" s="264" t="str">
        <f t="array" ref="E98">xlookup(row()-1,Calcs!AQ$2:AQ$200,Raw!AO$2:AO$200,)</f>
        <v/>
      </c>
      <c r="F98" s="264"/>
      <c r="G98" s="264" t="str">
        <f t="array" ref="G98">xlookup(row()-1,Calcs!AQ$2:AQ$200,Display_All!AC$2:AC$200,)</f>
        <v/>
      </c>
      <c r="H98" s="264" t="str">
        <f t="array" ref="H98">xlookup(row()-1,Calcs!AQ$2:AQ$200,Display_All!AE$2:AE$200,)</f>
        <v/>
      </c>
      <c r="I98" s="264" t="str">
        <f t="array" ref="I98">xlookup(row()-1,Calcs!AQ$2:AQ$200,Display_All!AH$2:AH$200,)</f>
        <v/>
      </c>
      <c r="J98" s="264" t="str">
        <f t="array" ref="J98">xlookup(row()-1,Calcs!AQ$2:AQ$200,Display_All!AG$2:AG$200,)</f>
        <v/>
      </c>
      <c r="K98" s="264" t="str">
        <f t="array" ref="K98">xlookup(row()-1,Calcs!AQ$2:AQ$200,Display_All!AU$2:AU$200,)</f>
        <v/>
      </c>
      <c r="L98" s="264" t="str">
        <f t="array" ref="L98">xlookup(row()-1,Calcs!AQ$2:AQ$200,Display_All!AW$2:AW$200,)</f>
        <v/>
      </c>
      <c r="M98" s="264" t="str">
        <f t="array" ref="M98">xlookup(row()-1,Calcs!AQ$2:AQ$200,Display_All!AX$2:AX$200,)</f>
        <v/>
      </c>
    </row>
    <row r="99">
      <c r="A99" s="264" t="str">
        <f t="array" ref="A99">xlookup(row()-1,Calcs!AQ$2:AQ$200,Raw!A$2:A$200,)</f>
        <v/>
      </c>
      <c r="B99" s="264" t="str">
        <f t="array" ref="B99">xlookup(row()-1,Calcs!AQ$2:AQ$200,Raw!B$2:B$200,)</f>
        <v/>
      </c>
      <c r="C99" s="264" t="str">
        <f t="array" ref="C99">xlookup(row()-1,Calcs!AQ$2:AQ$200,Raw!I$2:I$200,)</f>
        <v/>
      </c>
      <c r="D99" s="264" t="str">
        <f t="array" ref="D99">xlookup(row()-1,Calcs!AQ$2:AQ$200,Raw!J$2:J$200,)</f>
        <v/>
      </c>
      <c r="E99" s="264" t="str">
        <f t="array" ref="E99">xlookup(row()-1,Calcs!AQ$2:AQ$200,Raw!AO$2:AO$200,)</f>
        <v/>
      </c>
      <c r="F99" s="264"/>
      <c r="G99" s="264" t="str">
        <f t="array" ref="G99">xlookup(row()-1,Calcs!AQ$2:AQ$200,Display_All!AC$2:AC$200,)</f>
        <v/>
      </c>
      <c r="H99" s="264" t="str">
        <f t="array" ref="H99">xlookup(row()-1,Calcs!AQ$2:AQ$200,Display_All!AE$2:AE$200,)</f>
        <v/>
      </c>
      <c r="I99" s="264" t="str">
        <f t="array" ref="I99">xlookup(row()-1,Calcs!AQ$2:AQ$200,Display_All!AH$2:AH$200,)</f>
        <v/>
      </c>
      <c r="J99" s="264" t="str">
        <f t="array" ref="J99">xlookup(row()-1,Calcs!AQ$2:AQ$200,Display_All!AG$2:AG$200,)</f>
        <v/>
      </c>
      <c r="K99" s="264" t="str">
        <f t="array" ref="K99">xlookup(row()-1,Calcs!AQ$2:AQ$200,Display_All!AU$2:AU$200,)</f>
        <v/>
      </c>
      <c r="L99" s="264" t="str">
        <f t="array" ref="L99">xlookup(row()-1,Calcs!AQ$2:AQ$200,Display_All!AW$2:AW$200,)</f>
        <v/>
      </c>
      <c r="M99" s="264" t="str">
        <f t="array" ref="M99">xlookup(row()-1,Calcs!AQ$2:AQ$200,Display_All!AX$2:AX$200,)</f>
        <v/>
      </c>
    </row>
    <row r="100">
      <c r="A100" s="264" t="str">
        <f t="array" ref="A100">xlookup(row()-1,Calcs!AQ$2:AQ$200,Raw!A$2:A$200,)</f>
        <v/>
      </c>
      <c r="B100" s="264" t="str">
        <f t="array" ref="B100">xlookup(row()-1,Calcs!AQ$2:AQ$200,Raw!B$2:B$200,)</f>
        <v/>
      </c>
      <c r="C100" s="264" t="str">
        <f t="array" ref="C100">xlookup(row()-1,Calcs!AQ$2:AQ$200,Raw!I$2:I$200,)</f>
        <v/>
      </c>
      <c r="D100" s="264" t="str">
        <f t="array" ref="D100">xlookup(row()-1,Calcs!AQ$2:AQ$200,Raw!J$2:J$200,)</f>
        <v/>
      </c>
      <c r="E100" s="264" t="str">
        <f t="array" ref="E100">xlookup(row()-1,Calcs!AQ$2:AQ$200,Raw!AO$2:AO$200,)</f>
        <v/>
      </c>
      <c r="F100" s="264"/>
      <c r="G100" s="264" t="str">
        <f t="array" ref="G100">xlookup(row()-1,Calcs!AQ$2:AQ$200,Display_All!AC$2:AC$200,)</f>
        <v/>
      </c>
      <c r="H100" s="264" t="str">
        <f t="array" ref="H100">xlookup(row()-1,Calcs!AQ$2:AQ$200,Display_All!AE$2:AE$200,)</f>
        <v/>
      </c>
      <c r="I100" s="264" t="str">
        <f t="array" ref="I100">xlookup(row()-1,Calcs!AQ$2:AQ$200,Display_All!AH$2:AH$200,)</f>
        <v/>
      </c>
      <c r="J100" s="264" t="str">
        <f t="array" ref="J100">xlookup(row()-1,Calcs!AQ$2:AQ$200,Display_All!AG$2:AG$200,)</f>
        <v/>
      </c>
      <c r="K100" s="264" t="str">
        <f t="array" ref="K100">xlookup(row()-1,Calcs!AQ$2:AQ$200,Display_All!AU$2:AU$200,)</f>
        <v/>
      </c>
      <c r="L100" s="264" t="str">
        <f t="array" ref="L100">xlookup(row()-1,Calcs!AQ$2:AQ$200,Display_All!AW$2:AW$200,)</f>
        <v/>
      </c>
      <c r="M100" s="264" t="str">
        <f t="array" ref="M100">xlookup(row()-1,Calcs!AQ$2:AQ$200,Display_All!AX$2:AX$200,)</f>
        <v/>
      </c>
    </row>
    <row r="101">
      <c r="A101" s="264" t="str">
        <f t="array" ref="A101">xlookup(row()-1,Calcs!AQ$2:AQ$200,Raw!A$2:A$200,)</f>
        <v/>
      </c>
      <c r="B101" s="264" t="str">
        <f t="array" ref="B101">xlookup(row()-1,Calcs!AQ$2:AQ$200,Raw!B$2:B$200,)</f>
        <v/>
      </c>
      <c r="C101" s="264" t="str">
        <f t="array" ref="C101">xlookup(row()-1,Calcs!AQ$2:AQ$200,Raw!I$2:I$200,)</f>
        <v/>
      </c>
      <c r="D101" s="264" t="str">
        <f t="array" ref="D101">xlookup(row()-1,Calcs!AQ$2:AQ$200,Raw!J$2:J$200,)</f>
        <v/>
      </c>
      <c r="E101" s="264" t="str">
        <f t="array" ref="E101">xlookup(row()-1,Calcs!AQ$2:AQ$200,Raw!AO$2:AO$200,)</f>
        <v/>
      </c>
      <c r="F101" s="264"/>
      <c r="G101" s="264" t="str">
        <f t="array" ref="G101">xlookup(row()-1,Calcs!AQ$2:AQ$200,Display_All!AC$2:AC$200,)</f>
        <v/>
      </c>
      <c r="H101" s="264" t="str">
        <f t="array" ref="H101">xlookup(row()-1,Calcs!AQ$2:AQ$200,Display_All!AE$2:AE$200,)</f>
        <v/>
      </c>
      <c r="I101" s="264" t="str">
        <f t="array" ref="I101">xlookup(row()-1,Calcs!AQ$2:AQ$200,Display_All!AH$2:AH$200,)</f>
        <v/>
      </c>
      <c r="J101" s="264" t="str">
        <f t="array" ref="J101">xlookup(row()-1,Calcs!AQ$2:AQ$200,Display_All!AG$2:AG$200,)</f>
        <v/>
      </c>
      <c r="K101" s="264" t="str">
        <f t="array" ref="K101">xlookup(row()-1,Calcs!AQ$2:AQ$200,Display_All!AU$2:AU$200,)</f>
        <v/>
      </c>
      <c r="L101" s="264" t="str">
        <f t="array" ref="L101">xlookup(row()-1,Calcs!AQ$2:AQ$200,Display_All!AW$2:AW$200,)</f>
        <v/>
      </c>
      <c r="M101" s="264" t="str">
        <f t="array" ref="M101">xlookup(row()-1,Calcs!AQ$2:AQ$200,Display_All!AX$2:AX$200,)</f>
        <v/>
      </c>
    </row>
    <row r="102">
      <c r="A102" s="264" t="str">
        <f t="array" ref="A102">xlookup(row()-1,Calcs!AQ$2:AQ$200,Raw!A$2:A$200,)</f>
        <v/>
      </c>
      <c r="B102" s="264" t="str">
        <f t="array" ref="B102">xlookup(row()-1,Calcs!AQ$2:AQ$200,Raw!B$2:B$200,)</f>
        <v/>
      </c>
      <c r="C102" s="264" t="str">
        <f t="array" ref="C102">xlookup(row()-1,Calcs!AQ$2:AQ$200,Raw!I$2:I$200,)</f>
        <v/>
      </c>
      <c r="D102" s="264" t="str">
        <f t="array" ref="D102">xlookup(row()-1,Calcs!AQ$2:AQ$200,Raw!J$2:J$200,)</f>
        <v/>
      </c>
      <c r="E102" s="264" t="str">
        <f t="array" ref="E102">xlookup(row()-1,Calcs!AQ$2:AQ$200,Raw!AO$2:AO$200,)</f>
        <v/>
      </c>
      <c r="F102" s="264"/>
      <c r="G102" s="264" t="str">
        <f t="array" ref="G102">xlookup(row()-1,Calcs!AQ$2:AQ$200,Display_All!AC$2:AC$200,)</f>
        <v/>
      </c>
      <c r="H102" s="264" t="str">
        <f t="array" ref="H102">xlookup(row()-1,Calcs!AQ$2:AQ$200,Display_All!AE$2:AE$200,)</f>
        <v/>
      </c>
      <c r="I102" s="264" t="str">
        <f t="array" ref="I102">xlookup(row()-1,Calcs!AQ$2:AQ$200,Display_All!AH$2:AH$200,)</f>
        <v/>
      </c>
      <c r="J102" s="264" t="str">
        <f t="array" ref="J102">xlookup(row()-1,Calcs!AQ$2:AQ$200,Display_All!AG$2:AG$200,)</f>
        <v/>
      </c>
      <c r="K102" s="264" t="str">
        <f t="array" ref="K102">xlookup(row()-1,Calcs!AQ$2:AQ$200,Display_All!AU$2:AU$200,)</f>
        <v/>
      </c>
      <c r="L102" s="264" t="str">
        <f t="array" ref="L102">xlookup(row()-1,Calcs!AQ$2:AQ$200,Display_All!AW$2:AW$200,)</f>
        <v/>
      </c>
      <c r="M102" s="264" t="str">
        <f t="array" ref="M102">xlookup(row()-1,Calcs!AQ$2:AQ$200,Display_All!AX$2:AX$200,)</f>
        <v/>
      </c>
    </row>
    <row r="103">
      <c r="A103" s="264" t="str">
        <f t="array" ref="A103">xlookup(row()-1,Calcs!AQ$2:AQ$200,Raw!A$2:A$200,)</f>
        <v/>
      </c>
      <c r="B103" s="264" t="str">
        <f t="array" ref="B103">xlookup(row()-1,Calcs!AQ$2:AQ$200,Raw!B$2:B$200,)</f>
        <v/>
      </c>
      <c r="C103" s="264" t="str">
        <f t="array" ref="C103">xlookup(row()-1,Calcs!AQ$2:AQ$200,Raw!I$2:I$200,)</f>
        <v/>
      </c>
      <c r="D103" s="264" t="str">
        <f t="array" ref="D103">xlookup(row()-1,Calcs!AQ$2:AQ$200,Raw!J$2:J$200,)</f>
        <v/>
      </c>
      <c r="E103" s="264" t="str">
        <f t="array" ref="E103">xlookup(row()-1,Calcs!AQ$2:AQ$200,Raw!AO$2:AO$200,)</f>
        <v/>
      </c>
      <c r="F103" s="264"/>
      <c r="G103" s="264" t="str">
        <f t="array" ref="G103">xlookup(row()-1,Calcs!AQ$2:AQ$200,Display_All!AC$2:AC$200,)</f>
        <v/>
      </c>
      <c r="H103" s="264" t="str">
        <f t="array" ref="H103">xlookup(row()-1,Calcs!AQ$2:AQ$200,Display_All!AE$2:AE$200,)</f>
        <v/>
      </c>
      <c r="I103" s="264" t="str">
        <f t="array" ref="I103">xlookup(row()-1,Calcs!AQ$2:AQ$200,Display_All!AH$2:AH$200,)</f>
        <v/>
      </c>
      <c r="J103" s="264" t="str">
        <f t="array" ref="J103">xlookup(row()-1,Calcs!AQ$2:AQ$200,Display_All!AG$2:AG$200,)</f>
        <v/>
      </c>
      <c r="K103" s="264" t="str">
        <f t="array" ref="K103">xlookup(row()-1,Calcs!AQ$2:AQ$200,Display_All!AU$2:AU$200,)</f>
        <v/>
      </c>
      <c r="L103" s="264" t="str">
        <f t="array" ref="L103">xlookup(row()-1,Calcs!AQ$2:AQ$200,Display_All!AW$2:AW$200,)</f>
        <v/>
      </c>
      <c r="M103" s="264" t="str">
        <f t="array" ref="M103">xlookup(row()-1,Calcs!AQ$2:AQ$200,Display_All!AX$2:AX$200,)</f>
        <v/>
      </c>
    </row>
    <row r="104">
      <c r="A104" s="264" t="str">
        <f t="array" ref="A104">xlookup(row()-1,Calcs!AQ$2:AQ$200,Raw!A$2:A$200,)</f>
        <v/>
      </c>
      <c r="B104" s="264" t="str">
        <f t="array" ref="B104">xlookup(row()-1,Calcs!AQ$2:AQ$200,Raw!B$2:B$200,)</f>
        <v/>
      </c>
      <c r="C104" s="264" t="str">
        <f t="array" ref="C104">xlookup(row()-1,Calcs!AQ$2:AQ$200,Raw!I$2:I$200,)</f>
        <v/>
      </c>
      <c r="D104" s="264" t="str">
        <f t="array" ref="D104">xlookup(row()-1,Calcs!AQ$2:AQ$200,Raw!J$2:J$200,)</f>
        <v/>
      </c>
      <c r="E104" s="264" t="str">
        <f t="array" ref="E104">xlookup(row()-1,Calcs!AQ$2:AQ$200,Raw!AO$2:AO$200,)</f>
        <v/>
      </c>
      <c r="F104" s="264"/>
      <c r="G104" s="264" t="str">
        <f t="array" ref="G104">xlookup(row()-1,Calcs!AQ$2:AQ$200,Display_All!AC$2:AC$200,)</f>
        <v/>
      </c>
      <c r="H104" s="264" t="str">
        <f t="array" ref="H104">xlookup(row()-1,Calcs!AQ$2:AQ$200,Display_All!AE$2:AE$200,)</f>
        <v/>
      </c>
      <c r="I104" s="264" t="str">
        <f t="array" ref="I104">xlookup(row()-1,Calcs!AQ$2:AQ$200,Display_All!AH$2:AH$200,)</f>
        <v/>
      </c>
      <c r="J104" s="264" t="str">
        <f t="array" ref="J104">xlookup(row()-1,Calcs!AQ$2:AQ$200,Display_All!AG$2:AG$200,)</f>
        <v/>
      </c>
      <c r="K104" s="264" t="str">
        <f t="array" ref="K104">xlookup(row()-1,Calcs!AQ$2:AQ$200,Display_All!AU$2:AU$200,)</f>
        <v/>
      </c>
      <c r="L104" s="264" t="str">
        <f t="array" ref="L104">xlookup(row()-1,Calcs!AQ$2:AQ$200,Display_All!AW$2:AW$200,)</f>
        <v/>
      </c>
      <c r="M104" s="264" t="str">
        <f t="array" ref="M104">xlookup(row()-1,Calcs!AQ$2:AQ$200,Display_All!AX$2:AX$200,)</f>
        <v/>
      </c>
    </row>
    <row r="105">
      <c r="A105" s="264" t="str">
        <f t="array" ref="A105">xlookup(row()-1,Calcs!AQ$2:AQ$200,Raw!A$2:A$200,)</f>
        <v/>
      </c>
      <c r="B105" s="264" t="str">
        <f t="array" ref="B105">xlookup(row()-1,Calcs!AQ$2:AQ$200,Raw!B$2:B$200,)</f>
        <v/>
      </c>
      <c r="C105" s="264" t="str">
        <f t="array" ref="C105">xlookup(row()-1,Calcs!AQ$2:AQ$200,Raw!I$2:I$200,)</f>
        <v/>
      </c>
      <c r="D105" s="264" t="str">
        <f t="array" ref="D105">xlookup(row()-1,Calcs!AQ$2:AQ$200,Raw!J$2:J$200,)</f>
        <v/>
      </c>
      <c r="E105" s="264" t="str">
        <f t="array" ref="E105">xlookup(row()-1,Calcs!AQ$2:AQ$200,Raw!AO$2:AO$200,)</f>
        <v/>
      </c>
      <c r="F105" s="264"/>
      <c r="G105" s="264" t="str">
        <f t="array" ref="G105">xlookup(row()-1,Calcs!AQ$2:AQ$200,Display_All!AC$2:AC$200,)</f>
        <v/>
      </c>
      <c r="H105" s="264" t="str">
        <f t="array" ref="H105">xlookup(row()-1,Calcs!AQ$2:AQ$200,Display_All!AE$2:AE$200,)</f>
        <v/>
      </c>
      <c r="I105" s="264" t="str">
        <f t="array" ref="I105">xlookup(row()-1,Calcs!AQ$2:AQ$200,Display_All!AH$2:AH$200,)</f>
        <v/>
      </c>
      <c r="J105" s="264" t="str">
        <f t="array" ref="J105">xlookup(row()-1,Calcs!AQ$2:AQ$200,Display_All!AG$2:AG$200,)</f>
        <v/>
      </c>
      <c r="K105" s="264" t="str">
        <f t="array" ref="K105">xlookup(row()-1,Calcs!AQ$2:AQ$200,Display_All!AU$2:AU$200,)</f>
        <v/>
      </c>
      <c r="L105" s="264" t="str">
        <f t="array" ref="L105">xlookup(row()-1,Calcs!AQ$2:AQ$200,Display_All!AW$2:AW$200,)</f>
        <v/>
      </c>
      <c r="M105" s="264" t="str">
        <f t="array" ref="M105">xlookup(row()-1,Calcs!AQ$2:AQ$200,Display_All!AX$2:AX$200,)</f>
        <v/>
      </c>
    </row>
    <row r="106">
      <c r="A106" s="264" t="str">
        <f t="array" ref="A106">xlookup(row()-1,Calcs!AQ$2:AQ$200,Raw!A$2:A$200,)</f>
        <v/>
      </c>
      <c r="B106" s="264" t="str">
        <f t="array" ref="B106">xlookup(row()-1,Calcs!AQ$2:AQ$200,Raw!B$2:B$200,)</f>
        <v/>
      </c>
      <c r="C106" s="264" t="str">
        <f t="array" ref="C106">xlookup(row()-1,Calcs!AQ$2:AQ$200,Raw!I$2:I$200,)</f>
        <v/>
      </c>
      <c r="D106" s="264" t="str">
        <f t="array" ref="D106">xlookup(row()-1,Calcs!AQ$2:AQ$200,Raw!J$2:J$200,)</f>
        <v/>
      </c>
      <c r="E106" s="264" t="str">
        <f t="array" ref="E106">xlookup(row()-1,Calcs!AQ$2:AQ$200,Raw!AO$2:AO$200,)</f>
        <v/>
      </c>
      <c r="F106" s="264"/>
      <c r="G106" s="264" t="str">
        <f t="array" ref="G106">xlookup(row()-1,Calcs!AQ$2:AQ$200,Display_All!AC$2:AC$200,)</f>
        <v/>
      </c>
      <c r="H106" s="264" t="str">
        <f t="array" ref="H106">xlookup(row()-1,Calcs!AQ$2:AQ$200,Display_All!AE$2:AE$200,)</f>
        <v/>
      </c>
      <c r="I106" s="264" t="str">
        <f t="array" ref="I106">xlookup(row()-1,Calcs!AQ$2:AQ$200,Display_All!AH$2:AH$200,)</f>
        <v/>
      </c>
      <c r="J106" s="264" t="str">
        <f t="array" ref="J106">xlookup(row()-1,Calcs!AQ$2:AQ$200,Display_All!AG$2:AG$200,)</f>
        <v/>
      </c>
      <c r="K106" s="264" t="str">
        <f t="array" ref="K106">xlookup(row()-1,Calcs!AQ$2:AQ$200,Display_All!AU$2:AU$200,)</f>
        <v/>
      </c>
      <c r="L106" s="264" t="str">
        <f t="array" ref="L106">xlookup(row()-1,Calcs!AQ$2:AQ$200,Display_All!AW$2:AW$200,)</f>
        <v/>
      </c>
      <c r="M106" s="264" t="str">
        <f t="array" ref="M106">xlookup(row()-1,Calcs!AQ$2:AQ$200,Display_All!AX$2:AX$200,)</f>
        <v/>
      </c>
    </row>
    <row r="107">
      <c r="A107" s="264" t="str">
        <f t="array" ref="A107">xlookup(row()-1,Calcs!AQ$2:AQ$200,Raw!A$2:A$200,)</f>
        <v/>
      </c>
      <c r="B107" s="264" t="str">
        <f t="array" ref="B107">xlookup(row()-1,Calcs!AQ$2:AQ$200,Raw!B$2:B$200,)</f>
        <v/>
      </c>
      <c r="C107" s="264" t="str">
        <f t="array" ref="C107">xlookup(row()-1,Calcs!AQ$2:AQ$200,Raw!I$2:I$200,)</f>
        <v/>
      </c>
      <c r="D107" s="264" t="str">
        <f t="array" ref="D107">xlookup(row()-1,Calcs!AQ$2:AQ$200,Raw!J$2:J$200,)</f>
        <v/>
      </c>
      <c r="E107" s="264" t="str">
        <f t="array" ref="E107">xlookup(row()-1,Calcs!AQ$2:AQ$200,Raw!AO$2:AO$200,)</f>
        <v/>
      </c>
      <c r="F107" s="264"/>
      <c r="G107" s="264" t="str">
        <f t="array" ref="G107">xlookup(row()-1,Calcs!AQ$2:AQ$200,Display_All!AC$2:AC$200,)</f>
        <v/>
      </c>
      <c r="H107" s="264" t="str">
        <f t="array" ref="H107">xlookup(row()-1,Calcs!AQ$2:AQ$200,Display_All!AE$2:AE$200,)</f>
        <v/>
      </c>
      <c r="I107" s="264" t="str">
        <f t="array" ref="I107">xlookup(row()-1,Calcs!AQ$2:AQ$200,Display_All!AH$2:AH$200,)</f>
        <v/>
      </c>
      <c r="J107" s="264" t="str">
        <f t="array" ref="J107">xlookup(row()-1,Calcs!AQ$2:AQ$200,Display_All!AG$2:AG$200,)</f>
        <v/>
      </c>
      <c r="K107" s="264" t="str">
        <f t="array" ref="K107">xlookup(row()-1,Calcs!AQ$2:AQ$200,Display_All!AU$2:AU$200,)</f>
        <v/>
      </c>
      <c r="L107" s="264" t="str">
        <f t="array" ref="L107">xlookup(row()-1,Calcs!AQ$2:AQ$200,Display_All!AW$2:AW$200,)</f>
        <v/>
      </c>
      <c r="M107" s="264" t="str">
        <f t="array" ref="M107">xlookup(row()-1,Calcs!AQ$2:AQ$200,Display_All!AX$2:AX$200,)</f>
        <v/>
      </c>
    </row>
    <row r="108">
      <c r="A108" s="264" t="str">
        <f t="array" ref="A108">xlookup(row()-1,Calcs!AQ$2:AQ$200,Raw!A$2:A$200,)</f>
        <v/>
      </c>
      <c r="B108" s="264" t="str">
        <f t="array" ref="B108">xlookup(row()-1,Calcs!AQ$2:AQ$200,Raw!B$2:B$200,)</f>
        <v/>
      </c>
      <c r="C108" s="264" t="str">
        <f t="array" ref="C108">xlookup(row()-1,Calcs!AQ$2:AQ$200,Raw!I$2:I$200,)</f>
        <v/>
      </c>
      <c r="D108" s="264" t="str">
        <f t="array" ref="D108">xlookup(row()-1,Calcs!AQ$2:AQ$200,Raw!J$2:J$200,)</f>
        <v/>
      </c>
      <c r="E108" s="264" t="str">
        <f t="array" ref="E108">xlookup(row()-1,Calcs!AQ$2:AQ$200,Raw!AO$2:AO$200,)</f>
        <v/>
      </c>
      <c r="F108" s="264"/>
      <c r="G108" s="264" t="str">
        <f t="array" ref="G108">xlookup(row()-1,Calcs!AQ$2:AQ$200,Display_All!AC$2:AC$200,)</f>
        <v/>
      </c>
      <c r="H108" s="264" t="str">
        <f t="array" ref="H108">xlookup(row()-1,Calcs!AQ$2:AQ$200,Display_All!AE$2:AE$200,)</f>
        <v/>
      </c>
      <c r="I108" s="264" t="str">
        <f t="array" ref="I108">xlookup(row()-1,Calcs!AQ$2:AQ$200,Display_All!AH$2:AH$200,)</f>
        <v/>
      </c>
      <c r="J108" s="264" t="str">
        <f t="array" ref="J108">xlookup(row()-1,Calcs!AQ$2:AQ$200,Display_All!AG$2:AG$200,)</f>
        <v/>
      </c>
      <c r="K108" s="264" t="str">
        <f t="array" ref="K108">xlookup(row()-1,Calcs!AQ$2:AQ$200,Display_All!AU$2:AU$200,)</f>
        <v/>
      </c>
      <c r="L108" s="264" t="str">
        <f t="array" ref="L108">xlookup(row()-1,Calcs!AQ$2:AQ$200,Display_All!AW$2:AW$200,)</f>
        <v/>
      </c>
      <c r="M108" s="264" t="str">
        <f t="array" ref="M108">xlookup(row()-1,Calcs!AQ$2:AQ$200,Display_All!AX$2:AX$200,)</f>
        <v/>
      </c>
    </row>
    <row r="109">
      <c r="A109" s="264" t="str">
        <f t="array" ref="A109">xlookup(row()-1,Calcs!AQ$2:AQ$200,Raw!A$2:A$200,)</f>
        <v/>
      </c>
      <c r="B109" s="264" t="str">
        <f t="array" ref="B109">xlookup(row()-1,Calcs!AQ$2:AQ$200,Raw!B$2:B$200,)</f>
        <v/>
      </c>
      <c r="C109" s="264" t="str">
        <f t="array" ref="C109">xlookup(row()-1,Calcs!AQ$2:AQ$200,Raw!I$2:I$200,)</f>
        <v/>
      </c>
      <c r="D109" s="264" t="str">
        <f t="array" ref="D109">xlookup(row()-1,Calcs!AQ$2:AQ$200,Raw!J$2:J$200,)</f>
        <v/>
      </c>
      <c r="E109" s="264" t="str">
        <f t="array" ref="E109">xlookup(row()-1,Calcs!AQ$2:AQ$200,Raw!AO$2:AO$200,)</f>
        <v/>
      </c>
      <c r="F109" s="264"/>
      <c r="G109" s="264" t="str">
        <f t="array" ref="G109">xlookup(row()-1,Calcs!AQ$2:AQ$200,Display_All!AC$2:AC$200,)</f>
        <v/>
      </c>
      <c r="H109" s="264" t="str">
        <f t="array" ref="H109">xlookup(row()-1,Calcs!AQ$2:AQ$200,Display_All!AE$2:AE$200,)</f>
        <v/>
      </c>
      <c r="I109" s="264" t="str">
        <f t="array" ref="I109">xlookup(row()-1,Calcs!AQ$2:AQ$200,Display_All!AH$2:AH$200,)</f>
        <v/>
      </c>
      <c r="J109" s="264" t="str">
        <f t="array" ref="J109">xlookup(row()-1,Calcs!AQ$2:AQ$200,Display_All!AG$2:AG$200,)</f>
        <v/>
      </c>
      <c r="K109" s="264" t="str">
        <f t="array" ref="K109">xlookup(row()-1,Calcs!AQ$2:AQ$200,Display_All!AU$2:AU$200,)</f>
        <v/>
      </c>
      <c r="L109" s="264" t="str">
        <f t="array" ref="L109">xlookup(row()-1,Calcs!AQ$2:AQ$200,Display_All!AW$2:AW$200,)</f>
        <v/>
      </c>
      <c r="M109" s="264" t="str">
        <f t="array" ref="M109">xlookup(row()-1,Calcs!AQ$2:AQ$200,Display_All!AX$2:AX$200,)</f>
        <v/>
      </c>
    </row>
    <row r="110">
      <c r="A110" s="264" t="str">
        <f t="array" ref="A110">xlookup(row()-1,Calcs!AQ$2:AQ$200,Raw!A$2:A$200,)</f>
        <v/>
      </c>
      <c r="B110" s="264" t="str">
        <f t="array" ref="B110">xlookup(row()-1,Calcs!AQ$2:AQ$200,Raw!B$2:B$200,)</f>
        <v/>
      </c>
      <c r="C110" s="264" t="str">
        <f t="array" ref="C110">xlookup(row()-1,Calcs!AQ$2:AQ$200,Raw!I$2:I$200,)</f>
        <v/>
      </c>
      <c r="D110" s="264" t="str">
        <f t="array" ref="D110">xlookup(row()-1,Calcs!AQ$2:AQ$200,Raw!J$2:J$200,)</f>
        <v/>
      </c>
      <c r="E110" s="264" t="str">
        <f t="array" ref="E110">xlookup(row()-1,Calcs!AQ$2:AQ$200,Raw!AO$2:AO$200,)</f>
        <v/>
      </c>
      <c r="F110" s="264"/>
      <c r="G110" s="264" t="str">
        <f t="array" ref="G110">xlookup(row()-1,Calcs!AQ$2:AQ$200,Display_All!AC$2:AC$200,)</f>
        <v/>
      </c>
      <c r="H110" s="264" t="str">
        <f t="array" ref="H110">xlookup(row()-1,Calcs!AQ$2:AQ$200,Display_All!AE$2:AE$200,)</f>
        <v/>
      </c>
      <c r="I110" s="264" t="str">
        <f t="array" ref="I110">xlookup(row()-1,Calcs!AQ$2:AQ$200,Display_All!AH$2:AH$200,)</f>
        <v/>
      </c>
      <c r="J110" s="264" t="str">
        <f t="array" ref="J110">xlookup(row()-1,Calcs!AQ$2:AQ$200,Display_All!AG$2:AG$200,)</f>
        <v/>
      </c>
      <c r="K110" s="264" t="str">
        <f t="array" ref="K110">xlookup(row()-1,Calcs!AQ$2:AQ$200,Display_All!AU$2:AU$200,)</f>
        <v/>
      </c>
      <c r="L110" s="264" t="str">
        <f t="array" ref="L110">xlookup(row()-1,Calcs!AQ$2:AQ$200,Display_All!AW$2:AW$200,)</f>
        <v/>
      </c>
      <c r="M110" s="264" t="str">
        <f t="array" ref="M110">xlookup(row()-1,Calcs!AQ$2:AQ$200,Display_All!AX$2:AX$200,)</f>
        <v/>
      </c>
    </row>
    <row r="111">
      <c r="A111" s="264" t="str">
        <f t="array" ref="A111">xlookup(row()-1,Calcs!AQ$2:AQ$200,Raw!A$2:A$200,)</f>
        <v/>
      </c>
      <c r="B111" s="264" t="str">
        <f t="array" ref="B111">xlookup(row()-1,Calcs!AQ$2:AQ$200,Raw!B$2:B$200,)</f>
        <v/>
      </c>
      <c r="C111" s="264" t="str">
        <f t="array" ref="C111">xlookup(row()-1,Calcs!AQ$2:AQ$200,Raw!I$2:I$200,)</f>
        <v/>
      </c>
      <c r="D111" s="264" t="str">
        <f t="array" ref="D111">xlookup(row()-1,Calcs!AQ$2:AQ$200,Raw!J$2:J$200,)</f>
        <v/>
      </c>
      <c r="E111" s="264" t="str">
        <f t="array" ref="E111">xlookup(row()-1,Calcs!AQ$2:AQ$200,Raw!AO$2:AO$200,)</f>
        <v/>
      </c>
      <c r="F111" s="264"/>
      <c r="G111" s="264" t="str">
        <f t="array" ref="G111">xlookup(row()-1,Calcs!AQ$2:AQ$200,Display_All!AC$2:AC$200,)</f>
        <v/>
      </c>
      <c r="H111" s="264" t="str">
        <f t="array" ref="H111">xlookup(row()-1,Calcs!AQ$2:AQ$200,Display_All!AE$2:AE$200,)</f>
        <v/>
      </c>
      <c r="I111" s="264" t="str">
        <f t="array" ref="I111">xlookup(row()-1,Calcs!AQ$2:AQ$200,Display_All!AH$2:AH$200,)</f>
        <v/>
      </c>
      <c r="J111" s="264" t="str">
        <f t="array" ref="J111">xlookup(row()-1,Calcs!AQ$2:AQ$200,Display_All!AG$2:AG$200,)</f>
        <v/>
      </c>
      <c r="K111" s="264" t="str">
        <f t="array" ref="K111">xlookup(row()-1,Calcs!AQ$2:AQ$200,Display_All!AU$2:AU$200,)</f>
        <v/>
      </c>
      <c r="L111" s="264" t="str">
        <f t="array" ref="L111">xlookup(row()-1,Calcs!AQ$2:AQ$200,Display_All!AW$2:AW$200,)</f>
        <v/>
      </c>
      <c r="M111" s="264" t="str">
        <f t="array" ref="M111">xlookup(row()-1,Calcs!AQ$2:AQ$200,Display_All!AX$2:AX$200,)</f>
        <v/>
      </c>
    </row>
    <row r="112">
      <c r="A112" s="264" t="str">
        <f t="array" ref="A112">xlookup(row()-1,Calcs!AQ$2:AQ$200,Raw!A$2:A$200,)</f>
        <v/>
      </c>
      <c r="B112" s="264" t="str">
        <f t="array" ref="B112">xlookup(row()-1,Calcs!AQ$2:AQ$200,Raw!B$2:B$200,)</f>
        <v/>
      </c>
      <c r="C112" s="264" t="str">
        <f t="array" ref="C112">xlookup(row()-1,Calcs!AQ$2:AQ$200,Raw!I$2:I$200,)</f>
        <v/>
      </c>
      <c r="D112" s="264" t="str">
        <f t="array" ref="D112">xlookup(row()-1,Calcs!AQ$2:AQ$200,Raw!J$2:J$200,)</f>
        <v/>
      </c>
      <c r="E112" s="264" t="str">
        <f t="array" ref="E112">xlookup(row()-1,Calcs!AQ$2:AQ$200,Raw!AO$2:AO$200,)</f>
        <v/>
      </c>
      <c r="F112" s="264"/>
      <c r="G112" s="264" t="str">
        <f t="array" ref="G112">xlookup(row()-1,Calcs!AQ$2:AQ$200,Display_All!AC$2:AC$200,)</f>
        <v/>
      </c>
      <c r="H112" s="264" t="str">
        <f t="array" ref="H112">xlookup(row()-1,Calcs!AQ$2:AQ$200,Display_All!AE$2:AE$200,)</f>
        <v/>
      </c>
      <c r="I112" s="264" t="str">
        <f t="array" ref="I112">xlookup(row()-1,Calcs!AQ$2:AQ$200,Display_All!AH$2:AH$200,)</f>
        <v/>
      </c>
      <c r="J112" s="264" t="str">
        <f t="array" ref="J112">xlookup(row()-1,Calcs!AQ$2:AQ$200,Display_All!AG$2:AG$200,)</f>
        <v/>
      </c>
      <c r="K112" s="264" t="str">
        <f t="array" ref="K112">xlookup(row()-1,Calcs!AQ$2:AQ$200,Display_All!AU$2:AU$200,)</f>
        <v/>
      </c>
      <c r="L112" s="264" t="str">
        <f t="array" ref="L112">xlookup(row()-1,Calcs!AQ$2:AQ$200,Display_All!AW$2:AW$200,)</f>
        <v/>
      </c>
      <c r="M112" s="264" t="str">
        <f t="array" ref="M112">xlookup(row()-1,Calcs!AQ$2:AQ$200,Display_All!AX$2:AX$200,)</f>
        <v/>
      </c>
    </row>
    <row r="113">
      <c r="A113" s="264" t="str">
        <f t="array" ref="A113">xlookup(row()-1,Calcs!AQ$2:AQ$200,Raw!A$2:A$200,)</f>
        <v/>
      </c>
      <c r="B113" s="264" t="str">
        <f t="array" ref="B113">xlookup(row()-1,Calcs!AQ$2:AQ$200,Raw!B$2:B$200,)</f>
        <v/>
      </c>
      <c r="C113" s="264" t="str">
        <f t="array" ref="C113">xlookup(row()-1,Calcs!AQ$2:AQ$200,Raw!I$2:I$200,)</f>
        <v/>
      </c>
      <c r="D113" s="264" t="str">
        <f t="array" ref="D113">xlookup(row()-1,Calcs!AQ$2:AQ$200,Raw!J$2:J$200,)</f>
        <v/>
      </c>
      <c r="E113" s="264" t="str">
        <f t="array" ref="E113">xlookup(row()-1,Calcs!AQ$2:AQ$200,Raw!AO$2:AO$200,)</f>
        <v/>
      </c>
      <c r="F113" s="264"/>
      <c r="G113" s="264" t="str">
        <f t="array" ref="G113">xlookup(row()-1,Calcs!AQ$2:AQ$200,Display_All!AC$2:AC$200,)</f>
        <v/>
      </c>
      <c r="H113" s="264" t="str">
        <f t="array" ref="H113">xlookup(row()-1,Calcs!AQ$2:AQ$200,Display_All!AE$2:AE$200,)</f>
        <v/>
      </c>
      <c r="I113" s="264" t="str">
        <f t="array" ref="I113">xlookup(row()-1,Calcs!AQ$2:AQ$200,Display_All!AH$2:AH$200,)</f>
        <v/>
      </c>
      <c r="J113" s="264" t="str">
        <f t="array" ref="J113">xlookup(row()-1,Calcs!AQ$2:AQ$200,Display_All!AG$2:AG$200,)</f>
        <v/>
      </c>
      <c r="K113" s="264" t="str">
        <f t="array" ref="K113">xlookup(row()-1,Calcs!AQ$2:AQ$200,Display_All!AU$2:AU$200,)</f>
        <v/>
      </c>
      <c r="L113" s="264" t="str">
        <f t="array" ref="L113">xlookup(row()-1,Calcs!AQ$2:AQ$200,Display_All!AW$2:AW$200,)</f>
        <v/>
      </c>
      <c r="M113" s="264" t="str">
        <f t="array" ref="M113">xlookup(row()-1,Calcs!AQ$2:AQ$200,Display_All!AX$2:AX$200,)</f>
        <v/>
      </c>
    </row>
    <row r="114">
      <c r="A114" s="264" t="str">
        <f t="array" ref="A114">xlookup(row()-1,Calcs!AQ$2:AQ$200,Raw!A$2:A$200,)</f>
        <v/>
      </c>
      <c r="B114" s="264" t="str">
        <f t="array" ref="B114">xlookup(row()-1,Calcs!AQ$2:AQ$200,Raw!B$2:B$200,)</f>
        <v/>
      </c>
      <c r="C114" s="264" t="str">
        <f t="array" ref="C114">xlookup(row()-1,Calcs!AQ$2:AQ$200,Raw!I$2:I$200,)</f>
        <v/>
      </c>
      <c r="D114" s="264" t="str">
        <f t="array" ref="D114">xlookup(row()-1,Calcs!AQ$2:AQ$200,Raw!J$2:J$200,)</f>
        <v/>
      </c>
      <c r="E114" s="264" t="str">
        <f t="array" ref="E114">xlookup(row()-1,Calcs!AQ$2:AQ$200,Raw!AO$2:AO$200,)</f>
        <v/>
      </c>
      <c r="F114" s="264"/>
      <c r="G114" s="264" t="str">
        <f t="array" ref="G114">xlookup(row()-1,Calcs!AQ$2:AQ$200,Display_All!AC$2:AC$200,)</f>
        <v/>
      </c>
      <c r="H114" s="264" t="str">
        <f t="array" ref="H114">xlookup(row()-1,Calcs!AQ$2:AQ$200,Display_All!AE$2:AE$200,)</f>
        <v/>
      </c>
      <c r="I114" s="264" t="str">
        <f t="array" ref="I114">xlookup(row()-1,Calcs!AQ$2:AQ$200,Display_All!AH$2:AH$200,)</f>
        <v/>
      </c>
      <c r="J114" s="264" t="str">
        <f t="array" ref="J114">xlookup(row()-1,Calcs!AQ$2:AQ$200,Display_All!AG$2:AG$200,)</f>
        <v/>
      </c>
      <c r="K114" s="264" t="str">
        <f t="array" ref="K114">xlookup(row()-1,Calcs!AQ$2:AQ$200,Display_All!AU$2:AU$200,)</f>
        <v/>
      </c>
      <c r="L114" s="264" t="str">
        <f t="array" ref="L114">xlookup(row()-1,Calcs!AQ$2:AQ$200,Display_All!AW$2:AW$200,)</f>
        <v/>
      </c>
      <c r="M114" s="264" t="str">
        <f t="array" ref="M114">xlookup(row()-1,Calcs!AQ$2:AQ$200,Display_All!AX$2:AX$200,)</f>
        <v/>
      </c>
    </row>
    <row r="115">
      <c r="A115" s="264" t="str">
        <f t="array" ref="A115">xlookup(row()-1,Calcs!AQ$2:AQ$200,Raw!A$2:A$200,)</f>
        <v/>
      </c>
      <c r="B115" s="264" t="str">
        <f t="array" ref="B115">xlookup(row()-1,Calcs!AQ$2:AQ$200,Raw!B$2:B$200,)</f>
        <v/>
      </c>
      <c r="C115" s="264" t="str">
        <f t="array" ref="C115">xlookup(row()-1,Calcs!AQ$2:AQ$200,Raw!I$2:I$200,)</f>
        <v/>
      </c>
      <c r="D115" s="264" t="str">
        <f t="array" ref="D115">xlookup(row()-1,Calcs!AQ$2:AQ$200,Raw!J$2:J$200,)</f>
        <v/>
      </c>
      <c r="E115" s="264" t="str">
        <f t="array" ref="E115">xlookup(row()-1,Calcs!AQ$2:AQ$200,Raw!AO$2:AO$200,)</f>
        <v/>
      </c>
      <c r="F115" s="264"/>
      <c r="G115" s="264" t="str">
        <f t="array" ref="G115">xlookup(row()-1,Calcs!AQ$2:AQ$200,Display_All!AC$2:AC$200,)</f>
        <v/>
      </c>
      <c r="H115" s="264" t="str">
        <f t="array" ref="H115">xlookup(row()-1,Calcs!AQ$2:AQ$200,Display_All!AE$2:AE$200,)</f>
        <v/>
      </c>
      <c r="I115" s="264" t="str">
        <f t="array" ref="I115">xlookup(row()-1,Calcs!AQ$2:AQ$200,Display_All!AH$2:AH$200,)</f>
        <v/>
      </c>
      <c r="J115" s="264" t="str">
        <f t="array" ref="J115">xlookup(row()-1,Calcs!AQ$2:AQ$200,Display_All!AG$2:AG$200,)</f>
        <v/>
      </c>
      <c r="K115" s="264" t="str">
        <f t="array" ref="K115">xlookup(row()-1,Calcs!AQ$2:AQ$200,Display_All!AU$2:AU$200,)</f>
        <v/>
      </c>
      <c r="L115" s="264" t="str">
        <f t="array" ref="L115">xlookup(row()-1,Calcs!AQ$2:AQ$200,Display_All!AW$2:AW$200,)</f>
        <v/>
      </c>
      <c r="M115" s="264" t="str">
        <f t="array" ref="M115">xlookup(row()-1,Calcs!AQ$2:AQ$200,Display_All!AX$2:AX$200,)</f>
        <v/>
      </c>
    </row>
    <row r="116">
      <c r="A116" s="264" t="str">
        <f t="array" ref="A116">xlookup(row()-1,Calcs!AQ$2:AQ$200,Raw!A$2:A$200,)</f>
        <v/>
      </c>
      <c r="B116" s="264" t="str">
        <f t="array" ref="B116">xlookup(row()-1,Calcs!AQ$2:AQ$200,Raw!B$2:B$200,)</f>
        <v/>
      </c>
      <c r="C116" s="264" t="str">
        <f t="array" ref="C116">xlookup(row()-1,Calcs!AQ$2:AQ$200,Raw!I$2:I$200,)</f>
        <v/>
      </c>
      <c r="D116" s="264" t="str">
        <f t="array" ref="D116">xlookup(row()-1,Calcs!AQ$2:AQ$200,Raw!J$2:J$200,)</f>
        <v/>
      </c>
      <c r="E116" s="264" t="str">
        <f t="array" ref="E116">xlookup(row()-1,Calcs!AQ$2:AQ$200,Raw!AO$2:AO$200,)</f>
        <v/>
      </c>
      <c r="F116" s="264"/>
      <c r="G116" s="264" t="str">
        <f t="array" ref="G116">xlookup(row()-1,Calcs!AQ$2:AQ$200,Display_All!AC$2:AC$200,)</f>
        <v/>
      </c>
      <c r="H116" s="264" t="str">
        <f t="array" ref="H116">xlookup(row()-1,Calcs!AQ$2:AQ$200,Display_All!AE$2:AE$200,)</f>
        <v/>
      </c>
      <c r="I116" s="264" t="str">
        <f t="array" ref="I116">xlookup(row()-1,Calcs!AQ$2:AQ$200,Display_All!AH$2:AH$200,)</f>
        <v/>
      </c>
      <c r="J116" s="264" t="str">
        <f t="array" ref="J116">xlookup(row()-1,Calcs!AQ$2:AQ$200,Display_All!AG$2:AG$200,)</f>
        <v/>
      </c>
      <c r="K116" s="264" t="str">
        <f t="array" ref="K116">xlookup(row()-1,Calcs!AQ$2:AQ$200,Display_All!AU$2:AU$200,)</f>
        <v/>
      </c>
      <c r="L116" s="264" t="str">
        <f t="array" ref="L116">xlookup(row()-1,Calcs!AQ$2:AQ$200,Display_All!AW$2:AW$200,)</f>
        <v/>
      </c>
      <c r="M116" s="264" t="str">
        <f t="array" ref="M116">xlookup(row()-1,Calcs!AQ$2:AQ$200,Display_All!AX$2:AX$200,)</f>
        <v/>
      </c>
    </row>
    <row r="117">
      <c r="A117" s="264" t="str">
        <f t="array" ref="A117">xlookup(row()-1,Calcs!AQ$2:AQ$200,Raw!A$2:A$200,)</f>
        <v/>
      </c>
      <c r="B117" s="264" t="str">
        <f t="array" ref="B117">xlookup(row()-1,Calcs!AQ$2:AQ$200,Raw!B$2:B$200,)</f>
        <v/>
      </c>
      <c r="C117" s="264" t="str">
        <f t="array" ref="C117">xlookup(row()-1,Calcs!AQ$2:AQ$200,Raw!I$2:I$200,)</f>
        <v/>
      </c>
      <c r="D117" s="264" t="str">
        <f t="array" ref="D117">xlookup(row()-1,Calcs!AQ$2:AQ$200,Raw!J$2:J$200,)</f>
        <v/>
      </c>
      <c r="E117" s="264" t="str">
        <f t="array" ref="E117">xlookup(row()-1,Calcs!AQ$2:AQ$200,Raw!AO$2:AO$200,)</f>
        <v/>
      </c>
      <c r="F117" s="264"/>
      <c r="G117" s="264" t="str">
        <f t="array" ref="G117">xlookup(row()-1,Calcs!AQ$2:AQ$200,Display_All!AC$2:AC$200,)</f>
        <v/>
      </c>
      <c r="H117" s="264" t="str">
        <f t="array" ref="H117">xlookup(row()-1,Calcs!AQ$2:AQ$200,Display_All!AE$2:AE$200,)</f>
        <v/>
      </c>
      <c r="I117" s="264" t="str">
        <f t="array" ref="I117">xlookup(row()-1,Calcs!AQ$2:AQ$200,Display_All!AH$2:AH$200,)</f>
        <v/>
      </c>
      <c r="J117" s="264" t="str">
        <f t="array" ref="J117">xlookup(row()-1,Calcs!AQ$2:AQ$200,Display_All!AG$2:AG$200,)</f>
        <v/>
      </c>
      <c r="K117" s="264" t="str">
        <f t="array" ref="K117">xlookup(row()-1,Calcs!AQ$2:AQ$200,Display_All!AU$2:AU$200,)</f>
        <v/>
      </c>
      <c r="L117" s="264" t="str">
        <f t="array" ref="L117">xlookup(row()-1,Calcs!AQ$2:AQ$200,Display_All!AW$2:AW$200,)</f>
        <v/>
      </c>
      <c r="M117" s="264" t="str">
        <f t="array" ref="M117">xlookup(row()-1,Calcs!AQ$2:AQ$200,Display_All!AX$2:AX$200,)</f>
        <v/>
      </c>
    </row>
    <row r="118">
      <c r="A118" s="264" t="str">
        <f t="array" ref="A118">xlookup(row()-1,Calcs!AQ$2:AQ$200,Raw!A$2:A$200,)</f>
        <v/>
      </c>
      <c r="B118" s="264" t="str">
        <f t="array" ref="B118">xlookup(row()-1,Calcs!AQ$2:AQ$200,Raw!B$2:B$200,)</f>
        <v/>
      </c>
      <c r="C118" s="264" t="str">
        <f t="array" ref="C118">xlookup(row()-1,Calcs!AQ$2:AQ$200,Raw!I$2:I$200,)</f>
        <v/>
      </c>
      <c r="D118" s="264" t="str">
        <f t="array" ref="D118">xlookup(row()-1,Calcs!AQ$2:AQ$200,Raw!J$2:J$200,)</f>
        <v/>
      </c>
      <c r="E118" s="264" t="str">
        <f t="array" ref="E118">xlookup(row()-1,Calcs!AQ$2:AQ$200,Raw!AO$2:AO$200,)</f>
        <v/>
      </c>
      <c r="F118" s="264"/>
      <c r="G118" s="264" t="str">
        <f t="array" ref="G118">xlookup(row()-1,Calcs!AQ$2:AQ$200,Display_All!AC$2:AC$200,)</f>
        <v/>
      </c>
      <c r="H118" s="264" t="str">
        <f t="array" ref="H118">xlookup(row()-1,Calcs!AQ$2:AQ$200,Display_All!AE$2:AE$200,)</f>
        <v/>
      </c>
      <c r="I118" s="264" t="str">
        <f t="array" ref="I118">xlookup(row()-1,Calcs!AQ$2:AQ$200,Display_All!AH$2:AH$200,)</f>
        <v/>
      </c>
      <c r="J118" s="264" t="str">
        <f t="array" ref="J118">xlookup(row()-1,Calcs!AQ$2:AQ$200,Display_All!AG$2:AG$200,)</f>
        <v/>
      </c>
      <c r="K118" s="264" t="str">
        <f t="array" ref="K118">xlookup(row()-1,Calcs!AQ$2:AQ$200,Display_All!AU$2:AU$200,)</f>
        <v/>
      </c>
      <c r="L118" s="264" t="str">
        <f t="array" ref="L118">xlookup(row()-1,Calcs!AQ$2:AQ$200,Display_All!AW$2:AW$200,)</f>
        <v/>
      </c>
      <c r="M118" s="264" t="str">
        <f t="array" ref="M118">xlookup(row()-1,Calcs!AQ$2:AQ$200,Display_All!AX$2:AX$200,)</f>
        <v/>
      </c>
    </row>
    <row r="119">
      <c r="A119" s="264" t="str">
        <f t="array" ref="A119">xlookup(row()-1,Calcs!AQ$2:AQ$200,Raw!A$2:A$200,)</f>
        <v/>
      </c>
      <c r="B119" s="264" t="str">
        <f t="array" ref="B119">xlookup(row()-1,Calcs!AQ$2:AQ$200,Raw!B$2:B$200,)</f>
        <v/>
      </c>
      <c r="C119" s="264" t="str">
        <f t="array" ref="C119">xlookup(row()-1,Calcs!AQ$2:AQ$200,Raw!I$2:I$200,)</f>
        <v/>
      </c>
      <c r="D119" s="264" t="str">
        <f t="array" ref="D119">xlookup(row()-1,Calcs!AQ$2:AQ$200,Raw!J$2:J$200,)</f>
        <v/>
      </c>
      <c r="E119" s="264" t="str">
        <f t="array" ref="E119">xlookup(row()-1,Calcs!AQ$2:AQ$200,Raw!AO$2:AO$200,)</f>
        <v/>
      </c>
      <c r="F119" s="264"/>
      <c r="G119" s="264" t="str">
        <f t="array" ref="G119">xlookup(row()-1,Calcs!AQ$2:AQ$200,Display_All!AC$2:AC$200,)</f>
        <v/>
      </c>
      <c r="H119" s="264" t="str">
        <f t="array" ref="H119">xlookup(row()-1,Calcs!AQ$2:AQ$200,Display_All!AE$2:AE$200,)</f>
        <v/>
      </c>
      <c r="I119" s="264" t="str">
        <f t="array" ref="I119">xlookup(row()-1,Calcs!AQ$2:AQ$200,Display_All!AH$2:AH$200,)</f>
        <v/>
      </c>
      <c r="J119" s="264" t="str">
        <f t="array" ref="J119">xlookup(row()-1,Calcs!AQ$2:AQ$200,Display_All!AG$2:AG$200,)</f>
        <v/>
      </c>
      <c r="K119" s="264" t="str">
        <f t="array" ref="K119">xlookup(row()-1,Calcs!AQ$2:AQ$200,Display_All!AU$2:AU$200,)</f>
        <v/>
      </c>
      <c r="L119" s="264" t="str">
        <f t="array" ref="L119">xlookup(row()-1,Calcs!AQ$2:AQ$200,Display_All!AW$2:AW$200,)</f>
        <v/>
      </c>
      <c r="M119" s="264" t="str">
        <f t="array" ref="M119">xlookup(row()-1,Calcs!AQ$2:AQ$200,Display_All!AX$2:AX$200,)</f>
        <v/>
      </c>
    </row>
    <row r="120">
      <c r="A120" s="264" t="str">
        <f t="array" ref="A120">xlookup(row()-1,Calcs!AQ$2:AQ$200,Raw!A$2:A$200,)</f>
        <v/>
      </c>
      <c r="B120" s="264" t="str">
        <f t="array" ref="B120">xlookup(row()-1,Calcs!AQ$2:AQ$200,Raw!B$2:B$200,)</f>
        <v/>
      </c>
      <c r="C120" s="264" t="str">
        <f t="array" ref="C120">xlookup(row()-1,Calcs!AQ$2:AQ$200,Raw!I$2:I$200,)</f>
        <v/>
      </c>
      <c r="D120" s="264" t="str">
        <f t="array" ref="D120">xlookup(row()-1,Calcs!AQ$2:AQ$200,Raw!J$2:J$200,)</f>
        <v/>
      </c>
      <c r="E120" s="264" t="str">
        <f t="array" ref="E120">xlookup(row()-1,Calcs!AQ$2:AQ$200,Raw!AO$2:AO$200,)</f>
        <v/>
      </c>
      <c r="F120" s="264"/>
      <c r="G120" s="264" t="str">
        <f t="array" ref="G120">xlookup(row()-1,Calcs!AQ$2:AQ$200,Display_All!AC$2:AC$200,)</f>
        <v/>
      </c>
      <c r="H120" s="264" t="str">
        <f t="array" ref="H120">xlookup(row()-1,Calcs!AQ$2:AQ$200,Display_All!AE$2:AE$200,)</f>
        <v/>
      </c>
      <c r="I120" s="264" t="str">
        <f t="array" ref="I120">xlookup(row()-1,Calcs!AQ$2:AQ$200,Display_All!AH$2:AH$200,)</f>
        <v/>
      </c>
      <c r="J120" s="264" t="str">
        <f t="array" ref="J120">xlookup(row()-1,Calcs!AQ$2:AQ$200,Display_All!AG$2:AG$200,)</f>
        <v/>
      </c>
      <c r="K120" s="264" t="str">
        <f t="array" ref="K120">xlookup(row()-1,Calcs!AQ$2:AQ$200,Display_All!AU$2:AU$200,)</f>
        <v/>
      </c>
      <c r="L120" s="264" t="str">
        <f t="array" ref="L120">xlookup(row()-1,Calcs!AQ$2:AQ$200,Display_All!AW$2:AW$200,)</f>
        <v/>
      </c>
      <c r="M120" s="264" t="str">
        <f t="array" ref="M120">xlookup(row()-1,Calcs!AQ$2:AQ$200,Display_All!AX$2:AX$200,)</f>
        <v/>
      </c>
    </row>
    <row r="121">
      <c r="A121" s="264" t="str">
        <f t="array" ref="A121">xlookup(row()-1,Calcs!AQ$2:AQ$200,Raw!A$2:A$200,)</f>
        <v/>
      </c>
      <c r="B121" s="264" t="str">
        <f t="array" ref="B121">xlookup(row()-1,Calcs!AQ$2:AQ$200,Raw!B$2:B$200,)</f>
        <v/>
      </c>
      <c r="C121" s="264" t="str">
        <f t="array" ref="C121">xlookup(row()-1,Calcs!AQ$2:AQ$200,Raw!I$2:I$200,)</f>
        <v/>
      </c>
      <c r="D121" s="264" t="str">
        <f t="array" ref="D121">xlookup(row()-1,Calcs!AQ$2:AQ$200,Raw!J$2:J$200,)</f>
        <v/>
      </c>
      <c r="E121" s="264" t="str">
        <f t="array" ref="E121">xlookup(row()-1,Calcs!AQ$2:AQ$200,Raw!AO$2:AO$200,)</f>
        <v/>
      </c>
      <c r="F121" s="264"/>
      <c r="G121" s="264" t="str">
        <f t="array" ref="G121">xlookup(row()-1,Calcs!AQ$2:AQ$200,Display_All!AC$2:AC$200,)</f>
        <v/>
      </c>
      <c r="H121" s="264" t="str">
        <f t="array" ref="H121">xlookup(row()-1,Calcs!AQ$2:AQ$200,Display_All!AE$2:AE$200,)</f>
        <v/>
      </c>
      <c r="I121" s="264" t="str">
        <f t="array" ref="I121">xlookup(row()-1,Calcs!AQ$2:AQ$200,Display_All!AH$2:AH$200,)</f>
        <v/>
      </c>
      <c r="J121" s="264" t="str">
        <f t="array" ref="J121">xlookup(row()-1,Calcs!AQ$2:AQ$200,Display_All!AG$2:AG$200,)</f>
        <v/>
      </c>
      <c r="K121" s="264" t="str">
        <f t="array" ref="K121">xlookup(row()-1,Calcs!AQ$2:AQ$200,Display_All!AU$2:AU$200,)</f>
        <v/>
      </c>
      <c r="L121" s="264" t="str">
        <f t="array" ref="L121">xlookup(row()-1,Calcs!AQ$2:AQ$200,Display_All!AW$2:AW$200,)</f>
        <v/>
      </c>
      <c r="M121" s="264" t="str">
        <f t="array" ref="M121">xlookup(row()-1,Calcs!AQ$2:AQ$200,Display_All!AX$2:AX$200,)</f>
        <v/>
      </c>
    </row>
    <row r="122">
      <c r="A122" s="264" t="str">
        <f t="array" ref="A122">xlookup(row()-1,Calcs!AQ$2:AQ$200,Raw!A$2:A$200,)</f>
        <v/>
      </c>
      <c r="B122" s="264" t="str">
        <f t="array" ref="B122">xlookup(row()-1,Calcs!AQ$2:AQ$200,Raw!B$2:B$200,)</f>
        <v/>
      </c>
      <c r="C122" s="264" t="str">
        <f t="array" ref="C122">xlookup(row()-1,Calcs!AQ$2:AQ$200,Raw!I$2:I$200,)</f>
        <v/>
      </c>
      <c r="D122" s="264" t="str">
        <f t="array" ref="D122">xlookup(row()-1,Calcs!AQ$2:AQ$200,Raw!J$2:J$200,)</f>
        <v/>
      </c>
      <c r="E122" s="264" t="str">
        <f t="array" ref="E122">xlookup(row()-1,Calcs!AQ$2:AQ$200,Raw!AO$2:AO$200,)</f>
        <v/>
      </c>
      <c r="F122" s="264"/>
      <c r="G122" s="264" t="str">
        <f t="array" ref="G122">xlookup(row()-1,Calcs!AQ$2:AQ$200,Display_All!AC$2:AC$200,)</f>
        <v/>
      </c>
      <c r="H122" s="264" t="str">
        <f t="array" ref="H122">xlookup(row()-1,Calcs!AQ$2:AQ$200,Display_All!AE$2:AE$200,)</f>
        <v/>
      </c>
      <c r="I122" s="264" t="str">
        <f t="array" ref="I122">xlookup(row()-1,Calcs!AQ$2:AQ$200,Display_All!AH$2:AH$200,)</f>
        <v/>
      </c>
      <c r="J122" s="264" t="str">
        <f t="array" ref="J122">xlookup(row()-1,Calcs!AQ$2:AQ$200,Display_All!AG$2:AG$200,)</f>
        <v/>
      </c>
      <c r="K122" s="264" t="str">
        <f t="array" ref="K122">xlookup(row()-1,Calcs!AQ$2:AQ$200,Display_All!AU$2:AU$200,)</f>
        <v/>
      </c>
      <c r="L122" s="264" t="str">
        <f t="array" ref="L122">xlookup(row()-1,Calcs!AQ$2:AQ$200,Display_All!AW$2:AW$200,)</f>
        <v/>
      </c>
      <c r="M122" s="264" t="str">
        <f t="array" ref="M122">xlookup(row()-1,Calcs!AQ$2:AQ$200,Display_All!AX$2:AX$200,)</f>
        <v/>
      </c>
    </row>
    <row r="123">
      <c r="A123" s="264" t="str">
        <f t="array" ref="A123">xlookup(row()-1,Calcs!AQ$2:AQ$200,Raw!A$2:A$200,)</f>
        <v/>
      </c>
      <c r="B123" s="264" t="str">
        <f t="array" ref="B123">xlookup(row()-1,Calcs!AQ$2:AQ$200,Raw!B$2:B$200,)</f>
        <v/>
      </c>
      <c r="C123" s="264" t="str">
        <f t="array" ref="C123">xlookup(row()-1,Calcs!AQ$2:AQ$200,Raw!I$2:I$200,)</f>
        <v/>
      </c>
      <c r="D123" s="264" t="str">
        <f t="array" ref="D123">xlookup(row()-1,Calcs!AQ$2:AQ$200,Raw!J$2:J$200,)</f>
        <v/>
      </c>
      <c r="E123" s="264" t="str">
        <f t="array" ref="E123">xlookup(row()-1,Calcs!AQ$2:AQ$200,Raw!AO$2:AO$200,)</f>
        <v/>
      </c>
      <c r="F123" s="264"/>
      <c r="G123" s="264" t="str">
        <f t="array" ref="G123">xlookup(row()-1,Calcs!AQ$2:AQ$200,Display_All!AC$2:AC$200,)</f>
        <v/>
      </c>
      <c r="H123" s="264" t="str">
        <f t="array" ref="H123">xlookup(row()-1,Calcs!AQ$2:AQ$200,Display_All!AE$2:AE$200,)</f>
        <v/>
      </c>
      <c r="I123" s="264" t="str">
        <f t="array" ref="I123">xlookup(row()-1,Calcs!AQ$2:AQ$200,Display_All!AH$2:AH$200,)</f>
        <v/>
      </c>
      <c r="J123" s="264" t="str">
        <f t="array" ref="J123">xlookup(row()-1,Calcs!AQ$2:AQ$200,Display_All!AG$2:AG$200,)</f>
        <v/>
      </c>
      <c r="K123" s="264" t="str">
        <f t="array" ref="K123">xlookup(row()-1,Calcs!AQ$2:AQ$200,Display_All!AU$2:AU$200,)</f>
        <v/>
      </c>
      <c r="L123" s="264" t="str">
        <f t="array" ref="L123">xlookup(row()-1,Calcs!AQ$2:AQ$200,Display_All!AW$2:AW$200,)</f>
        <v/>
      </c>
      <c r="M123" s="264" t="str">
        <f t="array" ref="M123">xlookup(row()-1,Calcs!AQ$2:AQ$200,Display_All!AX$2:AX$200,)</f>
        <v/>
      </c>
    </row>
    <row r="124">
      <c r="A124" s="264" t="str">
        <f t="array" ref="A124">xlookup(row()-1,Calcs!AQ$2:AQ$200,Raw!A$2:A$200,)</f>
        <v/>
      </c>
      <c r="B124" s="264" t="str">
        <f t="array" ref="B124">xlookup(row()-1,Calcs!AQ$2:AQ$200,Raw!B$2:B$200,)</f>
        <v/>
      </c>
      <c r="C124" s="264" t="str">
        <f t="array" ref="C124">xlookup(row()-1,Calcs!AQ$2:AQ$200,Raw!I$2:I$200,)</f>
        <v/>
      </c>
      <c r="D124" s="264" t="str">
        <f t="array" ref="D124">xlookup(row()-1,Calcs!AQ$2:AQ$200,Raw!J$2:J$200,)</f>
        <v/>
      </c>
      <c r="E124" s="264" t="str">
        <f t="array" ref="E124">xlookup(row()-1,Calcs!AQ$2:AQ$200,Raw!AO$2:AO$200,)</f>
        <v/>
      </c>
      <c r="F124" s="264"/>
      <c r="G124" s="264" t="str">
        <f t="array" ref="G124">xlookup(row()-1,Calcs!AQ$2:AQ$200,Display_All!AC$2:AC$200,)</f>
        <v/>
      </c>
      <c r="H124" s="264" t="str">
        <f t="array" ref="H124">xlookup(row()-1,Calcs!AQ$2:AQ$200,Display_All!AE$2:AE$200,)</f>
        <v/>
      </c>
      <c r="I124" s="264" t="str">
        <f t="array" ref="I124">xlookup(row()-1,Calcs!AQ$2:AQ$200,Display_All!AH$2:AH$200,)</f>
        <v/>
      </c>
      <c r="J124" s="264" t="str">
        <f t="array" ref="J124">xlookup(row()-1,Calcs!AQ$2:AQ$200,Display_All!AG$2:AG$200,)</f>
        <v/>
      </c>
      <c r="K124" s="264" t="str">
        <f t="array" ref="K124">xlookup(row()-1,Calcs!AQ$2:AQ$200,Display_All!AU$2:AU$200,)</f>
        <v/>
      </c>
      <c r="L124" s="264" t="str">
        <f t="array" ref="L124">xlookup(row()-1,Calcs!AQ$2:AQ$200,Display_All!AW$2:AW$200,)</f>
        <v/>
      </c>
      <c r="M124" s="264" t="str">
        <f t="array" ref="M124">xlookup(row()-1,Calcs!AQ$2:AQ$200,Display_All!AX$2:AX$200,)</f>
        <v/>
      </c>
    </row>
    <row r="125">
      <c r="A125" s="264" t="str">
        <f t="array" ref="A125">xlookup(row()-1,Calcs!AQ$2:AQ$200,Raw!A$2:A$200,)</f>
        <v/>
      </c>
      <c r="B125" s="264" t="str">
        <f t="array" ref="B125">xlookup(row()-1,Calcs!AQ$2:AQ$200,Raw!B$2:B$200,)</f>
        <v/>
      </c>
      <c r="C125" s="264" t="str">
        <f t="array" ref="C125">xlookup(row()-1,Calcs!AQ$2:AQ$200,Raw!I$2:I$200,)</f>
        <v/>
      </c>
      <c r="D125" s="264" t="str">
        <f t="array" ref="D125">xlookup(row()-1,Calcs!AQ$2:AQ$200,Raw!J$2:J$200,)</f>
        <v/>
      </c>
      <c r="E125" s="264" t="str">
        <f t="array" ref="E125">xlookup(row()-1,Calcs!AQ$2:AQ$200,Raw!AO$2:AO$200,)</f>
        <v/>
      </c>
      <c r="F125" s="264"/>
      <c r="G125" s="264" t="str">
        <f t="array" ref="G125">xlookup(row()-1,Calcs!AQ$2:AQ$200,Display_All!AC$2:AC$200,)</f>
        <v/>
      </c>
      <c r="H125" s="264" t="str">
        <f t="array" ref="H125">xlookup(row()-1,Calcs!AQ$2:AQ$200,Display_All!AE$2:AE$200,)</f>
        <v/>
      </c>
      <c r="I125" s="264" t="str">
        <f t="array" ref="I125">xlookup(row()-1,Calcs!AQ$2:AQ$200,Display_All!AH$2:AH$200,)</f>
        <v/>
      </c>
      <c r="J125" s="264" t="str">
        <f t="array" ref="J125">xlookup(row()-1,Calcs!AQ$2:AQ$200,Display_All!AG$2:AG$200,)</f>
        <v/>
      </c>
      <c r="K125" s="264" t="str">
        <f t="array" ref="K125">xlookup(row()-1,Calcs!AQ$2:AQ$200,Display_All!AU$2:AU$200,)</f>
        <v/>
      </c>
      <c r="L125" s="264" t="str">
        <f t="array" ref="L125">xlookup(row()-1,Calcs!AQ$2:AQ$200,Display_All!AW$2:AW$200,)</f>
        <v/>
      </c>
      <c r="M125" s="264" t="str">
        <f t="array" ref="M125">xlookup(row()-1,Calcs!AQ$2:AQ$200,Display_All!AX$2:AX$200,)</f>
        <v/>
      </c>
    </row>
    <row r="126">
      <c r="A126" s="264" t="str">
        <f t="array" ref="A126">xlookup(row()-1,Calcs!AQ$2:AQ$200,Raw!A$2:A$200,)</f>
        <v/>
      </c>
      <c r="B126" s="264" t="str">
        <f t="array" ref="B126">xlookup(row()-1,Calcs!AQ$2:AQ$200,Raw!B$2:B$200,)</f>
        <v/>
      </c>
      <c r="C126" s="264" t="str">
        <f t="array" ref="C126">xlookup(row()-1,Calcs!AQ$2:AQ$200,Raw!I$2:I$200,)</f>
        <v/>
      </c>
      <c r="D126" s="264" t="str">
        <f t="array" ref="D126">xlookup(row()-1,Calcs!AQ$2:AQ$200,Raw!J$2:J$200,)</f>
        <v/>
      </c>
      <c r="E126" s="264" t="str">
        <f t="array" ref="E126">xlookup(row()-1,Calcs!AQ$2:AQ$200,Raw!AO$2:AO$200,)</f>
        <v/>
      </c>
      <c r="F126" s="264"/>
      <c r="G126" s="264" t="str">
        <f t="array" ref="G126">xlookup(row()-1,Calcs!AQ$2:AQ$200,Display_All!AC$2:AC$200,)</f>
        <v/>
      </c>
      <c r="H126" s="264" t="str">
        <f t="array" ref="H126">xlookup(row()-1,Calcs!AQ$2:AQ$200,Display_All!AE$2:AE$200,)</f>
        <v/>
      </c>
      <c r="I126" s="264" t="str">
        <f t="array" ref="I126">xlookup(row()-1,Calcs!AQ$2:AQ$200,Display_All!AH$2:AH$200,)</f>
        <v/>
      </c>
      <c r="J126" s="264" t="str">
        <f t="array" ref="J126">xlookup(row()-1,Calcs!AQ$2:AQ$200,Display_All!AG$2:AG$200,)</f>
        <v/>
      </c>
      <c r="K126" s="264" t="str">
        <f t="array" ref="K126">xlookup(row()-1,Calcs!AQ$2:AQ$200,Display_All!AU$2:AU$200,)</f>
        <v/>
      </c>
      <c r="L126" s="264" t="str">
        <f t="array" ref="L126">xlookup(row()-1,Calcs!AQ$2:AQ$200,Display_All!AW$2:AW$200,)</f>
        <v/>
      </c>
      <c r="M126" s="264" t="str">
        <f t="array" ref="M126">xlookup(row()-1,Calcs!AQ$2:AQ$200,Display_All!AX$2:AX$200,)</f>
        <v/>
      </c>
    </row>
    <row r="127">
      <c r="A127" s="264" t="str">
        <f t="array" ref="A127">xlookup(row()-1,Calcs!AQ$2:AQ$200,Raw!A$2:A$200,)</f>
        <v/>
      </c>
      <c r="B127" s="264" t="str">
        <f t="array" ref="B127">xlookup(row()-1,Calcs!AQ$2:AQ$200,Raw!B$2:B$200,)</f>
        <v/>
      </c>
      <c r="C127" s="264" t="str">
        <f t="array" ref="C127">xlookup(row()-1,Calcs!AQ$2:AQ$200,Raw!I$2:I$200,)</f>
        <v/>
      </c>
      <c r="D127" s="264" t="str">
        <f t="array" ref="D127">xlookup(row()-1,Calcs!AQ$2:AQ$200,Raw!J$2:J$200,)</f>
        <v/>
      </c>
      <c r="E127" s="264" t="str">
        <f t="array" ref="E127">xlookup(row()-1,Calcs!AQ$2:AQ$200,Raw!AO$2:AO$200,)</f>
        <v/>
      </c>
      <c r="F127" s="264"/>
      <c r="G127" s="264" t="str">
        <f t="array" ref="G127">xlookup(row()-1,Calcs!AQ$2:AQ$200,Display_All!AC$2:AC$200,)</f>
        <v/>
      </c>
      <c r="H127" s="264" t="str">
        <f t="array" ref="H127">xlookup(row()-1,Calcs!AQ$2:AQ$200,Display_All!AE$2:AE$200,)</f>
        <v/>
      </c>
      <c r="I127" s="264" t="str">
        <f t="array" ref="I127">xlookup(row()-1,Calcs!AQ$2:AQ$200,Display_All!AH$2:AH$200,)</f>
        <v/>
      </c>
      <c r="J127" s="264" t="str">
        <f t="array" ref="J127">xlookup(row()-1,Calcs!AQ$2:AQ$200,Display_All!AG$2:AG$200,)</f>
        <v/>
      </c>
      <c r="K127" s="264" t="str">
        <f t="array" ref="K127">xlookup(row()-1,Calcs!AQ$2:AQ$200,Display_All!AU$2:AU$200,)</f>
        <v/>
      </c>
      <c r="L127" s="264" t="str">
        <f t="array" ref="L127">xlookup(row()-1,Calcs!AQ$2:AQ$200,Display_All!AW$2:AW$200,)</f>
        <v/>
      </c>
      <c r="M127" s="264" t="str">
        <f t="array" ref="M127">xlookup(row()-1,Calcs!AQ$2:AQ$200,Display_All!AX$2:AX$200,)</f>
        <v/>
      </c>
    </row>
    <row r="128">
      <c r="A128" s="264" t="str">
        <f t="array" ref="A128">xlookup(row()-1,Calcs!AQ$2:AQ$200,Raw!A$2:A$200,)</f>
        <v/>
      </c>
      <c r="B128" s="264" t="str">
        <f t="array" ref="B128">xlookup(row()-1,Calcs!AQ$2:AQ$200,Raw!B$2:B$200,)</f>
        <v/>
      </c>
      <c r="C128" s="264" t="str">
        <f t="array" ref="C128">xlookup(row()-1,Calcs!AQ$2:AQ$200,Raw!I$2:I$200,)</f>
        <v/>
      </c>
      <c r="D128" s="264" t="str">
        <f t="array" ref="D128">xlookup(row()-1,Calcs!AQ$2:AQ$200,Raw!J$2:J$200,)</f>
        <v/>
      </c>
      <c r="E128" s="264" t="str">
        <f t="array" ref="E128">xlookup(row()-1,Calcs!AQ$2:AQ$200,Raw!AO$2:AO$200,)</f>
        <v/>
      </c>
      <c r="F128" s="264"/>
      <c r="G128" s="264" t="str">
        <f t="array" ref="G128">xlookup(row()-1,Calcs!AQ$2:AQ$200,Display_All!AC$2:AC$200,)</f>
        <v/>
      </c>
      <c r="H128" s="264" t="str">
        <f t="array" ref="H128">xlookup(row()-1,Calcs!AQ$2:AQ$200,Display_All!AE$2:AE$200,)</f>
        <v/>
      </c>
      <c r="I128" s="264" t="str">
        <f t="array" ref="I128">xlookup(row()-1,Calcs!AQ$2:AQ$200,Display_All!AH$2:AH$200,)</f>
        <v/>
      </c>
      <c r="J128" s="264" t="str">
        <f t="array" ref="J128">xlookup(row()-1,Calcs!AQ$2:AQ$200,Display_All!AG$2:AG$200,)</f>
        <v/>
      </c>
      <c r="K128" s="264" t="str">
        <f t="array" ref="K128">xlookup(row()-1,Calcs!AQ$2:AQ$200,Display_All!AU$2:AU$200,)</f>
        <v/>
      </c>
      <c r="L128" s="264" t="str">
        <f t="array" ref="L128">xlookup(row()-1,Calcs!AQ$2:AQ$200,Display_All!AW$2:AW$200,)</f>
        <v/>
      </c>
      <c r="M128" s="264" t="str">
        <f t="array" ref="M128">xlookup(row()-1,Calcs!AQ$2:AQ$200,Display_All!AX$2:AX$200,)</f>
        <v/>
      </c>
    </row>
    <row r="129">
      <c r="A129" s="264" t="str">
        <f t="array" ref="A129">xlookup(row()-1,Calcs!AQ$2:AQ$200,Raw!A$2:A$200,)</f>
        <v/>
      </c>
      <c r="B129" s="264" t="str">
        <f t="array" ref="B129">xlookup(row()-1,Calcs!AQ$2:AQ$200,Raw!B$2:B$200,)</f>
        <v/>
      </c>
      <c r="C129" s="264" t="str">
        <f t="array" ref="C129">xlookup(row()-1,Calcs!AQ$2:AQ$200,Raw!I$2:I$200,)</f>
        <v/>
      </c>
      <c r="D129" s="264" t="str">
        <f t="array" ref="D129">xlookup(row()-1,Calcs!AQ$2:AQ$200,Raw!J$2:J$200,)</f>
        <v/>
      </c>
      <c r="E129" s="264" t="str">
        <f t="array" ref="E129">xlookup(row()-1,Calcs!AQ$2:AQ$200,Raw!AO$2:AO$200,)</f>
        <v/>
      </c>
      <c r="F129" s="264"/>
      <c r="G129" s="264" t="str">
        <f t="array" ref="G129">xlookup(row()-1,Calcs!AQ$2:AQ$200,Display_All!AC$2:AC$200,)</f>
        <v/>
      </c>
      <c r="H129" s="264" t="str">
        <f t="array" ref="H129">xlookup(row()-1,Calcs!AQ$2:AQ$200,Display_All!AE$2:AE$200,)</f>
        <v/>
      </c>
      <c r="I129" s="264" t="str">
        <f t="array" ref="I129">xlookup(row()-1,Calcs!AQ$2:AQ$200,Display_All!AH$2:AH$200,)</f>
        <v/>
      </c>
      <c r="J129" s="264" t="str">
        <f t="array" ref="J129">xlookup(row()-1,Calcs!AQ$2:AQ$200,Display_All!AG$2:AG$200,)</f>
        <v/>
      </c>
      <c r="K129" s="264" t="str">
        <f t="array" ref="K129">xlookup(row()-1,Calcs!AQ$2:AQ$200,Display_All!AU$2:AU$200,)</f>
        <v/>
      </c>
      <c r="L129" s="264" t="str">
        <f t="array" ref="L129">xlookup(row()-1,Calcs!AQ$2:AQ$200,Display_All!AW$2:AW$200,)</f>
        <v/>
      </c>
      <c r="M129" s="264" t="str">
        <f t="array" ref="M129">xlookup(row()-1,Calcs!AQ$2:AQ$200,Display_All!AX$2:AX$200,)</f>
        <v/>
      </c>
    </row>
    <row r="130">
      <c r="A130" s="264" t="str">
        <f t="array" ref="A130">xlookup(row()-1,Calcs!AQ$2:AQ$200,Raw!A$2:A$200,)</f>
        <v/>
      </c>
      <c r="B130" s="264" t="str">
        <f t="array" ref="B130">xlookup(row()-1,Calcs!AQ$2:AQ$200,Raw!B$2:B$200,)</f>
        <v/>
      </c>
      <c r="C130" s="264" t="str">
        <f t="array" ref="C130">xlookup(row()-1,Calcs!AQ$2:AQ$200,Raw!I$2:I$200,)</f>
        <v/>
      </c>
      <c r="D130" s="264" t="str">
        <f t="array" ref="D130">xlookup(row()-1,Calcs!AQ$2:AQ$200,Raw!J$2:J$200,)</f>
        <v/>
      </c>
      <c r="E130" s="264" t="str">
        <f t="array" ref="E130">xlookup(row()-1,Calcs!AQ$2:AQ$200,Raw!AO$2:AO$200,)</f>
        <v/>
      </c>
      <c r="F130" s="264"/>
      <c r="G130" s="264" t="str">
        <f t="array" ref="G130">xlookup(row()-1,Calcs!AQ$2:AQ$200,Display_All!AC$2:AC$200,)</f>
        <v/>
      </c>
      <c r="H130" s="264" t="str">
        <f t="array" ref="H130">xlookup(row()-1,Calcs!AQ$2:AQ$200,Display_All!AE$2:AE$200,)</f>
        <v/>
      </c>
      <c r="I130" s="264" t="str">
        <f t="array" ref="I130">xlookup(row()-1,Calcs!AQ$2:AQ$200,Display_All!AH$2:AH$200,)</f>
        <v/>
      </c>
      <c r="J130" s="264" t="str">
        <f t="array" ref="J130">xlookup(row()-1,Calcs!AQ$2:AQ$200,Display_All!AG$2:AG$200,)</f>
        <v/>
      </c>
      <c r="K130" s="264" t="str">
        <f t="array" ref="K130">xlookup(row()-1,Calcs!AQ$2:AQ$200,Display_All!AU$2:AU$200,)</f>
        <v/>
      </c>
      <c r="L130" s="264" t="str">
        <f t="array" ref="L130">xlookup(row()-1,Calcs!AQ$2:AQ$200,Display_All!AW$2:AW$200,)</f>
        <v/>
      </c>
      <c r="M130" s="264" t="str">
        <f t="array" ref="M130">xlookup(row()-1,Calcs!AQ$2:AQ$200,Display_All!AX$2:AX$200,)</f>
        <v/>
      </c>
    </row>
    <row r="131">
      <c r="A131" s="264" t="str">
        <f t="array" ref="A131">xlookup(row()-1,Calcs!AQ$2:AQ$200,Raw!A$2:A$200,)</f>
        <v/>
      </c>
      <c r="B131" s="264" t="str">
        <f t="array" ref="B131">xlookup(row()-1,Calcs!AQ$2:AQ$200,Raw!B$2:B$200,)</f>
        <v/>
      </c>
      <c r="C131" s="264" t="str">
        <f t="array" ref="C131">xlookup(row()-1,Calcs!AQ$2:AQ$200,Raw!I$2:I$200,)</f>
        <v/>
      </c>
      <c r="D131" s="264" t="str">
        <f t="array" ref="D131">xlookup(row()-1,Calcs!AQ$2:AQ$200,Raw!J$2:J$200,)</f>
        <v/>
      </c>
      <c r="E131" s="264" t="str">
        <f t="array" ref="E131">xlookup(row()-1,Calcs!AQ$2:AQ$200,Raw!AO$2:AO$200,)</f>
        <v/>
      </c>
      <c r="F131" s="264"/>
      <c r="G131" s="264" t="str">
        <f t="array" ref="G131">xlookup(row()-1,Calcs!AQ$2:AQ$200,Display_All!AC$2:AC$200,)</f>
        <v/>
      </c>
      <c r="H131" s="264" t="str">
        <f t="array" ref="H131">xlookup(row()-1,Calcs!AQ$2:AQ$200,Display_All!AE$2:AE$200,)</f>
        <v/>
      </c>
      <c r="I131" s="264" t="str">
        <f t="array" ref="I131">xlookup(row()-1,Calcs!AQ$2:AQ$200,Display_All!AH$2:AH$200,)</f>
        <v/>
      </c>
      <c r="J131" s="264" t="str">
        <f t="array" ref="J131">xlookup(row()-1,Calcs!AQ$2:AQ$200,Display_All!AG$2:AG$200,)</f>
        <v/>
      </c>
      <c r="K131" s="264" t="str">
        <f t="array" ref="K131">xlookup(row()-1,Calcs!AQ$2:AQ$200,Display_All!AU$2:AU$200,)</f>
        <v/>
      </c>
      <c r="L131" s="264" t="str">
        <f t="array" ref="L131">xlookup(row()-1,Calcs!AQ$2:AQ$200,Display_All!AW$2:AW$200,)</f>
        <v/>
      </c>
      <c r="M131" s="264" t="str">
        <f t="array" ref="M131">xlookup(row()-1,Calcs!AQ$2:AQ$200,Display_All!AX$2:AX$200,)</f>
        <v/>
      </c>
    </row>
    <row r="132">
      <c r="A132" s="264" t="str">
        <f t="array" ref="A132">xlookup(row()-1,Calcs!AQ$2:AQ$200,Raw!A$2:A$200,)</f>
        <v/>
      </c>
      <c r="B132" s="264" t="str">
        <f t="array" ref="B132">xlookup(row()-1,Calcs!AQ$2:AQ$200,Raw!B$2:B$200,)</f>
        <v/>
      </c>
      <c r="C132" s="264" t="str">
        <f t="array" ref="C132">xlookup(row()-1,Calcs!AQ$2:AQ$200,Raw!I$2:I$200,)</f>
        <v/>
      </c>
      <c r="D132" s="264" t="str">
        <f t="array" ref="D132">xlookup(row()-1,Calcs!AQ$2:AQ$200,Raw!J$2:J$200,)</f>
        <v/>
      </c>
      <c r="E132" s="264" t="str">
        <f t="array" ref="E132">xlookup(row()-1,Calcs!AQ$2:AQ$200,Raw!AO$2:AO$200,)</f>
        <v/>
      </c>
      <c r="F132" s="264"/>
      <c r="G132" s="264" t="str">
        <f t="array" ref="G132">xlookup(row()-1,Calcs!AQ$2:AQ$200,Display_All!AC$2:AC$200,)</f>
        <v/>
      </c>
      <c r="H132" s="264" t="str">
        <f t="array" ref="H132">xlookup(row()-1,Calcs!AQ$2:AQ$200,Display_All!AE$2:AE$200,)</f>
        <v/>
      </c>
      <c r="I132" s="264" t="str">
        <f t="array" ref="I132">xlookup(row()-1,Calcs!AQ$2:AQ$200,Display_All!AH$2:AH$200,)</f>
        <v/>
      </c>
      <c r="J132" s="264" t="str">
        <f t="array" ref="J132">xlookup(row()-1,Calcs!AQ$2:AQ$200,Display_All!AG$2:AG$200,)</f>
        <v/>
      </c>
      <c r="K132" s="264" t="str">
        <f t="array" ref="K132">xlookup(row()-1,Calcs!AQ$2:AQ$200,Display_All!AU$2:AU$200,)</f>
        <v/>
      </c>
      <c r="L132" s="264" t="str">
        <f t="array" ref="L132">xlookup(row()-1,Calcs!AQ$2:AQ$200,Display_All!AW$2:AW$200,)</f>
        <v/>
      </c>
      <c r="M132" s="264" t="str">
        <f t="array" ref="M132">xlookup(row()-1,Calcs!AQ$2:AQ$200,Display_All!AX$2:AX$200,)</f>
        <v/>
      </c>
    </row>
    <row r="133">
      <c r="A133" s="264" t="str">
        <f t="array" ref="A133">xlookup(row()-1,Calcs!AQ$2:AQ$200,Raw!A$2:A$200,)</f>
        <v/>
      </c>
      <c r="B133" s="264" t="str">
        <f t="array" ref="B133">xlookup(row()-1,Calcs!AQ$2:AQ$200,Raw!B$2:B$200,)</f>
        <v/>
      </c>
      <c r="C133" s="264" t="str">
        <f t="array" ref="C133">xlookup(row()-1,Calcs!AQ$2:AQ$200,Raw!I$2:I$200,)</f>
        <v/>
      </c>
      <c r="D133" s="264" t="str">
        <f t="array" ref="D133">xlookup(row()-1,Calcs!AQ$2:AQ$200,Raw!J$2:J$200,)</f>
        <v/>
      </c>
      <c r="E133" s="264" t="str">
        <f t="array" ref="E133">xlookup(row()-1,Calcs!AQ$2:AQ$200,Raw!AO$2:AO$200,)</f>
        <v/>
      </c>
      <c r="F133" s="264"/>
      <c r="G133" s="264" t="str">
        <f t="array" ref="G133">xlookup(row()-1,Calcs!AQ$2:AQ$200,Display_All!AC$2:AC$200,)</f>
        <v/>
      </c>
      <c r="H133" s="264" t="str">
        <f t="array" ref="H133">xlookup(row()-1,Calcs!AQ$2:AQ$200,Display_All!AE$2:AE$200,)</f>
        <v/>
      </c>
      <c r="I133" s="264" t="str">
        <f t="array" ref="I133">xlookup(row()-1,Calcs!AQ$2:AQ$200,Display_All!AH$2:AH$200,)</f>
        <v/>
      </c>
      <c r="J133" s="264" t="str">
        <f t="array" ref="J133">xlookup(row()-1,Calcs!AQ$2:AQ$200,Display_All!AG$2:AG$200,)</f>
        <v/>
      </c>
      <c r="K133" s="264" t="str">
        <f t="array" ref="K133">xlookup(row()-1,Calcs!AQ$2:AQ$200,Display_All!AU$2:AU$200,)</f>
        <v/>
      </c>
      <c r="L133" s="264" t="str">
        <f t="array" ref="L133">xlookup(row()-1,Calcs!AQ$2:AQ$200,Display_All!AW$2:AW$200,)</f>
        <v/>
      </c>
      <c r="M133" s="264" t="str">
        <f t="array" ref="M133">xlookup(row()-1,Calcs!AQ$2:AQ$200,Display_All!AX$2:AX$200,)</f>
        <v/>
      </c>
    </row>
    <row r="134">
      <c r="A134" s="264" t="str">
        <f t="array" ref="A134">xlookup(row()-1,Calcs!AQ$2:AQ$200,Raw!A$2:A$200,)</f>
        <v/>
      </c>
      <c r="B134" s="264" t="str">
        <f t="array" ref="B134">xlookup(row()-1,Calcs!AQ$2:AQ$200,Raw!B$2:B$200,)</f>
        <v/>
      </c>
      <c r="C134" s="264" t="str">
        <f t="array" ref="C134">xlookup(row()-1,Calcs!AQ$2:AQ$200,Raw!I$2:I$200,)</f>
        <v/>
      </c>
      <c r="D134" s="264" t="str">
        <f t="array" ref="D134">xlookup(row()-1,Calcs!AQ$2:AQ$200,Raw!J$2:J$200,)</f>
        <v/>
      </c>
      <c r="E134" s="264" t="str">
        <f t="array" ref="E134">xlookup(row()-1,Calcs!AQ$2:AQ$200,Raw!AO$2:AO$200,)</f>
        <v/>
      </c>
      <c r="F134" s="264"/>
      <c r="G134" s="264" t="str">
        <f t="array" ref="G134">xlookup(row()-1,Calcs!AQ$2:AQ$200,Display_All!AC$2:AC$200,)</f>
        <v/>
      </c>
      <c r="H134" s="264" t="str">
        <f t="array" ref="H134">xlookup(row()-1,Calcs!AQ$2:AQ$200,Display_All!AE$2:AE$200,)</f>
        <v/>
      </c>
      <c r="I134" s="264" t="str">
        <f t="array" ref="I134">xlookup(row()-1,Calcs!AQ$2:AQ$200,Display_All!AH$2:AH$200,)</f>
        <v/>
      </c>
      <c r="J134" s="264" t="str">
        <f t="array" ref="J134">xlookup(row()-1,Calcs!AQ$2:AQ$200,Display_All!AG$2:AG$200,)</f>
        <v/>
      </c>
      <c r="K134" s="264" t="str">
        <f t="array" ref="K134">xlookup(row()-1,Calcs!AQ$2:AQ$200,Display_All!AU$2:AU$200,)</f>
        <v/>
      </c>
      <c r="L134" s="264" t="str">
        <f t="array" ref="L134">xlookup(row()-1,Calcs!AQ$2:AQ$200,Display_All!AW$2:AW$200,)</f>
        <v/>
      </c>
      <c r="M134" s="264" t="str">
        <f t="array" ref="M134">xlookup(row()-1,Calcs!AQ$2:AQ$200,Display_All!AX$2:AX$200,)</f>
        <v/>
      </c>
    </row>
    <row r="135">
      <c r="A135" s="264" t="str">
        <f t="array" ref="A135">xlookup(row()-1,Calcs!AQ$2:AQ$200,Raw!A$2:A$200,)</f>
        <v/>
      </c>
      <c r="B135" s="264" t="str">
        <f t="array" ref="B135">xlookup(row()-1,Calcs!AQ$2:AQ$200,Raw!B$2:B$200,)</f>
        <v/>
      </c>
      <c r="C135" s="264" t="str">
        <f t="array" ref="C135">xlookup(row()-1,Calcs!AQ$2:AQ$200,Raw!I$2:I$200,)</f>
        <v/>
      </c>
      <c r="D135" s="264" t="str">
        <f t="array" ref="D135">xlookup(row()-1,Calcs!AQ$2:AQ$200,Raw!J$2:J$200,)</f>
        <v/>
      </c>
      <c r="E135" s="264" t="str">
        <f t="array" ref="E135">xlookup(row()-1,Calcs!AQ$2:AQ$200,Raw!AO$2:AO$200,)</f>
        <v/>
      </c>
      <c r="F135" s="264"/>
      <c r="G135" s="264" t="str">
        <f t="array" ref="G135">xlookup(row()-1,Calcs!AQ$2:AQ$200,Display_All!AC$2:AC$200,)</f>
        <v/>
      </c>
      <c r="H135" s="264" t="str">
        <f t="array" ref="H135">xlookup(row()-1,Calcs!AQ$2:AQ$200,Display_All!AE$2:AE$200,)</f>
        <v/>
      </c>
      <c r="I135" s="264" t="str">
        <f t="array" ref="I135">xlookup(row()-1,Calcs!AQ$2:AQ$200,Display_All!AH$2:AH$200,)</f>
        <v/>
      </c>
      <c r="J135" s="264" t="str">
        <f t="array" ref="J135">xlookup(row()-1,Calcs!AQ$2:AQ$200,Display_All!AG$2:AG$200,)</f>
        <v/>
      </c>
      <c r="K135" s="264" t="str">
        <f t="array" ref="K135">xlookup(row()-1,Calcs!AQ$2:AQ$200,Display_All!AU$2:AU$200,)</f>
        <v/>
      </c>
      <c r="L135" s="264" t="str">
        <f t="array" ref="L135">xlookup(row()-1,Calcs!AQ$2:AQ$200,Display_All!AW$2:AW$200,)</f>
        <v/>
      </c>
      <c r="M135" s="264" t="str">
        <f t="array" ref="M135">xlookup(row()-1,Calcs!AQ$2:AQ$200,Display_All!AX$2:AX$200,)</f>
        <v/>
      </c>
    </row>
    <row r="136">
      <c r="A136" s="264" t="str">
        <f t="array" ref="A136">xlookup(row()-1,Calcs!AQ$2:AQ$200,Raw!A$2:A$200,)</f>
        <v/>
      </c>
      <c r="B136" s="264" t="str">
        <f t="array" ref="B136">xlookup(row()-1,Calcs!AQ$2:AQ$200,Raw!B$2:B$200,)</f>
        <v/>
      </c>
      <c r="C136" s="264" t="str">
        <f t="array" ref="C136">xlookup(row()-1,Calcs!AQ$2:AQ$200,Raw!I$2:I$200,)</f>
        <v/>
      </c>
      <c r="D136" s="264" t="str">
        <f t="array" ref="D136">xlookup(row()-1,Calcs!AQ$2:AQ$200,Raw!J$2:J$200,)</f>
        <v/>
      </c>
      <c r="E136" s="264" t="str">
        <f t="array" ref="E136">xlookup(row()-1,Calcs!AQ$2:AQ$200,Raw!AO$2:AO$200,)</f>
        <v/>
      </c>
      <c r="F136" s="264"/>
      <c r="G136" s="264" t="str">
        <f t="array" ref="G136">xlookup(row()-1,Calcs!AQ$2:AQ$200,Display_All!AC$2:AC$200,)</f>
        <v/>
      </c>
      <c r="H136" s="264" t="str">
        <f t="array" ref="H136">xlookup(row()-1,Calcs!AQ$2:AQ$200,Display_All!AE$2:AE$200,)</f>
        <v/>
      </c>
      <c r="I136" s="264" t="str">
        <f t="array" ref="I136">xlookup(row()-1,Calcs!AQ$2:AQ$200,Display_All!AH$2:AH$200,)</f>
        <v/>
      </c>
      <c r="J136" s="264" t="str">
        <f t="array" ref="J136">xlookup(row()-1,Calcs!AQ$2:AQ$200,Display_All!AG$2:AG$200,)</f>
        <v/>
      </c>
      <c r="K136" s="264" t="str">
        <f t="array" ref="K136">xlookup(row()-1,Calcs!AQ$2:AQ$200,Display_All!AU$2:AU$200,)</f>
        <v/>
      </c>
      <c r="L136" s="264" t="str">
        <f t="array" ref="L136">xlookup(row()-1,Calcs!AQ$2:AQ$200,Display_All!AW$2:AW$200,)</f>
        <v/>
      </c>
      <c r="M136" s="264" t="str">
        <f t="array" ref="M136">xlookup(row()-1,Calcs!AQ$2:AQ$200,Display_All!AX$2:AX$200,)</f>
        <v/>
      </c>
    </row>
    <row r="137">
      <c r="A137" s="264" t="str">
        <f t="array" ref="A137">xlookup(row()-1,Calcs!AQ$2:AQ$200,Raw!A$2:A$200,)</f>
        <v/>
      </c>
      <c r="B137" s="264" t="str">
        <f t="array" ref="B137">xlookup(row()-1,Calcs!AQ$2:AQ$200,Raw!B$2:B$200,)</f>
        <v/>
      </c>
      <c r="C137" s="264" t="str">
        <f t="array" ref="C137">xlookup(row()-1,Calcs!AQ$2:AQ$200,Raw!I$2:I$200,)</f>
        <v/>
      </c>
      <c r="D137" s="264" t="str">
        <f t="array" ref="D137">xlookup(row()-1,Calcs!AQ$2:AQ$200,Raw!J$2:J$200,)</f>
        <v/>
      </c>
      <c r="E137" s="264" t="str">
        <f t="array" ref="E137">xlookup(row()-1,Calcs!AQ$2:AQ$200,Raw!AO$2:AO$200,)</f>
        <v/>
      </c>
      <c r="F137" s="264"/>
      <c r="G137" s="264" t="str">
        <f t="array" ref="G137">xlookup(row()-1,Calcs!AQ$2:AQ$200,Display_All!AC$2:AC$200,)</f>
        <v/>
      </c>
      <c r="H137" s="264" t="str">
        <f t="array" ref="H137">xlookup(row()-1,Calcs!AQ$2:AQ$200,Display_All!AE$2:AE$200,)</f>
        <v/>
      </c>
      <c r="I137" s="264" t="str">
        <f t="array" ref="I137">xlookup(row()-1,Calcs!AQ$2:AQ$200,Display_All!AH$2:AH$200,)</f>
        <v/>
      </c>
      <c r="J137" s="264" t="str">
        <f t="array" ref="J137">xlookup(row()-1,Calcs!AQ$2:AQ$200,Display_All!AG$2:AG$200,)</f>
        <v/>
      </c>
      <c r="K137" s="264" t="str">
        <f t="array" ref="K137">xlookup(row()-1,Calcs!AQ$2:AQ$200,Display_All!AU$2:AU$200,)</f>
        <v/>
      </c>
      <c r="L137" s="264" t="str">
        <f t="array" ref="L137">xlookup(row()-1,Calcs!AQ$2:AQ$200,Display_All!AW$2:AW$200,)</f>
        <v/>
      </c>
      <c r="M137" s="264" t="str">
        <f t="array" ref="M137">xlookup(row()-1,Calcs!AQ$2:AQ$200,Display_All!AX$2:AX$200,)</f>
        <v/>
      </c>
    </row>
    <row r="138">
      <c r="A138" s="264" t="str">
        <f t="array" ref="A138">xlookup(row()-1,Calcs!AQ$2:AQ$200,Raw!A$2:A$200,)</f>
        <v/>
      </c>
      <c r="B138" s="264" t="str">
        <f t="array" ref="B138">xlookup(row()-1,Calcs!AQ$2:AQ$200,Raw!B$2:B$200,)</f>
        <v/>
      </c>
      <c r="C138" s="264" t="str">
        <f t="array" ref="C138">xlookup(row()-1,Calcs!AQ$2:AQ$200,Raw!I$2:I$200,)</f>
        <v/>
      </c>
      <c r="D138" s="264" t="str">
        <f t="array" ref="D138">xlookup(row()-1,Calcs!AQ$2:AQ$200,Raw!J$2:J$200,)</f>
        <v/>
      </c>
      <c r="E138" s="264" t="str">
        <f t="array" ref="E138">xlookup(row()-1,Calcs!AQ$2:AQ$200,Raw!AO$2:AO$200,)</f>
        <v/>
      </c>
      <c r="F138" s="264"/>
      <c r="G138" s="264" t="str">
        <f t="array" ref="G138">xlookup(row()-1,Calcs!AQ$2:AQ$200,Display_All!AC$2:AC$200,)</f>
        <v/>
      </c>
      <c r="H138" s="264" t="str">
        <f t="array" ref="H138">xlookup(row()-1,Calcs!AQ$2:AQ$200,Display_All!AE$2:AE$200,)</f>
        <v/>
      </c>
      <c r="I138" s="264" t="str">
        <f t="array" ref="I138">xlookup(row()-1,Calcs!AQ$2:AQ$200,Display_All!AH$2:AH$200,)</f>
        <v/>
      </c>
      <c r="J138" s="264" t="str">
        <f t="array" ref="J138">xlookup(row()-1,Calcs!AQ$2:AQ$200,Display_All!AG$2:AG$200,)</f>
        <v/>
      </c>
      <c r="K138" s="264" t="str">
        <f t="array" ref="K138">xlookup(row()-1,Calcs!AQ$2:AQ$200,Display_All!AU$2:AU$200,)</f>
        <v/>
      </c>
      <c r="L138" s="264" t="str">
        <f t="array" ref="L138">xlookup(row()-1,Calcs!AQ$2:AQ$200,Display_All!AW$2:AW$200,)</f>
        <v/>
      </c>
      <c r="M138" s="264" t="str">
        <f t="array" ref="M138">xlookup(row()-1,Calcs!AQ$2:AQ$200,Display_All!AX$2:AX$200,)</f>
        <v/>
      </c>
    </row>
    <row r="139">
      <c r="A139" s="264" t="str">
        <f t="array" ref="A139">xlookup(row()-1,Calcs!AQ$2:AQ$200,Raw!A$2:A$200,)</f>
        <v/>
      </c>
      <c r="B139" s="264" t="str">
        <f t="array" ref="B139">xlookup(row()-1,Calcs!AQ$2:AQ$200,Raw!B$2:B$200,)</f>
        <v/>
      </c>
      <c r="C139" s="264" t="str">
        <f t="array" ref="C139">xlookup(row()-1,Calcs!AQ$2:AQ$200,Raw!I$2:I$200,)</f>
        <v/>
      </c>
      <c r="D139" s="264" t="str">
        <f t="array" ref="D139">xlookup(row()-1,Calcs!AQ$2:AQ$200,Raw!J$2:J$200,)</f>
        <v/>
      </c>
      <c r="E139" s="264" t="str">
        <f t="array" ref="E139">xlookup(row()-1,Calcs!AQ$2:AQ$200,Raw!AO$2:AO$200,)</f>
        <v/>
      </c>
      <c r="F139" s="264"/>
      <c r="G139" s="264" t="str">
        <f t="array" ref="G139">xlookup(row()-1,Calcs!AQ$2:AQ$200,Display_All!AC$2:AC$200,)</f>
        <v/>
      </c>
      <c r="H139" s="264" t="str">
        <f t="array" ref="H139">xlookup(row()-1,Calcs!AQ$2:AQ$200,Display_All!AE$2:AE$200,)</f>
        <v/>
      </c>
      <c r="I139" s="264" t="str">
        <f t="array" ref="I139">xlookup(row()-1,Calcs!AQ$2:AQ$200,Display_All!AH$2:AH$200,)</f>
        <v/>
      </c>
      <c r="J139" s="264" t="str">
        <f t="array" ref="J139">xlookup(row()-1,Calcs!AQ$2:AQ$200,Display_All!AG$2:AG$200,)</f>
        <v/>
      </c>
      <c r="K139" s="264" t="str">
        <f t="array" ref="K139">xlookup(row()-1,Calcs!AQ$2:AQ$200,Display_All!AU$2:AU$200,)</f>
        <v/>
      </c>
      <c r="L139" s="264" t="str">
        <f t="array" ref="L139">xlookup(row()-1,Calcs!AQ$2:AQ$200,Display_All!AW$2:AW$200,)</f>
        <v/>
      </c>
      <c r="M139" s="264" t="str">
        <f t="array" ref="M139">xlookup(row()-1,Calcs!AQ$2:AQ$200,Display_All!AX$2:AX$200,)</f>
        <v/>
      </c>
    </row>
    <row r="140">
      <c r="A140" s="264" t="str">
        <f t="array" ref="A140">xlookup(row()-1,Calcs!AQ$2:AQ$200,Raw!A$2:A$200,)</f>
        <v/>
      </c>
      <c r="B140" s="264" t="str">
        <f t="array" ref="B140">xlookup(row()-1,Calcs!AQ$2:AQ$200,Raw!B$2:B$200,)</f>
        <v/>
      </c>
      <c r="C140" s="264" t="str">
        <f t="array" ref="C140">xlookup(row()-1,Calcs!AQ$2:AQ$200,Raw!I$2:I$200,)</f>
        <v/>
      </c>
      <c r="D140" s="264" t="str">
        <f t="array" ref="D140">xlookup(row()-1,Calcs!AQ$2:AQ$200,Raw!J$2:J$200,)</f>
        <v/>
      </c>
      <c r="E140" s="264" t="str">
        <f t="array" ref="E140">xlookup(row()-1,Calcs!AQ$2:AQ$200,Raw!AO$2:AO$200,)</f>
        <v/>
      </c>
      <c r="F140" s="264"/>
      <c r="G140" s="264" t="str">
        <f t="array" ref="G140">xlookup(row()-1,Calcs!AQ$2:AQ$200,Display_All!AC$2:AC$200,)</f>
        <v/>
      </c>
      <c r="H140" s="264" t="str">
        <f t="array" ref="H140">xlookup(row()-1,Calcs!AQ$2:AQ$200,Display_All!AE$2:AE$200,)</f>
        <v/>
      </c>
      <c r="I140" s="264" t="str">
        <f t="array" ref="I140">xlookup(row()-1,Calcs!AQ$2:AQ$200,Display_All!AH$2:AH$200,)</f>
        <v/>
      </c>
      <c r="J140" s="264" t="str">
        <f t="array" ref="J140">xlookup(row()-1,Calcs!AQ$2:AQ$200,Display_All!AG$2:AG$200,)</f>
        <v/>
      </c>
      <c r="K140" s="264" t="str">
        <f t="array" ref="K140">xlookup(row()-1,Calcs!AQ$2:AQ$200,Display_All!AU$2:AU$200,)</f>
        <v/>
      </c>
      <c r="L140" s="264" t="str">
        <f t="array" ref="L140">xlookup(row()-1,Calcs!AQ$2:AQ$200,Display_All!AW$2:AW$200,)</f>
        <v/>
      </c>
      <c r="M140" s="264" t="str">
        <f t="array" ref="M140">xlookup(row()-1,Calcs!AQ$2:AQ$200,Display_All!AX$2:AX$200,)</f>
        <v/>
      </c>
    </row>
    <row r="141">
      <c r="A141" s="264" t="str">
        <f t="array" ref="A141">xlookup(row()-1,Calcs!AQ$2:AQ$200,Raw!A$2:A$200,)</f>
        <v/>
      </c>
      <c r="B141" s="264" t="str">
        <f t="array" ref="B141">xlookup(row()-1,Calcs!AQ$2:AQ$200,Raw!B$2:B$200,)</f>
        <v/>
      </c>
      <c r="C141" s="264" t="str">
        <f t="array" ref="C141">xlookup(row()-1,Calcs!AQ$2:AQ$200,Raw!I$2:I$200,)</f>
        <v/>
      </c>
      <c r="D141" s="264" t="str">
        <f t="array" ref="D141">xlookup(row()-1,Calcs!AQ$2:AQ$200,Raw!J$2:J$200,)</f>
        <v/>
      </c>
      <c r="E141" s="264" t="str">
        <f t="array" ref="E141">xlookup(row()-1,Calcs!AQ$2:AQ$200,Raw!AO$2:AO$200,)</f>
        <v/>
      </c>
      <c r="F141" s="264"/>
      <c r="G141" s="264" t="str">
        <f t="array" ref="G141">xlookup(row()-1,Calcs!AQ$2:AQ$200,Display_All!AC$2:AC$200,)</f>
        <v/>
      </c>
      <c r="H141" s="264" t="str">
        <f t="array" ref="H141">xlookup(row()-1,Calcs!AQ$2:AQ$200,Display_All!AE$2:AE$200,)</f>
        <v/>
      </c>
      <c r="I141" s="264" t="str">
        <f t="array" ref="I141">xlookup(row()-1,Calcs!AQ$2:AQ$200,Display_All!AH$2:AH$200,)</f>
        <v/>
      </c>
      <c r="J141" s="264" t="str">
        <f t="array" ref="J141">xlookup(row()-1,Calcs!AQ$2:AQ$200,Display_All!AG$2:AG$200,)</f>
        <v/>
      </c>
      <c r="K141" s="264" t="str">
        <f t="array" ref="K141">xlookup(row()-1,Calcs!AQ$2:AQ$200,Display_All!AU$2:AU$200,)</f>
        <v/>
      </c>
      <c r="L141" s="264" t="str">
        <f t="array" ref="L141">xlookup(row()-1,Calcs!AQ$2:AQ$200,Display_All!AW$2:AW$200,)</f>
        <v/>
      </c>
      <c r="M141" s="264" t="str">
        <f t="array" ref="M141">xlookup(row()-1,Calcs!AQ$2:AQ$200,Display_All!AX$2:AX$200,)</f>
        <v/>
      </c>
    </row>
    <row r="142">
      <c r="A142" s="264" t="str">
        <f t="array" ref="A142">xlookup(row()-1,Calcs!AQ$2:AQ$200,Raw!A$2:A$200,)</f>
        <v/>
      </c>
      <c r="B142" s="264" t="str">
        <f t="array" ref="B142">xlookup(row()-1,Calcs!AQ$2:AQ$200,Raw!B$2:B$200,)</f>
        <v/>
      </c>
      <c r="C142" s="264" t="str">
        <f t="array" ref="C142">xlookup(row()-1,Calcs!AQ$2:AQ$200,Raw!I$2:I$200,)</f>
        <v/>
      </c>
      <c r="D142" s="264" t="str">
        <f t="array" ref="D142">xlookup(row()-1,Calcs!AQ$2:AQ$200,Raw!J$2:J$200,)</f>
        <v/>
      </c>
      <c r="E142" s="264" t="str">
        <f t="array" ref="E142">xlookup(row()-1,Calcs!AQ$2:AQ$200,Raw!AO$2:AO$200,)</f>
        <v/>
      </c>
      <c r="F142" s="264"/>
      <c r="G142" s="264" t="str">
        <f t="array" ref="G142">xlookup(row()-1,Calcs!AQ$2:AQ$200,Display_All!AC$2:AC$200,)</f>
        <v/>
      </c>
      <c r="H142" s="264" t="str">
        <f t="array" ref="H142">xlookup(row()-1,Calcs!AQ$2:AQ$200,Display_All!AE$2:AE$200,)</f>
        <v/>
      </c>
      <c r="I142" s="264" t="str">
        <f t="array" ref="I142">xlookup(row()-1,Calcs!AQ$2:AQ$200,Display_All!AH$2:AH$200,)</f>
        <v/>
      </c>
      <c r="J142" s="264" t="str">
        <f t="array" ref="J142">xlookup(row()-1,Calcs!AQ$2:AQ$200,Display_All!AG$2:AG$200,)</f>
        <v/>
      </c>
      <c r="K142" s="264" t="str">
        <f t="array" ref="K142">xlookup(row()-1,Calcs!AQ$2:AQ$200,Display_All!AU$2:AU$200,)</f>
        <v/>
      </c>
      <c r="L142" s="264" t="str">
        <f t="array" ref="L142">xlookup(row()-1,Calcs!AQ$2:AQ$200,Display_All!AW$2:AW$200,)</f>
        <v/>
      </c>
      <c r="M142" s="264" t="str">
        <f t="array" ref="M142">xlookup(row()-1,Calcs!AQ$2:AQ$200,Display_All!AX$2:AX$200,)</f>
        <v/>
      </c>
    </row>
    <row r="143">
      <c r="A143" s="264" t="str">
        <f t="array" ref="A143">xlookup(row()-1,Calcs!AQ$2:AQ$200,Raw!A$2:A$200,)</f>
        <v/>
      </c>
      <c r="B143" s="264" t="str">
        <f t="array" ref="B143">xlookup(row()-1,Calcs!AQ$2:AQ$200,Raw!B$2:B$200,)</f>
        <v/>
      </c>
      <c r="C143" s="264" t="str">
        <f t="array" ref="C143">xlookup(row()-1,Calcs!AQ$2:AQ$200,Raw!I$2:I$200,)</f>
        <v/>
      </c>
      <c r="D143" s="264" t="str">
        <f t="array" ref="D143">xlookup(row()-1,Calcs!AQ$2:AQ$200,Raw!J$2:J$200,)</f>
        <v/>
      </c>
      <c r="E143" s="264" t="str">
        <f t="array" ref="E143">xlookup(row()-1,Calcs!AQ$2:AQ$200,Raw!AO$2:AO$200,)</f>
        <v/>
      </c>
      <c r="F143" s="264"/>
      <c r="G143" s="264" t="str">
        <f t="array" ref="G143">xlookup(row()-1,Calcs!AQ$2:AQ$200,Display_All!AC$2:AC$200,)</f>
        <v/>
      </c>
      <c r="H143" s="264" t="str">
        <f t="array" ref="H143">xlookup(row()-1,Calcs!AQ$2:AQ$200,Display_All!AE$2:AE$200,)</f>
        <v/>
      </c>
      <c r="I143" s="264" t="str">
        <f t="array" ref="I143">xlookup(row()-1,Calcs!AQ$2:AQ$200,Display_All!AH$2:AH$200,)</f>
        <v/>
      </c>
      <c r="J143" s="264" t="str">
        <f t="array" ref="J143">xlookup(row()-1,Calcs!AQ$2:AQ$200,Display_All!AG$2:AG$200,)</f>
        <v/>
      </c>
      <c r="K143" s="264" t="str">
        <f t="array" ref="K143">xlookup(row()-1,Calcs!AQ$2:AQ$200,Display_All!AU$2:AU$200,)</f>
        <v/>
      </c>
      <c r="L143" s="264" t="str">
        <f t="array" ref="L143">xlookup(row()-1,Calcs!AQ$2:AQ$200,Display_All!AW$2:AW$200,)</f>
        <v/>
      </c>
      <c r="M143" s="264" t="str">
        <f t="array" ref="M143">xlookup(row()-1,Calcs!AQ$2:AQ$200,Display_All!AX$2:AX$200,)</f>
        <v/>
      </c>
    </row>
    <row r="144">
      <c r="A144" s="264" t="str">
        <f t="array" ref="A144">xlookup(row()-1,Calcs!AQ$2:AQ$200,Raw!A$2:A$200,)</f>
        <v/>
      </c>
      <c r="B144" s="264" t="str">
        <f t="array" ref="B144">xlookup(row()-1,Calcs!AQ$2:AQ$200,Raw!B$2:B$200,)</f>
        <v/>
      </c>
      <c r="C144" s="264" t="str">
        <f t="array" ref="C144">xlookup(row()-1,Calcs!AQ$2:AQ$200,Raw!I$2:I$200,)</f>
        <v/>
      </c>
      <c r="D144" s="264" t="str">
        <f t="array" ref="D144">xlookup(row()-1,Calcs!AQ$2:AQ$200,Raw!J$2:J$200,)</f>
        <v/>
      </c>
      <c r="E144" s="264" t="str">
        <f t="array" ref="E144">xlookup(row()-1,Calcs!AQ$2:AQ$200,Raw!AO$2:AO$200,)</f>
        <v/>
      </c>
      <c r="F144" s="264"/>
      <c r="G144" s="264" t="str">
        <f t="array" ref="G144">xlookup(row()-1,Calcs!AQ$2:AQ$200,Display_All!AC$2:AC$200,)</f>
        <v/>
      </c>
      <c r="H144" s="264" t="str">
        <f t="array" ref="H144">xlookup(row()-1,Calcs!AQ$2:AQ$200,Display_All!AE$2:AE$200,)</f>
        <v/>
      </c>
      <c r="I144" s="264" t="str">
        <f t="array" ref="I144">xlookup(row()-1,Calcs!AQ$2:AQ$200,Display_All!AH$2:AH$200,)</f>
        <v/>
      </c>
      <c r="J144" s="264" t="str">
        <f t="array" ref="J144">xlookup(row()-1,Calcs!AQ$2:AQ$200,Display_All!AG$2:AG$200,)</f>
        <v/>
      </c>
      <c r="K144" s="264" t="str">
        <f t="array" ref="K144">xlookup(row()-1,Calcs!AQ$2:AQ$200,Display_All!AU$2:AU$200,)</f>
        <v/>
      </c>
      <c r="L144" s="264" t="str">
        <f t="array" ref="L144">xlookup(row()-1,Calcs!AQ$2:AQ$200,Display_All!AW$2:AW$200,)</f>
        <v/>
      </c>
      <c r="M144" s="264" t="str">
        <f t="array" ref="M144">xlookup(row()-1,Calcs!AQ$2:AQ$200,Display_All!AX$2:AX$200,)</f>
        <v/>
      </c>
    </row>
    <row r="145">
      <c r="A145" s="264" t="str">
        <f t="array" ref="A145">xlookup(row()-1,Calcs!AQ$2:AQ$200,Raw!A$2:A$200,)</f>
        <v/>
      </c>
      <c r="B145" s="264" t="str">
        <f t="array" ref="B145">xlookup(row()-1,Calcs!AQ$2:AQ$200,Raw!B$2:B$200,)</f>
        <v/>
      </c>
      <c r="C145" s="264" t="str">
        <f t="array" ref="C145">xlookup(row()-1,Calcs!AQ$2:AQ$200,Raw!I$2:I$200,)</f>
        <v/>
      </c>
      <c r="D145" s="264" t="str">
        <f t="array" ref="D145">xlookup(row()-1,Calcs!AQ$2:AQ$200,Raw!J$2:J$200,)</f>
        <v/>
      </c>
      <c r="E145" s="264" t="str">
        <f t="array" ref="E145">xlookup(row()-1,Calcs!AQ$2:AQ$200,Raw!AO$2:AO$200,)</f>
        <v/>
      </c>
      <c r="F145" s="264"/>
      <c r="G145" s="264" t="str">
        <f t="array" ref="G145">xlookup(row()-1,Calcs!AQ$2:AQ$200,Display_All!AC$2:AC$200,)</f>
        <v/>
      </c>
      <c r="H145" s="264" t="str">
        <f t="array" ref="H145">xlookup(row()-1,Calcs!AQ$2:AQ$200,Display_All!AE$2:AE$200,)</f>
        <v/>
      </c>
      <c r="I145" s="264" t="str">
        <f t="array" ref="I145">xlookup(row()-1,Calcs!AQ$2:AQ$200,Display_All!AH$2:AH$200,)</f>
        <v/>
      </c>
      <c r="J145" s="264" t="str">
        <f t="array" ref="J145">xlookup(row()-1,Calcs!AQ$2:AQ$200,Display_All!AG$2:AG$200,)</f>
        <v/>
      </c>
      <c r="K145" s="264" t="str">
        <f t="array" ref="K145">xlookup(row()-1,Calcs!AQ$2:AQ$200,Display_All!AU$2:AU$200,)</f>
        <v/>
      </c>
      <c r="L145" s="264" t="str">
        <f t="array" ref="L145">xlookup(row()-1,Calcs!AQ$2:AQ$200,Display_All!AW$2:AW$200,)</f>
        <v/>
      </c>
      <c r="M145" s="264" t="str">
        <f t="array" ref="M145">xlookup(row()-1,Calcs!AQ$2:AQ$200,Display_All!AX$2:AX$200,)</f>
        <v/>
      </c>
    </row>
    <row r="146">
      <c r="A146" s="264" t="str">
        <f t="array" ref="A146">xlookup(row()-1,Calcs!AQ$2:AQ$200,Raw!A$2:A$200,)</f>
        <v/>
      </c>
      <c r="B146" s="264" t="str">
        <f t="array" ref="B146">xlookup(row()-1,Calcs!AQ$2:AQ$200,Raw!B$2:B$200,)</f>
        <v/>
      </c>
      <c r="C146" s="264" t="str">
        <f t="array" ref="C146">xlookup(row()-1,Calcs!AQ$2:AQ$200,Raw!I$2:I$200,)</f>
        <v/>
      </c>
      <c r="D146" s="264" t="str">
        <f t="array" ref="D146">xlookup(row()-1,Calcs!AQ$2:AQ$200,Raw!J$2:J$200,)</f>
        <v/>
      </c>
      <c r="E146" s="264" t="str">
        <f t="array" ref="E146">xlookup(row()-1,Calcs!AQ$2:AQ$200,Raw!AO$2:AO$200,)</f>
        <v/>
      </c>
      <c r="F146" s="264"/>
      <c r="G146" s="264" t="str">
        <f t="array" ref="G146">xlookup(row()-1,Calcs!AQ$2:AQ$200,Display_All!AC$2:AC$200,)</f>
        <v/>
      </c>
      <c r="H146" s="264" t="str">
        <f t="array" ref="H146">xlookup(row()-1,Calcs!AQ$2:AQ$200,Display_All!AE$2:AE$200,)</f>
        <v/>
      </c>
      <c r="I146" s="264" t="str">
        <f t="array" ref="I146">xlookup(row()-1,Calcs!AQ$2:AQ$200,Display_All!AH$2:AH$200,)</f>
        <v/>
      </c>
      <c r="J146" s="264" t="str">
        <f t="array" ref="J146">xlookup(row()-1,Calcs!AQ$2:AQ$200,Display_All!AG$2:AG$200,)</f>
        <v/>
      </c>
      <c r="K146" s="264" t="str">
        <f t="array" ref="K146">xlookup(row()-1,Calcs!AQ$2:AQ$200,Display_All!AU$2:AU$200,)</f>
        <v/>
      </c>
      <c r="L146" s="264" t="str">
        <f t="array" ref="L146">xlookup(row()-1,Calcs!AQ$2:AQ$200,Display_All!AW$2:AW$200,)</f>
        <v/>
      </c>
      <c r="M146" s="264" t="str">
        <f t="array" ref="M146">xlookup(row()-1,Calcs!AQ$2:AQ$200,Display_All!AX$2:AX$200,)</f>
        <v/>
      </c>
    </row>
    <row r="147">
      <c r="A147" s="264" t="str">
        <f t="array" ref="A147">xlookup(row()-1,Calcs!AQ$2:AQ$200,Raw!A$2:A$200,)</f>
        <v/>
      </c>
      <c r="B147" s="264" t="str">
        <f t="array" ref="B147">xlookup(row()-1,Calcs!AQ$2:AQ$200,Raw!B$2:B$200,)</f>
        <v/>
      </c>
      <c r="C147" s="264" t="str">
        <f t="array" ref="C147">xlookup(row()-1,Calcs!AQ$2:AQ$200,Raw!I$2:I$200,)</f>
        <v/>
      </c>
      <c r="D147" s="264" t="str">
        <f t="array" ref="D147">xlookup(row()-1,Calcs!AQ$2:AQ$200,Raw!J$2:J$200,)</f>
        <v/>
      </c>
      <c r="E147" s="264" t="str">
        <f t="array" ref="E147">xlookup(row()-1,Calcs!AQ$2:AQ$200,Raw!AO$2:AO$200,)</f>
        <v/>
      </c>
      <c r="F147" s="264"/>
      <c r="G147" s="264" t="str">
        <f t="array" ref="G147">xlookup(row()-1,Calcs!AQ$2:AQ$200,Display_All!AC$2:AC$200,)</f>
        <v/>
      </c>
      <c r="H147" s="264" t="str">
        <f t="array" ref="H147">xlookup(row()-1,Calcs!AQ$2:AQ$200,Display_All!AE$2:AE$200,)</f>
        <v/>
      </c>
      <c r="I147" s="264" t="str">
        <f t="array" ref="I147">xlookup(row()-1,Calcs!AQ$2:AQ$200,Display_All!AH$2:AH$200,)</f>
        <v/>
      </c>
      <c r="J147" s="264" t="str">
        <f t="array" ref="J147">xlookup(row()-1,Calcs!AQ$2:AQ$200,Display_All!AG$2:AG$200,)</f>
        <v/>
      </c>
      <c r="K147" s="264" t="str">
        <f t="array" ref="K147">xlookup(row()-1,Calcs!AQ$2:AQ$200,Display_All!AU$2:AU$200,)</f>
        <v/>
      </c>
      <c r="L147" s="264" t="str">
        <f t="array" ref="L147">xlookup(row()-1,Calcs!AQ$2:AQ$200,Display_All!AW$2:AW$200,)</f>
        <v/>
      </c>
      <c r="M147" s="264" t="str">
        <f t="array" ref="M147">xlookup(row()-1,Calcs!AQ$2:AQ$200,Display_All!AX$2:AX$200,)</f>
        <v/>
      </c>
    </row>
    <row r="148">
      <c r="A148" s="264" t="str">
        <f t="array" ref="A148">xlookup(row()-1,Calcs!AQ$2:AQ$200,Raw!A$2:A$200,)</f>
        <v/>
      </c>
      <c r="B148" s="264" t="str">
        <f t="array" ref="B148">xlookup(row()-1,Calcs!AQ$2:AQ$200,Raw!B$2:B$200,)</f>
        <v/>
      </c>
      <c r="C148" s="264" t="str">
        <f t="array" ref="C148">xlookup(row()-1,Calcs!AQ$2:AQ$200,Raw!I$2:I$200,)</f>
        <v/>
      </c>
      <c r="D148" s="264" t="str">
        <f t="array" ref="D148">xlookup(row()-1,Calcs!AQ$2:AQ$200,Raw!J$2:J$200,)</f>
        <v/>
      </c>
      <c r="E148" s="264" t="str">
        <f t="array" ref="E148">xlookup(row()-1,Calcs!AQ$2:AQ$200,Raw!AO$2:AO$200,)</f>
        <v/>
      </c>
      <c r="F148" s="264"/>
      <c r="G148" s="264" t="str">
        <f t="array" ref="G148">xlookup(row()-1,Calcs!AQ$2:AQ$200,Display_All!AC$2:AC$200,)</f>
        <v/>
      </c>
      <c r="H148" s="264" t="str">
        <f t="array" ref="H148">xlookup(row()-1,Calcs!AQ$2:AQ$200,Display_All!AE$2:AE$200,)</f>
        <v/>
      </c>
      <c r="I148" s="264" t="str">
        <f t="array" ref="I148">xlookup(row()-1,Calcs!AQ$2:AQ$200,Display_All!AH$2:AH$200,)</f>
        <v/>
      </c>
      <c r="J148" s="264" t="str">
        <f t="array" ref="J148">xlookup(row()-1,Calcs!AQ$2:AQ$200,Display_All!AG$2:AG$200,)</f>
        <v/>
      </c>
      <c r="K148" s="264" t="str">
        <f t="array" ref="K148">xlookup(row()-1,Calcs!AQ$2:AQ$200,Display_All!AU$2:AU$200,)</f>
        <v/>
      </c>
      <c r="L148" s="264" t="str">
        <f t="array" ref="L148">xlookup(row()-1,Calcs!AQ$2:AQ$200,Display_All!AW$2:AW$200,)</f>
        <v/>
      </c>
      <c r="M148" s="264" t="str">
        <f t="array" ref="M148">xlookup(row()-1,Calcs!AQ$2:AQ$200,Display_All!AX$2:AX$200,)</f>
        <v/>
      </c>
    </row>
    <row r="149">
      <c r="A149" s="264" t="str">
        <f t="array" ref="A149">xlookup(row()-1,Calcs!AQ$2:AQ$200,Raw!A$2:A$200,)</f>
        <v/>
      </c>
      <c r="B149" s="264" t="str">
        <f t="array" ref="B149">xlookup(row()-1,Calcs!AQ$2:AQ$200,Raw!B$2:B$200,)</f>
        <v/>
      </c>
      <c r="C149" s="264" t="str">
        <f t="array" ref="C149">xlookup(row()-1,Calcs!AQ$2:AQ$200,Raw!I$2:I$200,)</f>
        <v/>
      </c>
      <c r="D149" s="264" t="str">
        <f t="array" ref="D149">xlookup(row()-1,Calcs!AQ$2:AQ$200,Raw!J$2:J$200,)</f>
        <v/>
      </c>
      <c r="E149" s="264" t="str">
        <f t="array" ref="E149">xlookup(row()-1,Calcs!AQ$2:AQ$200,Raw!AO$2:AO$200,)</f>
        <v/>
      </c>
      <c r="F149" s="264"/>
      <c r="G149" s="264" t="str">
        <f t="array" ref="G149">xlookup(row()-1,Calcs!AQ$2:AQ$200,Display_All!AC$2:AC$200,)</f>
        <v/>
      </c>
      <c r="H149" s="264" t="str">
        <f t="array" ref="H149">xlookup(row()-1,Calcs!AQ$2:AQ$200,Display_All!AE$2:AE$200,)</f>
        <v/>
      </c>
      <c r="I149" s="264" t="str">
        <f t="array" ref="I149">xlookup(row()-1,Calcs!AQ$2:AQ$200,Display_All!AH$2:AH$200,)</f>
        <v/>
      </c>
      <c r="J149" s="264" t="str">
        <f t="array" ref="J149">xlookup(row()-1,Calcs!AQ$2:AQ$200,Display_All!AG$2:AG$200,)</f>
        <v/>
      </c>
      <c r="K149" s="264" t="str">
        <f t="array" ref="K149">xlookup(row()-1,Calcs!AQ$2:AQ$200,Display_All!AU$2:AU$200,)</f>
        <v/>
      </c>
      <c r="L149" s="264" t="str">
        <f t="array" ref="L149">xlookup(row()-1,Calcs!AQ$2:AQ$200,Display_All!AW$2:AW$200,)</f>
        <v/>
      </c>
      <c r="M149" s="264" t="str">
        <f t="array" ref="M149">xlookup(row()-1,Calcs!AQ$2:AQ$200,Display_All!AX$2:AX$200,)</f>
        <v/>
      </c>
    </row>
    <row r="150">
      <c r="A150" s="264" t="str">
        <f t="array" ref="A150">xlookup(row()-1,Calcs!AQ$2:AQ$200,Raw!A$2:A$200,)</f>
        <v/>
      </c>
      <c r="B150" s="264" t="str">
        <f t="array" ref="B150">xlookup(row()-1,Calcs!AQ$2:AQ$200,Raw!B$2:B$200,)</f>
        <v/>
      </c>
      <c r="C150" s="264" t="str">
        <f t="array" ref="C150">xlookup(row()-1,Calcs!AQ$2:AQ$200,Raw!I$2:I$200,)</f>
        <v/>
      </c>
      <c r="D150" s="264" t="str">
        <f t="array" ref="D150">xlookup(row()-1,Calcs!AQ$2:AQ$200,Raw!J$2:J$200,)</f>
        <v/>
      </c>
      <c r="E150" s="264" t="str">
        <f t="array" ref="E150">xlookup(row()-1,Calcs!AQ$2:AQ$200,Raw!AO$2:AO$200,)</f>
        <v/>
      </c>
      <c r="F150" s="264"/>
      <c r="G150" s="264" t="str">
        <f t="array" ref="G150">xlookup(row()-1,Calcs!AQ$2:AQ$200,Display_All!AC$2:AC$200,)</f>
        <v/>
      </c>
      <c r="H150" s="264" t="str">
        <f t="array" ref="H150">xlookup(row()-1,Calcs!AQ$2:AQ$200,Display_All!AE$2:AE$200,)</f>
        <v/>
      </c>
      <c r="I150" s="264" t="str">
        <f t="array" ref="I150">xlookup(row()-1,Calcs!AQ$2:AQ$200,Display_All!AH$2:AH$200,)</f>
        <v/>
      </c>
      <c r="J150" s="264" t="str">
        <f t="array" ref="J150">xlookup(row()-1,Calcs!AQ$2:AQ$200,Display_All!AG$2:AG$200,)</f>
        <v/>
      </c>
      <c r="K150" s="264" t="str">
        <f t="array" ref="K150">xlookup(row()-1,Calcs!AQ$2:AQ$200,Display_All!AU$2:AU$200,)</f>
        <v/>
      </c>
      <c r="L150" s="264" t="str">
        <f t="array" ref="L150">xlookup(row()-1,Calcs!AQ$2:AQ$200,Display_All!AW$2:AW$200,)</f>
        <v/>
      </c>
      <c r="M150" s="264" t="str">
        <f t="array" ref="M150">xlookup(row()-1,Calcs!AQ$2:AQ$200,Display_All!AX$2:AX$200,)</f>
        <v/>
      </c>
    </row>
    <row r="151">
      <c r="A151" s="264" t="str">
        <f t="array" ref="A151">xlookup(row()-1,Calcs!AQ$2:AQ$200,Raw!A$2:A$200,)</f>
        <v/>
      </c>
      <c r="B151" s="264" t="str">
        <f t="array" ref="B151">xlookup(row()-1,Calcs!AQ$2:AQ$200,Raw!B$2:B$200,)</f>
        <v/>
      </c>
      <c r="C151" s="264" t="str">
        <f t="array" ref="C151">xlookup(row()-1,Calcs!AQ$2:AQ$200,Raw!I$2:I$200,)</f>
        <v/>
      </c>
      <c r="D151" s="264" t="str">
        <f t="array" ref="D151">xlookup(row()-1,Calcs!AQ$2:AQ$200,Raw!J$2:J$200,)</f>
        <v/>
      </c>
      <c r="E151" s="264" t="str">
        <f t="array" ref="E151">xlookup(row()-1,Calcs!AQ$2:AQ$200,Raw!AO$2:AO$200,)</f>
        <v/>
      </c>
      <c r="F151" s="264"/>
      <c r="G151" s="264" t="str">
        <f t="array" ref="G151">xlookup(row()-1,Calcs!AQ$2:AQ$200,Display_All!AC$2:AC$200,)</f>
        <v/>
      </c>
      <c r="H151" s="264" t="str">
        <f t="array" ref="H151">xlookup(row()-1,Calcs!AQ$2:AQ$200,Display_All!AE$2:AE$200,)</f>
        <v/>
      </c>
      <c r="I151" s="264" t="str">
        <f t="array" ref="I151">xlookup(row()-1,Calcs!AQ$2:AQ$200,Display_All!AH$2:AH$200,)</f>
        <v/>
      </c>
      <c r="J151" s="264" t="str">
        <f t="array" ref="J151">xlookup(row()-1,Calcs!AQ$2:AQ$200,Display_All!AG$2:AG$200,)</f>
        <v/>
      </c>
      <c r="K151" s="264" t="str">
        <f t="array" ref="K151">xlookup(row()-1,Calcs!AQ$2:AQ$200,Display_All!AU$2:AU$200,)</f>
        <v/>
      </c>
      <c r="L151" s="264" t="str">
        <f t="array" ref="L151">xlookup(row()-1,Calcs!AQ$2:AQ$200,Display_All!AW$2:AW$200,)</f>
        <v/>
      </c>
      <c r="M151" s="264" t="str">
        <f t="array" ref="M151">xlookup(row()-1,Calcs!AQ$2:AQ$200,Display_All!AX$2:AX$200,)</f>
        <v/>
      </c>
    </row>
    <row r="152">
      <c r="A152" s="264" t="str">
        <f t="array" ref="A152">xlookup(row()-1,Calcs!AQ$2:AQ$200,Raw!A$2:A$200,)</f>
        <v/>
      </c>
      <c r="B152" s="264" t="str">
        <f t="array" ref="B152">xlookup(row()-1,Calcs!AQ$2:AQ$200,Raw!B$2:B$200,)</f>
        <v/>
      </c>
      <c r="C152" s="264" t="str">
        <f t="array" ref="C152">xlookup(row()-1,Calcs!AQ$2:AQ$200,Raw!I$2:I$200,)</f>
        <v/>
      </c>
      <c r="D152" s="264" t="str">
        <f t="array" ref="D152">xlookup(row()-1,Calcs!AQ$2:AQ$200,Raw!J$2:J$200,)</f>
        <v/>
      </c>
      <c r="E152" s="264" t="str">
        <f t="array" ref="E152">xlookup(row()-1,Calcs!AQ$2:AQ$200,Raw!AO$2:AO$200,)</f>
        <v/>
      </c>
      <c r="F152" s="264"/>
      <c r="G152" s="264" t="str">
        <f t="array" ref="G152">xlookup(row()-1,Calcs!AQ$2:AQ$200,Display_All!AC$2:AC$200,)</f>
        <v/>
      </c>
      <c r="H152" s="264" t="str">
        <f t="array" ref="H152">xlookup(row()-1,Calcs!AQ$2:AQ$200,Display_All!AE$2:AE$200,)</f>
        <v/>
      </c>
      <c r="I152" s="264" t="str">
        <f t="array" ref="I152">xlookup(row()-1,Calcs!AQ$2:AQ$200,Display_All!AH$2:AH$200,)</f>
        <v/>
      </c>
      <c r="J152" s="264" t="str">
        <f t="array" ref="J152">xlookup(row()-1,Calcs!AQ$2:AQ$200,Display_All!AG$2:AG$200,)</f>
        <v/>
      </c>
      <c r="K152" s="264" t="str">
        <f t="array" ref="K152">xlookup(row()-1,Calcs!AQ$2:AQ$200,Display_All!AU$2:AU$200,)</f>
        <v/>
      </c>
      <c r="L152" s="264" t="str">
        <f t="array" ref="L152">xlookup(row()-1,Calcs!AQ$2:AQ$200,Display_All!AW$2:AW$200,)</f>
        <v/>
      </c>
      <c r="M152" s="264" t="str">
        <f t="array" ref="M152">xlookup(row()-1,Calcs!AQ$2:AQ$200,Display_All!AX$2:AX$200,)</f>
        <v/>
      </c>
    </row>
    <row r="153">
      <c r="A153" s="264" t="str">
        <f t="array" ref="A153">xlookup(row()-1,Calcs!AQ$2:AQ$200,Raw!A$2:A$200,)</f>
        <v/>
      </c>
      <c r="B153" s="264" t="str">
        <f t="array" ref="B153">xlookup(row()-1,Calcs!AQ$2:AQ$200,Raw!B$2:B$200,)</f>
        <v/>
      </c>
      <c r="C153" s="264" t="str">
        <f t="array" ref="C153">xlookup(row()-1,Calcs!AQ$2:AQ$200,Raw!I$2:I$200,)</f>
        <v/>
      </c>
      <c r="D153" s="264" t="str">
        <f t="array" ref="D153">xlookup(row()-1,Calcs!AQ$2:AQ$200,Raw!J$2:J$200,)</f>
        <v/>
      </c>
      <c r="E153" s="264" t="str">
        <f t="array" ref="E153">xlookup(row()-1,Calcs!AQ$2:AQ$200,Raw!AO$2:AO$200,)</f>
        <v/>
      </c>
      <c r="F153" s="264"/>
      <c r="G153" s="264" t="str">
        <f t="array" ref="G153">xlookup(row()-1,Calcs!AQ$2:AQ$200,Display_All!AC$2:AC$200,)</f>
        <v/>
      </c>
      <c r="H153" s="264" t="str">
        <f t="array" ref="H153">xlookup(row()-1,Calcs!AQ$2:AQ$200,Display_All!AE$2:AE$200,)</f>
        <v/>
      </c>
      <c r="I153" s="264" t="str">
        <f t="array" ref="I153">xlookup(row()-1,Calcs!AQ$2:AQ$200,Display_All!AH$2:AH$200,)</f>
        <v/>
      </c>
      <c r="J153" s="264" t="str">
        <f t="array" ref="J153">xlookup(row()-1,Calcs!AQ$2:AQ$200,Display_All!AG$2:AG$200,)</f>
        <v/>
      </c>
      <c r="K153" s="264" t="str">
        <f t="array" ref="K153">xlookup(row()-1,Calcs!AQ$2:AQ$200,Display_All!AU$2:AU$200,)</f>
        <v/>
      </c>
      <c r="L153" s="264" t="str">
        <f t="array" ref="L153">xlookup(row()-1,Calcs!AQ$2:AQ$200,Display_All!AW$2:AW$200,)</f>
        <v/>
      </c>
      <c r="M153" s="264" t="str">
        <f t="array" ref="M153">xlookup(row()-1,Calcs!AQ$2:AQ$200,Display_All!AX$2:AX$200,)</f>
        <v/>
      </c>
    </row>
    <row r="154">
      <c r="A154" s="264" t="str">
        <f t="array" ref="A154">xlookup(row()-1,Calcs!AQ$2:AQ$200,Raw!A$2:A$200,)</f>
        <v/>
      </c>
      <c r="B154" s="264" t="str">
        <f t="array" ref="B154">xlookup(row()-1,Calcs!AQ$2:AQ$200,Raw!B$2:B$200,)</f>
        <v/>
      </c>
      <c r="C154" s="264" t="str">
        <f t="array" ref="C154">xlookup(row()-1,Calcs!AQ$2:AQ$200,Raw!I$2:I$200,)</f>
        <v/>
      </c>
      <c r="D154" s="264" t="str">
        <f t="array" ref="D154">xlookup(row()-1,Calcs!AQ$2:AQ$200,Raw!J$2:J$200,)</f>
        <v/>
      </c>
      <c r="E154" s="264" t="str">
        <f t="array" ref="E154">xlookup(row()-1,Calcs!AQ$2:AQ$200,Raw!AO$2:AO$200,)</f>
        <v/>
      </c>
      <c r="F154" s="264"/>
      <c r="G154" s="264" t="str">
        <f t="array" ref="G154">xlookup(row()-1,Calcs!AQ$2:AQ$200,Display_All!AC$2:AC$200,)</f>
        <v/>
      </c>
      <c r="H154" s="264" t="str">
        <f t="array" ref="H154">xlookup(row()-1,Calcs!AQ$2:AQ$200,Display_All!AE$2:AE$200,)</f>
        <v/>
      </c>
      <c r="I154" s="264" t="str">
        <f t="array" ref="I154">xlookup(row()-1,Calcs!AQ$2:AQ$200,Display_All!AH$2:AH$200,)</f>
        <v/>
      </c>
      <c r="J154" s="264" t="str">
        <f t="array" ref="J154">xlookup(row()-1,Calcs!AQ$2:AQ$200,Display_All!AG$2:AG$200,)</f>
        <v/>
      </c>
      <c r="K154" s="264" t="str">
        <f t="array" ref="K154">xlookup(row()-1,Calcs!AQ$2:AQ$200,Display_All!AU$2:AU$200,)</f>
        <v/>
      </c>
      <c r="L154" s="264" t="str">
        <f t="array" ref="L154">xlookup(row()-1,Calcs!AQ$2:AQ$200,Display_All!AW$2:AW$200,)</f>
        <v/>
      </c>
      <c r="M154" s="264" t="str">
        <f t="array" ref="M154">xlookup(row()-1,Calcs!AQ$2:AQ$200,Display_All!AX$2:AX$200,)</f>
        <v/>
      </c>
    </row>
    <row r="155">
      <c r="A155" s="264" t="str">
        <f t="array" ref="A155">xlookup(row()-1,Calcs!AQ$2:AQ$200,Raw!A$2:A$200,)</f>
        <v/>
      </c>
      <c r="B155" s="264" t="str">
        <f t="array" ref="B155">xlookup(row()-1,Calcs!AQ$2:AQ$200,Raw!B$2:B$200,)</f>
        <v/>
      </c>
      <c r="C155" s="264" t="str">
        <f t="array" ref="C155">xlookup(row()-1,Calcs!AQ$2:AQ$200,Raw!I$2:I$200,)</f>
        <v/>
      </c>
      <c r="D155" s="264" t="str">
        <f t="array" ref="D155">xlookup(row()-1,Calcs!AQ$2:AQ$200,Raw!J$2:J$200,)</f>
        <v/>
      </c>
      <c r="E155" s="264" t="str">
        <f t="array" ref="E155">xlookup(row()-1,Calcs!AQ$2:AQ$200,Raw!AO$2:AO$200,)</f>
        <v/>
      </c>
      <c r="F155" s="264"/>
      <c r="G155" s="264" t="str">
        <f t="array" ref="G155">xlookup(row()-1,Calcs!AQ$2:AQ$200,Display_All!AC$2:AC$200,)</f>
        <v/>
      </c>
      <c r="H155" s="264" t="str">
        <f t="array" ref="H155">xlookup(row()-1,Calcs!AQ$2:AQ$200,Display_All!AE$2:AE$200,)</f>
        <v/>
      </c>
      <c r="I155" s="264" t="str">
        <f t="array" ref="I155">xlookup(row()-1,Calcs!AQ$2:AQ$200,Display_All!AH$2:AH$200,)</f>
        <v/>
      </c>
      <c r="J155" s="264" t="str">
        <f t="array" ref="J155">xlookup(row()-1,Calcs!AQ$2:AQ$200,Display_All!AG$2:AG$200,)</f>
        <v/>
      </c>
      <c r="K155" s="264" t="str">
        <f t="array" ref="K155">xlookup(row()-1,Calcs!AQ$2:AQ$200,Display_All!AU$2:AU$200,)</f>
        <v/>
      </c>
      <c r="L155" s="264" t="str">
        <f t="array" ref="L155">xlookup(row()-1,Calcs!AQ$2:AQ$200,Display_All!AW$2:AW$200,)</f>
        <v/>
      </c>
      <c r="M155" s="264" t="str">
        <f t="array" ref="M155">xlookup(row()-1,Calcs!AQ$2:AQ$200,Display_All!AX$2:AX$200,)</f>
        <v/>
      </c>
    </row>
    <row r="156">
      <c r="A156" s="264" t="str">
        <f t="array" ref="A156">xlookup(row()-1,Calcs!AQ$2:AQ$200,Raw!A$2:A$200,)</f>
        <v/>
      </c>
      <c r="B156" s="264" t="str">
        <f t="array" ref="B156">xlookup(row()-1,Calcs!AQ$2:AQ$200,Raw!B$2:B$200,)</f>
        <v/>
      </c>
      <c r="C156" s="264" t="str">
        <f t="array" ref="C156">xlookup(row()-1,Calcs!AQ$2:AQ$200,Raw!I$2:I$200,)</f>
        <v/>
      </c>
      <c r="D156" s="264" t="str">
        <f t="array" ref="D156">xlookup(row()-1,Calcs!AQ$2:AQ$200,Raw!J$2:J$200,)</f>
        <v/>
      </c>
      <c r="E156" s="264" t="str">
        <f t="array" ref="E156">xlookup(row()-1,Calcs!AQ$2:AQ$200,Raw!AO$2:AO$200,)</f>
        <v/>
      </c>
      <c r="F156" s="264"/>
      <c r="G156" s="264" t="str">
        <f t="array" ref="G156">xlookup(row()-1,Calcs!AQ$2:AQ$200,Display_All!AC$2:AC$200,)</f>
        <v/>
      </c>
      <c r="H156" s="264" t="str">
        <f t="array" ref="H156">xlookup(row()-1,Calcs!AQ$2:AQ$200,Display_All!AE$2:AE$200,)</f>
        <v/>
      </c>
      <c r="I156" s="264" t="str">
        <f t="array" ref="I156">xlookup(row()-1,Calcs!AQ$2:AQ$200,Display_All!AH$2:AH$200,)</f>
        <v/>
      </c>
      <c r="J156" s="264" t="str">
        <f t="array" ref="J156">xlookup(row()-1,Calcs!AQ$2:AQ$200,Display_All!AG$2:AG$200,)</f>
        <v/>
      </c>
      <c r="K156" s="264" t="str">
        <f t="array" ref="K156">xlookup(row()-1,Calcs!AQ$2:AQ$200,Display_All!AU$2:AU$200,)</f>
        <v/>
      </c>
      <c r="L156" s="264" t="str">
        <f t="array" ref="L156">xlookup(row()-1,Calcs!AQ$2:AQ$200,Display_All!AW$2:AW$200,)</f>
        <v/>
      </c>
      <c r="M156" s="264" t="str">
        <f t="array" ref="M156">xlookup(row()-1,Calcs!AQ$2:AQ$200,Display_All!AX$2:AX$200,)</f>
        <v/>
      </c>
    </row>
    <row r="157">
      <c r="A157" s="264" t="str">
        <f t="array" ref="A157">xlookup(row()-1,Calcs!AQ$2:AQ$200,Raw!A$2:A$200,)</f>
        <v/>
      </c>
      <c r="B157" s="264" t="str">
        <f t="array" ref="B157">xlookup(row()-1,Calcs!AQ$2:AQ$200,Raw!B$2:B$200,)</f>
        <v/>
      </c>
      <c r="C157" s="264" t="str">
        <f t="array" ref="C157">xlookup(row()-1,Calcs!AQ$2:AQ$200,Raw!I$2:I$200,)</f>
        <v/>
      </c>
      <c r="D157" s="264" t="str">
        <f t="array" ref="D157">xlookup(row()-1,Calcs!AQ$2:AQ$200,Raw!J$2:J$200,)</f>
        <v/>
      </c>
      <c r="E157" s="264" t="str">
        <f t="array" ref="E157">xlookup(row()-1,Calcs!AQ$2:AQ$200,Raw!AO$2:AO$200,)</f>
        <v/>
      </c>
      <c r="F157" s="264"/>
      <c r="G157" s="264" t="str">
        <f t="array" ref="G157">xlookup(row()-1,Calcs!AQ$2:AQ$200,Display_All!AC$2:AC$200,)</f>
        <v/>
      </c>
      <c r="H157" s="264" t="str">
        <f t="array" ref="H157">xlookup(row()-1,Calcs!AQ$2:AQ$200,Display_All!AE$2:AE$200,)</f>
        <v/>
      </c>
      <c r="I157" s="264" t="str">
        <f t="array" ref="I157">xlookup(row()-1,Calcs!AQ$2:AQ$200,Display_All!AH$2:AH$200,)</f>
        <v/>
      </c>
      <c r="J157" s="264" t="str">
        <f t="array" ref="J157">xlookup(row()-1,Calcs!AQ$2:AQ$200,Display_All!AG$2:AG$200,)</f>
        <v/>
      </c>
      <c r="K157" s="264" t="str">
        <f t="array" ref="K157">xlookup(row()-1,Calcs!AQ$2:AQ$200,Display_All!AU$2:AU$200,)</f>
        <v/>
      </c>
      <c r="L157" s="264" t="str">
        <f t="array" ref="L157">xlookup(row()-1,Calcs!AQ$2:AQ$200,Display_All!AW$2:AW$200,)</f>
        <v/>
      </c>
      <c r="M157" s="264" t="str">
        <f t="array" ref="M157">xlookup(row()-1,Calcs!AQ$2:AQ$200,Display_All!AX$2:AX$200,)</f>
        <v/>
      </c>
    </row>
    <row r="158">
      <c r="A158" s="264" t="str">
        <f t="array" ref="A158">xlookup(row()-1,Calcs!AQ$2:AQ$200,Raw!A$2:A$200,)</f>
        <v/>
      </c>
      <c r="B158" s="264" t="str">
        <f t="array" ref="B158">xlookup(row()-1,Calcs!AQ$2:AQ$200,Raw!B$2:B$200,)</f>
        <v/>
      </c>
      <c r="C158" s="264" t="str">
        <f t="array" ref="C158">xlookup(row()-1,Calcs!AQ$2:AQ$200,Raw!I$2:I$200,)</f>
        <v/>
      </c>
      <c r="D158" s="264" t="str">
        <f t="array" ref="D158">xlookup(row()-1,Calcs!AQ$2:AQ$200,Raw!J$2:J$200,)</f>
        <v/>
      </c>
      <c r="E158" s="264" t="str">
        <f t="array" ref="E158">xlookup(row()-1,Calcs!AQ$2:AQ$200,Raw!AO$2:AO$200,)</f>
        <v/>
      </c>
      <c r="F158" s="264"/>
      <c r="G158" s="264" t="str">
        <f t="array" ref="G158">xlookup(row()-1,Calcs!AQ$2:AQ$200,Display_All!AC$2:AC$200,)</f>
        <v/>
      </c>
      <c r="H158" s="264" t="str">
        <f t="array" ref="H158">xlookup(row()-1,Calcs!AQ$2:AQ$200,Display_All!AE$2:AE$200,)</f>
        <v/>
      </c>
      <c r="I158" s="264" t="str">
        <f t="array" ref="I158">xlookup(row()-1,Calcs!AQ$2:AQ$200,Display_All!AH$2:AH$200,)</f>
        <v/>
      </c>
      <c r="J158" s="264" t="str">
        <f t="array" ref="J158">xlookup(row()-1,Calcs!AQ$2:AQ$200,Display_All!AG$2:AG$200,)</f>
        <v/>
      </c>
      <c r="K158" s="264" t="str">
        <f t="array" ref="K158">xlookup(row()-1,Calcs!AQ$2:AQ$200,Display_All!AU$2:AU$200,)</f>
        <v/>
      </c>
      <c r="L158" s="264" t="str">
        <f t="array" ref="L158">xlookup(row()-1,Calcs!AQ$2:AQ$200,Display_All!AW$2:AW$200,)</f>
        <v/>
      </c>
      <c r="M158" s="264" t="str">
        <f t="array" ref="M158">xlookup(row()-1,Calcs!AQ$2:AQ$200,Display_All!AX$2:AX$200,)</f>
        <v/>
      </c>
    </row>
    <row r="159">
      <c r="A159" s="264" t="str">
        <f t="array" ref="A159">xlookup(row()-1,Calcs!AQ$2:AQ$200,Raw!A$2:A$200,)</f>
        <v/>
      </c>
      <c r="B159" s="264" t="str">
        <f t="array" ref="B159">xlookup(row()-1,Calcs!AQ$2:AQ$200,Raw!B$2:B$200,)</f>
        <v/>
      </c>
      <c r="C159" s="264" t="str">
        <f t="array" ref="C159">xlookup(row()-1,Calcs!AQ$2:AQ$200,Raw!I$2:I$200,)</f>
        <v/>
      </c>
      <c r="D159" s="264" t="str">
        <f t="array" ref="D159">xlookup(row()-1,Calcs!AQ$2:AQ$200,Raw!J$2:J$200,)</f>
        <v/>
      </c>
      <c r="E159" s="264" t="str">
        <f t="array" ref="E159">xlookup(row()-1,Calcs!AQ$2:AQ$200,Raw!AO$2:AO$200,)</f>
        <v/>
      </c>
      <c r="F159" s="264"/>
      <c r="G159" s="264" t="str">
        <f t="array" ref="G159">xlookup(row()-1,Calcs!AQ$2:AQ$200,Display_All!AC$2:AC$200,)</f>
        <v/>
      </c>
      <c r="H159" s="264" t="str">
        <f t="array" ref="H159">xlookup(row()-1,Calcs!AQ$2:AQ$200,Display_All!AE$2:AE$200,)</f>
        <v/>
      </c>
      <c r="I159" s="264" t="str">
        <f t="array" ref="I159">xlookup(row()-1,Calcs!AQ$2:AQ$200,Display_All!AH$2:AH$200,)</f>
        <v/>
      </c>
      <c r="J159" s="264" t="str">
        <f t="array" ref="J159">xlookup(row()-1,Calcs!AQ$2:AQ$200,Display_All!AG$2:AG$200,)</f>
        <v/>
      </c>
      <c r="K159" s="264" t="str">
        <f t="array" ref="K159">xlookup(row()-1,Calcs!AQ$2:AQ$200,Display_All!AU$2:AU$200,)</f>
        <v/>
      </c>
      <c r="L159" s="264" t="str">
        <f t="array" ref="L159">xlookup(row()-1,Calcs!AQ$2:AQ$200,Display_All!AW$2:AW$200,)</f>
        <v/>
      </c>
      <c r="M159" s="264" t="str">
        <f t="array" ref="M159">xlookup(row()-1,Calcs!AQ$2:AQ$200,Display_All!AX$2:AX$200,)</f>
        <v/>
      </c>
    </row>
    <row r="160">
      <c r="A160" s="264" t="str">
        <f t="array" ref="A160">xlookup(row()-1,Calcs!AQ$2:AQ$200,Raw!A$2:A$200,)</f>
        <v/>
      </c>
      <c r="B160" s="264" t="str">
        <f t="array" ref="B160">xlookup(row()-1,Calcs!AQ$2:AQ$200,Raw!B$2:B$200,)</f>
        <v/>
      </c>
      <c r="C160" s="264" t="str">
        <f t="array" ref="C160">xlookup(row()-1,Calcs!AQ$2:AQ$200,Raw!I$2:I$200,)</f>
        <v/>
      </c>
      <c r="D160" s="264" t="str">
        <f t="array" ref="D160">xlookup(row()-1,Calcs!AQ$2:AQ$200,Raw!J$2:J$200,)</f>
        <v/>
      </c>
      <c r="E160" s="264" t="str">
        <f t="array" ref="E160">xlookup(row()-1,Calcs!AQ$2:AQ$200,Raw!AO$2:AO$200,)</f>
        <v/>
      </c>
      <c r="F160" s="264"/>
      <c r="G160" s="264" t="str">
        <f t="array" ref="G160">xlookup(row()-1,Calcs!AQ$2:AQ$200,Display_All!AC$2:AC$200,)</f>
        <v/>
      </c>
      <c r="H160" s="264" t="str">
        <f t="array" ref="H160">xlookup(row()-1,Calcs!AQ$2:AQ$200,Display_All!AE$2:AE$200,)</f>
        <v/>
      </c>
      <c r="I160" s="264" t="str">
        <f t="array" ref="I160">xlookup(row()-1,Calcs!AQ$2:AQ$200,Display_All!AH$2:AH$200,)</f>
        <v/>
      </c>
      <c r="J160" s="264" t="str">
        <f t="array" ref="J160">xlookup(row()-1,Calcs!AQ$2:AQ$200,Display_All!AG$2:AG$200,)</f>
        <v/>
      </c>
      <c r="K160" s="264" t="str">
        <f t="array" ref="K160">xlookup(row()-1,Calcs!AQ$2:AQ$200,Display_All!AU$2:AU$200,)</f>
        <v/>
      </c>
      <c r="L160" s="264" t="str">
        <f t="array" ref="L160">xlookup(row()-1,Calcs!AQ$2:AQ$200,Display_All!AW$2:AW$200,)</f>
        <v/>
      </c>
      <c r="M160" s="264" t="str">
        <f t="array" ref="M160">xlookup(row()-1,Calcs!AQ$2:AQ$200,Display_All!AX$2:AX$200,)</f>
        <v/>
      </c>
    </row>
    <row r="161">
      <c r="A161" s="264" t="str">
        <f t="array" ref="A161">xlookup(row()-1,Calcs!AQ$2:AQ$200,Raw!A$2:A$200,)</f>
        <v/>
      </c>
      <c r="B161" s="264" t="str">
        <f t="array" ref="B161">xlookup(row()-1,Calcs!AQ$2:AQ$200,Raw!B$2:B$200,)</f>
        <v/>
      </c>
      <c r="C161" s="264" t="str">
        <f t="array" ref="C161">xlookup(row()-1,Calcs!AQ$2:AQ$200,Raw!I$2:I$200,)</f>
        <v/>
      </c>
      <c r="D161" s="264" t="str">
        <f t="array" ref="D161">xlookup(row()-1,Calcs!AQ$2:AQ$200,Raw!J$2:J$200,)</f>
        <v/>
      </c>
      <c r="E161" s="264" t="str">
        <f t="array" ref="E161">xlookup(row()-1,Calcs!AQ$2:AQ$200,Raw!AO$2:AO$200,)</f>
        <v/>
      </c>
      <c r="F161" s="264"/>
      <c r="G161" s="264" t="str">
        <f t="array" ref="G161">xlookup(row()-1,Calcs!AQ$2:AQ$200,Display_All!AC$2:AC$200,)</f>
        <v/>
      </c>
      <c r="H161" s="264" t="str">
        <f t="array" ref="H161">xlookup(row()-1,Calcs!AQ$2:AQ$200,Display_All!AE$2:AE$200,)</f>
        <v/>
      </c>
      <c r="I161" s="264" t="str">
        <f t="array" ref="I161">xlookup(row()-1,Calcs!AQ$2:AQ$200,Display_All!AH$2:AH$200,)</f>
        <v/>
      </c>
      <c r="J161" s="264" t="str">
        <f t="array" ref="J161">xlookup(row()-1,Calcs!AQ$2:AQ$200,Display_All!AG$2:AG$200,)</f>
        <v/>
      </c>
      <c r="K161" s="264" t="str">
        <f t="array" ref="K161">xlookup(row()-1,Calcs!AQ$2:AQ$200,Display_All!AU$2:AU$200,)</f>
        <v/>
      </c>
      <c r="L161" s="264" t="str">
        <f t="array" ref="L161">xlookup(row()-1,Calcs!AQ$2:AQ$200,Display_All!AW$2:AW$200,)</f>
        <v/>
      </c>
      <c r="M161" s="264" t="str">
        <f t="array" ref="M161">xlookup(row()-1,Calcs!AQ$2:AQ$200,Display_All!AX$2:AX$200,)</f>
        <v/>
      </c>
    </row>
    <row r="162">
      <c r="A162" s="264" t="str">
        <f t="array" ref="A162">xlookup(row()-1,Calcs!AQ$2:AQ$200,Raw!A$2:A$200,)</f>
        <v/>
      </c>
      <c r="B162" s="264" t="str">
        <f t="array" ref="B162">xlookup(row()-1,Calcs!AQ$2:AQ$200,Raw!B$2:B$200,)</f>
        <v/>
      </c>
      <c r="C162" s="264" t="str">
        <f t="array" ref="C162">xlookup(row()-1,Calcs!AQ$2:AQ$200,Raw!I$2:I$200,)</f>
        <v/>
      </c>
      <c r="D162" s="264" t="str">
        <f t="array" ref="D162">xlookup(row()-1,Calcs!AQ$2:AQ$200,Raw!J$2:J$200,)</f>
        <v/>
      </c>
      <c r="E162" s="264" t="str">
        <f t="array" ref="E162">xlookup(row()-1,Calcs!AQ$2:AQ$200,Raw!AO$2:AO$200,)</f>
        <v/>
      </c>
      <c r="F162" s="264"/>
      <c r="G162" s="264" t="str">
        <f t="array" ref="G162">xlookup(row()-1,Calcs!AQ$2:AQ$200,Display_All!AC$2:AC$200,)</f>
        <v/>
      </c>
      <c r="H162" s="264" t="str">
        <f t="array" ref="H162">xlookup(row()-1,Calcs!AQ$2:AQ$200,Display_All!AE$2:AE$200,)</f>
        <v/>
      </c>
      <c r="I162" s="264" t="str">
        <f t="array" ref="I162">xlookup(row()-1,Calcs!AQ$2:AQ$200,Display_All!AH$2:AH$200,)</f>
        <v/>
      </c>
      <c r="J162" s="264" t="str">
        <f t="array" ref="J162">xlookup(row()-1,Calcs!AQ$2:AQ$200,Display_All!AG$2:AG$200,)</f>
        <v/>
      </c>
      <c r="K162" s="264" t="str">
        <f t="array" ref="K162">xlookup(row()-1,Calcs!AQ$2:AQ$200,Display_All!AU$2:AU$200,)</f>
        <v/>
      </c>
      <c r="L162" s="264" t="str">
        <f t="array" ref="L162">xlookup(row()-1,Calcs!AQ$2:AQ$200,Display_All!AW$2:AW$200,)</f>
        <v/>
      </c>
      <c r="M162" s="264" t="str">
        <f t="array" ref="M162">xlookup(row()-1,Calcs!AQ$2:AQ$200,Display_All!AX$2:AX$200,)</f>
        <v/>
      </c>
    </row>
    <row r="163">
      <c r="A163" s="264" t="str">
        <f t="array" ref="A163">xlookup(row()-1,Calcs!AQ$2:AQ$200,Raw!A$2:A$200,)</f>
        <v/>
      </c>
      <c r="B163" s="264" t="str">
        <f t="array" ref="B163">xlookup(row()-1,Calcs!AQ$2:AQ$200,Raw!B$2:B$200,)</f>
        <v/>
      </c>
      <c r="C163" s="264" t="str">
        <f t="array" ref="C163">xlookup(row()-1,Calcs!AQ$2:AQ$200,Raw!I$2:I$200,)</f>
        <v/>
      </c>
      <c r="D163" s="264" t="str">
        <f t="array" ref="D163">xlookup(row()-1,Calcs!AQ$2:AQ$200,Raw!J$2:J$200,)</f>
        <v/>
      </c>
      <c r="E163" s="264" t="str">
        <f t="array" ref="E163">xlookup(row()-1,Calcs!AQ$2:AQ$200,Raw!AO$2:AO$200,)</f>
        <v/>
      </c>
      <c r="F163" s="264"/>
      <c r="G163" s="264" t="str">
        <f t="array" ref="G163">xlookup(row()-1,Calcs!AQ$2:AQ$200,Display_All!AC$2:AC$200,)</f>
        <v/>
      </c>
      <c r="H163" s="264" t="str">
        <f t="array" ref="H163">xlookup(row()-1,Calcs!AQ$2:AQ$200,Display_All!AE$2:AE$200,)</f>
        <v/>
      </c>
      <c r="I163" s="264" t="str">
        <f t="array" ref="I163">xlookup(row()-1,Calcs!AQ$2:AQ$200,Display_All!AH$2:AH$200,)</f>
        <v/>
      </c>
      <c r="J163" s="264" t="str">
        <f t="array" ref="J163">xlookup(row()-1,Calcs!AQ$2:AQ$200,Display_All!AG$2:AG$200,)</f>
        <v/>
      </c>
      <c r="K163" s="264" t="str">
        <f t="array" ref="K163">xlookup(row()-1,Calcs!AQ$2:AQ$200,Display_All!AU$2:AU$200,)</f>
        <v/>
      </c>
      <c r="L163" s="264" t="str">
        <f t="array" ref="L163">xlookup(row()-1,Calcs!AQ$2:AQ$200,Display_All!AW$2:AW$200,)</f>
        <v/>
      </c>
      <c r="M163" s="264" t="str">
        <f t="array" ref="M163">xlookup(row()-1,Calcs!AQ$2:AQ$200,Display_All!AX$2:AX$200,)</f>
        <v/>
      </c>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2" max="2" width="17.0"/>
    <col customWidth="1" min="3" max="3" width="13.86"/>
    <col customWidth="1" min="4" max="4" width="8.71"/>
    <col customWidth="1" min="5" max="5" width="8.0"/>
    <col customWidth="1" min="6" max="6" width="12.57"/>
    <col customWidth="1" min="7" max="7" width="3.0"/>
    <col customWidth="1" min="8" max="8" width="3.29"/>
    <col customWidth="1" min="9" max="9" width="4.71"/>
    <col customWidth="1" min="10" max="11" width="4.0"/>
    <col customWidth="1" min="12" max="12" width="4.43"/>
    <col customWidth="1" min="13" max="13" width="4.29"/>
    <col customWidth="1" min="14" max="14" width="4.14"/>
    <col customWidth="1" min="15" max="15" width="4.43"/>
    <col customWidth="1" min="16" max="16" width="3.71"/>
    <col customWidth="1" min="17" max="17" width="3.86"/>
    <col customWidth="1" min="18" max="18" width="5.57"/>
  </cols>
  <sheetData>
    <row r="1">
      <c r="A1" s="123" t="s">
        <v>904</v>
      </c>
      <c r="B1" s="123" t="s">
        <v>905</v>
      </c>
      <c r="E1" s="123"/>
      <c r="F1" s="123"/>
      <c r="G1" s="123"/>
      <c r="H1" s="123"/>
      <c r="I1" s="123"/>
      <c r="J1" s="123"/>
      <c r="K1" s="123"/>
      <c r="L1" s="123"/>
      <c r="M1" s="123"/>
      <c r="N1" s="123"/>
      <c r="O1" s="123"/>
      <c r="P1" s="123"/>
      <c r="Q1" s="123"/>
      <c r="R1" s="123"/>
      <c r="S1" s="123" t="str">
        <f>Raw!CT1</f>
        <v>Bloom Condition</v>
      </c>
      <c r="T1" s="124" t="str">
        <f>Raw!CU1</f>
        <v>Carbon Content (est)</v>
      </c>
    </row>
    <row r="2">
      <c r="A2" s="125" t="s">
        <v>906</v>
      </c>
      <c r="B2" s="126">
        <f>IFERROR(__xludf.DUMMYFUNCTION("countunique(Raw!M:M)-1"),11.0)</f>
        <v>11</v>
      </c>
      <c r="S2" s="126" t="str">
        <f t="array" ref="S2:S37">sort(unique(Raw!CT2:CT98))</f>
        <v>1.2 kg as bloom</v>
      </c>
      <c r="T2" s="126">
        <f t="array" ref="T2:T13">sort(unique(Raw!CU2:CU98))</f>
        <v>1010</v>
      </c>
    </row>
    <row r="3">
      <c r="A3" s="125" t="s">
        <v>907</v>
      </c>
      <c r="B3" s="125" t="s">
        <v>908</v>
      </c>
      <c r="S3" s="126" t="s">
        <v>386</v>
      </c>
      <c r="T3" s="126">
        <v>1035.0</v>
      </c>
    </row>
    <row r="4">
      <c r="A4" s="125" t="s">
        <v>909</v>
      </c>
      <c r="B4" s="125" t="s">
        <v>908</v>
      </c>
      <c r="S4" s="126" t="s">
        <v>374</v>
      </c>
      <c r="T4" s="126" t="s">
        <v>725</v>
      </c>
    </row>
    <row r="5">
      <c r="A5" s="125" t="s">
        <v>910</v>
      </c>
      <c r="B5" s="125" t="s">
        <v>908</v>
      </c>
      <c r="S5" s="126" t="s">
        <v>431</v>
      </c>
      <c r="T5" s="127" t="s">
        <v>721</v>
      </c>
    </row>
    <row r="6">
      <c r="A6" s="125" t="s">
        <v>911</v>
      </c>
      <c r="B6" s="125" t="s">
        <v>908</v>
      </c>
      <c r="S6" s="126" t="s">
        <v>480</v>
      </c>
      <c r="T6" s="126" t="s">
        <v>600</v>
      </c>
    </row>
    <row r="7">
      <c r="A7" s="125" t="s">
        <v>912</v>
      </c>
      <c r="B7" s="126">
        <f>IFERROR(__xludf.DUMMYFUNCTION("countunique(Raw!AQ:AQ)-1"),18.0)</f>
        <v>18</v>
      </c>
      <c r="S7" s="126" t="s">
        <v>780</v>
      </c>
      <c r="T7" s="126" t="s">
        <v>243</v>
      </c>
    </row>
    <row r="8">
      <c r="A8" s="125" t="s">
        <v>913</v>
      </c>
      <c r="B8" s="128">
        <f>counta(Ores[Ore])</f>
        <v>39</v>
      </c>
      <c r="C8" s="125" t="s">
        <v>914</v>
      </c>
      <c r="S8" s="126" t="s">
        <v>796</v>
      </c>
      <c r="T8" s="126" t="s">
        <v>131</v>
      </c>
    </row>
    <row r="9">
      <c r="A9" s="125" t="s">
        <v>915</v>
      </c>
      <c r="B9" s="129" t="s">
        <v>908</v>
      </c>
      <c r="C9" s="125"/>
      <c r="D9" s="125" t="s">
        <v>916</v>
      </c>
      <c r="S9" s="126" t="s">
        <v>199</v>
      </c>
      <c r="T9" s="126" t="s">
        <v>383</v>
      </c>
    </row>
    <row r="10">
      <c r="A10" s="125" t="s">
        <v>917</v>
      </c>
      <c r="B10" s="126">
        <f>counta(Oxides[Oxide])</f>
        <v>5</v>
      </c>
      <c r="S10" s="126" t="s">
        <v>414</v>
      </c>
      <c r="T10" s="126" t="s">
        <v>200</v>
      </c>
    </row>
    <row r="11">
      <c r="A11" s="125" t="s">
        <v>918</v>
      </c>
      <c r="B11" s="125">
        <v>1.0</v>
      </c>
      <c r="S11" s="126" t="s">
        <v>323</v>
      </c>
      <c r="T11" s="126" t="s">
        <v>116</v>
      </c>
    </row>
    <row r="12">
      <c r="A12" s="125" t="s">
        <v>919</v>
      </c>
      <c r="B12" s="126">
        <f>IFERROR(__xludf.DUMMYFUNCTION("countunique(Raw!BO:BO)"),21.0)</f>
        <v>21</v>
      </c>
      <c r="S12" s="126" t="s">
        <v>211</v>
      </c>
      <c r="T12" s="126" t="s">
        <v>212</v>
      </c>
    </row>
    <row r="13">
      <c r="A13" s="125" t="s">
        <v>920</v>
      </c>
      <c r="B13" s="125" t="s">
        <v>226</v>
      </c>
      <c r="S13" s="126" t="s">
        <v>853</v>
      </c>
      <c r="T13" s="130"/>
    </row>
    <row r="14">
      <c r="A14" s="125" t="s">
        <v>79</v>
      </c>
      <c r="B14" s="126">
        <f>IFERROR(__xludf.DUMMYFUNCTION("countunique(Raw!CB:CB)"),14.0)</f>
        <v>14</v>
      </c>
      <c r="S14" s="126" t="s">
        <v>226</v>
      </c>
    </row>
    <row r="15">
      <c r="A15" s="125" t="s">
        <v>921</v>
      </c>
      <c r="B15" s="125" t="s">
        <v>226</v>
      </c>
      <c r="D15" s="125" t="s">
        <v>922</v>
      </c>
      <c r="S15" s="126" t="s">
        <v>769</v>
      </c>
    </row>
    <row r="16">
      <c r="A16" s="125" t="s">
        <v>923</v>
      </c>
      <c r="S16" s="126" t="s">
        <v>454</v>
      </c>
    </row>
    <row r="17">
      <c r="A17" s="125" t="s">
        <v>924</v>
      </c>
      <c r="S17" s="126" t="s">
        <v>499</v>
      </c>
    </row>
    <row r="18">
      <c r="A18" s="125" t="s">
        <v>925</v>
      </c>
      <c r="S18" s="126" t="s">
        <v>117</v>
      </c>
    </row>
    <row r="19">
      <c r="A19" s="125" t="s">
        <v>926</v>
      </c>
      <c r="S19" s="126" t="s">
        <v>316</v>
      </c>
    </row>
    <row r="20">
      <c r="A20" s="125" t="s">
        <v>927</v>
      </c>
      <c r="S20" s="126" t="s">
        <v>118</v>
      </c>
    </row>
    <row r="21">
      <c r="A21" s="125" t="s">
        <v>928</v>
      </c>
      <c r="S21" s="126" t="s">
        <v>142</v>
      </c>
    </row>
    <row r="22">
      <c r="A22" s="125" t="s">
        <v>929</v>
      </c>
      <c r="S22" s="126" t="s">
        <v>361</v>
      </c>
    </row>
    <row r="23">
      <c r="A23" s="125" t="s">
        <v>930</v>
      </c>
      <c r="S23" s="126" t="s">
        <v>187</v>
      </c>
    </row>
    <row r="24">
      <c r="S24" s="126" t="s">
        <v>130</v>
      </c>
    </row>
    <row r="25">
      <c r="S25" s="126" t="s">
        <v>158</v>
      </c>
    </row>
    <row r="26">
      <c r="B26" s="131"/>
      <c r="C26" s="132" t="s">
        <v>931</v>
      </c>
      <c r="D26" s="133"/>
      <c r="E26" s="133"/>
      <c r="F26" s="134"/>
      <c r="S26" s="126" t="s">
        <v>828</v>
      </c>
    </row>
    <row r="27">
      <c r="B27" s="135" t="s">
        <v>932</v>
      </c>
      <c r="C27" s="136" t="s">
        <v>933</v>
      </c>
      <c r="D27" s="136" t="s">
        <v>934</v>
      </c>
      <c r="E27" s="136" t="s">
        <v>935</v>
      </c>
      <c r="F27" s="136" t="s">
        <v>936</v>
      </c>
      <c r="S27" s="126" t="s">
        <v>242</v>
      </c>
    </row>
    <row r="28">
      <c r="B28" s="137" t="s">
        <v>937</v>
      </c>
      <c r="C28" s="131">
        <f>COUNTIF(Calcs!AC:AC,"&gt;0")</f>
        <v>62</v>
      </c>
      <c r="D28" s="131">
        <f>COUNTIF(Calcs!AD:AD,"&gt;0")</f>
        <v>4</v>
      </c>
      <c r="E28" s="138">
        <f>COUNTIF(Calcs!AE:AE,"&gt;0")</f>
        <v>12</v>
      </c>
      <c r="F28" s="131">
        <f>COUNTIF(Calcs!AF:AF,"&gt;0")</f>
        <v>6</v>
      </c>
      <c r="S28" s="126" t="s">
        <v>216</v>
      </c>
    </row>
    <row r="29">
      <c r="B29" s="137" t="s">
        <v>938</v>
      </c>
      <c r="C29" s="139">
        <f>averageif(Calcs!AC:AC,"&gt;0")</f>
        <v>0.2073853337</v>
      </c>
      <c r="D29" s="139">
        <f>averageif(Calcs!AD:AD,"&gt;0")</f>
        <v>0.2834577137</v>
      </c>
      <c r="E29" s="139">
        <f>averageif(Calcs!AE:AE,"&gt;0")</f>
        <v>0.2161915073</v>
      </c>
      <c r="F29" s="139">
        <f>averageif(Calcs!AF:AF,"&gt;0")</f>
        <v>0.2876780772</v>
      </c>
      <c r="S29" s="126" t="s">
        <v>529</v>
      </c>
    </row>
    <row r="30">
      <c r="B30" s="137" t="s">
        <v>939</v>
      </c>
      <c r="C30" s="131"/>
      <c r="D30" s="140">
        <f t="shared" ref="D30:F30" si="1">(D29-$C29)/$C29</f>
        <v>0.3668165853</v>
      </c>
      <c r="E30" s="139">
        <f t="shared" si="1"/>
        <v>0.042462856</v>
      </c>
      <c r="F30" s="140">
        <f t="shared" si="1"/>
        <v>0.3871669328</v>
      </c>
      <c r="S30" s="126" t="s">
        <v>627</v>
      </c>
    </row>
    <row r="31">
      <c r="B31" s="137" t="s">
        <v>940</v>
      </c>
      <c r="C31" s="131"/>
      <c r="D31" s="131"/>
      <c r="E31" s="141">
        <f>average(Calcs!AG:AG)</f>
        <v>3.05</v>
      </c>
      <c r="F31" s="141">
        <f>average(Calcs!AM:AM)</f>
        <v>3.416666667</v>
      </c>
      <c r="S31" s="126" t="s">
        <v>406</v>
      </c>
    </row>
    <row r="32">
      <c r="B32" s="137" t="s">
        <v>941</v>
      </c>
      <c r="C32" s="131"/>
      <c r="D32" s="131">
        <f>average(Calcs!AL:AL)</f>
        <v>3.6</v>
      </c>
      <c r="E32" s="131"/>
      <c r="F32" s="142">
        <f>average(Calcs!AN:AN)</f>
        <v>5.166666667</v>
      </c>
      <c r="S32" s="126" t="s">
        <v>174</v>
      </c>
    </row>
    <row r="33">
      <c r="B33" s="137" t="s">
        <v>942</v>
      </c>
      <c r="C33" s="139">
        <f>average(Calcs!AH:AH)</f>
        <v>0.5640537793</v>
      </c>
      <c r="D33" s="139">
        <f>average(Calcs!AI:AI)</f>
        <v>0.5499666139</v>
      </c>
      <c r="E33" s="139">
        <f>average(Calcs!AJ:AJ)</f>
        <v>0.5552476772</v>
      </c>
      <c r="F33" s="139">
        <f>average(Calcs!AK:AK)</f>
        <v>0.5554194028</v>
      </c>
      <c r="S33" s="126" t="s">
        <v>469</v>
      </c>
    </row>
    <row r="34">
      <c r="S34" s="126" t="s">
        <v>841</v>
      </c>
    </row>
    <row r="35">
      <c r="C35" s="143"/>
      <c r="D35" s="143" t="s">
        <v>943</v>
      </c>
      <c r="E35" s="143"/>
      <c r="S35" s="126" t="s">
        <v>463</v>
      </c>
    </row>
    <row r="36">
      <c r="B36" s="144" t="s">
        <v>944</v>
      </c>
      <c r="C36" s="145">
        <f>sum(Calcs!Q:Q)</f>
        <v>35262</v>
      </c>
      <c r="D36" s="126">
        <f>C36/Fun!B$1</f>
        <v>349.1287129</v>
      </c>
      <c r="S36" s="126" t="s">
        <v>837</v>
      </c>
    </row>
    <row r="37">
      <c r="B37" s="144" t="s">
        <v>945</v>
      </c>
      <c r="C37" s="145">
        <f t="shared" ref="C37:D37" si="2">int(C36/(60*24))</f>
        <v>24</v>
      </c>
      <c r="D37" s="145">
        <f t="shared" si="2"/>
        <v>0</v>
      </c>
      <c r="S37" s="126" t="s">
        <v>234</v>
      </c>
    </row>
    <row r="38">
      <c r="B38" s="144" t="s">
        <v>946</v>
      </c>
      <c r="C38" s="145">
        <f t="shared" ref="C38:D38" si="3">int(C36/60)</f>
        <v>587</v>
      </c>
      <c r="D38" s="145">
        <f t="shared" si="3"/>
        <v>5</v>
      </c>
    </row>
    <row r="39">
      <c r="B39" s="144" t="s">
        <v>947</v>
      </c>
      <c r="C39" s="145">
        <f t="shared" ref="C39:D39" si="4">C38-C37*24</f>
        <v>11</v>
      </c>
      <c r="D39" s="145">
        <f t="shared" si="4"/>
        <v>5</v>
      </c>
    </row>
    <row r="40">
      <c r="B40" s="144" t="s">
        <v>948</v>
      </c>
      <c r="C40" s="145">
        <f t="shared" ref="C40:D40" si="5">mod(C36,60)</f>
        <v>42</v>
      </c>
      <c r="D40" s="145">
        <f t="shared" si="5"/>
        <v>49.12871287</v>
      </c>
    </row>
    <row r="41">
      <c r="B41" s="145"/>
      <c r="C41" s="145"/>
    </row>
    <row r="42">
      <c r="B42" s="145"/>
      <c r="C42" s="145"/>
    </row>
    <row r="43">
      <c r="B43" s="144" t="s">
        <v>949</v>
      </c>
      <c r="C43" s="145">
        <f>sum(Calcs!R:R)</f>
        <v>22795</v>
      </c>
      <c r="D43" s="126">
        <f>C43/Fun!B$1</f>
        <v>225.6930693</v>
      </c>
    </row>
    <row r="44">
      <c r="B44" s="144" t="s">
        <v>950</v>
      </c>
      <c r="C44" s="145">
        <f t="shared" ref="C44:D44" si="6">int(C43/(60*24))</f>
        <v>15</v>
      </c>
      <c r="D44" s="145">
        <f t="shared" si="6"/>
        <v>0</v>
      </c>
    </row>
    <row r="45">
      <c r="B45" s="144" t="s">
        <v>951</v>
      </c>
      <c r="C45" s="145">
        <f t="shared" ref="C45:D45" si="7">int(C43/60)</f>
        <v>379</v>
      </c>
      <c r="D45" s="145">
        <f t="shared" si="7"/>
        <v>3</v>
      </c>
    </row>
    <row r="46">
      <c r="B46" s="144" t="s">
        <v>952</v>
      </c>
      <c r="C46" s="145">
        <f t="shared" ref="C46:D46" si="8">C45-C44*24</f>
        <v>19</v>
      </c>
      <c r="D46" s="145">
        <f t="shared" si="8"/>
        <v>3</v>
      </c>
    </row>
    <row r="47">
      <c r="B47" s="144" t="s">
        <v>953</v>
      </c>
      <c r="C47" s="145">
        <f t="shared" ref="C47:D47" si="9">mod(C43,60)</f>
        <v>55</v>
      </c>
      <c r="D47" s="145">
        <f t="shared" si="9"/>
        <v>45.69306931</v>
      </c>
    </row>
  </sheetData>
  <mergeCells count="1">
    <mergeCell ref="C26:F26"/>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4.43" defaultRowHeight="15.0"/>
  <cols>
    <col customWidth="1" min="1" max="1" width="13.86"/>
    <col customWidth="1" min="2" max="2" width="15.43"/>
    <col customWidth="1" min="3" max="3" width="16.0"/>
    <col customWidth="1" min="4" max="4" width="13.14"/>
    <col customWidth="1" min="6" max="6" width="16.14"/>
    <col customWidth="1" min="7" max="7" width="14.14"/>
    <col customWidth="1" min="8" max="8" width="12.29"/>
    <col customWidth="1" min="9" max="9" width="12.14"/>
    <col customWidth="1" min="10" max="10" width="13.0"/>
    <col customWidth="1" min="11" max="11" width="10.43"/>
    <col customWidth="1" min="12" max="13" width="7.71"/>
    <col customWidth="1" min="14" max="14" width="29.0"/>
    <col customWidth="1" min="15" max="16" width="12.29"/>
    <col customWidth="1" min="17" max="17" width="13.86"/>
    <col customWidth="1" min="18" max="18" width="14.43"/>
    <col customWidth="1" min="19" max="19" width="12.0"/>
    <col customWidth="1" min="20" max="20" width="10.0"/>
    <col customWidth="1" min="28" max="28" width="9.14"/>
    <col customWidth="1" min="29" max="29" width="9.86"/>
  </cols>
  <sheetData>
    <row r="1">
      <c r="A1" s="146"/>
      <c r="B1" s="146"/>
      <c r="C1" s="146"/>
      <c r="D1" s="146"/>
      <c r="F1" s="146"/>
      <c r="G1" s="146"/>
      <c r="I1" s="143" t="s">
        <v>954</v>
      </c>
      <c r="J1" s="147">
        <v>0.7</v>
      </c>
      <c r="N1" s="146"/>
      <c r="O1" s="148"/>
      <c r="P1" s="148"/>
      <c r="Q1" s="148"/>
      <c r="R1" s="148"/>
      <c r="S1" s="148"/>
      <c r="T1" s="146"/>
      <c r="U1" s="146"/>
      <c r="V1" s="146"/>
      <c r="W1" s="149"/>
    </row>
    <row r="2" ht="22.5" customHeight="1">
      <c r="A2" s="150" t="s">
        <v>955</v>
      </c>
      <c r="B2" s="150" t="s">
        <v>956</v>
      </c>
      <c r="C2" s="150" t="s">
        <v>957</v>
      </c>
      <c r="D2" s="150" t="s">
        <v>60</v>
      </c>
      <c r="F2" s="150" t="s">
        <v>958</v>
      </c>
      <c r="G2" s="150" t="s">
        <v>959</v>
      </c>
      <c r="N2" s="150" t="s">
        <v>960</v>
      </c>
      <c r="O2" s="151" t="s">
        <v>961</v>
      </c>
      <c r="P2" s="151" t="s">
        <v>962</v>
      </c>
      <c r="Q2" s="151" t="s">
        <v>963</v>
      </c>
      <c r="R2" s="151" t="s">
        <v>964</v>
      </c>
      <c r="S2" s="151" t="s">
        <v>965</v>
      </c>
      <c r="T2" s="151" t="s">
        <v>966</v>
      </c>
      <c r="U2" s="151" t="s">
        <v>967</v>
      </c>
      <c r="V2" s="150" t="s">
        <v>955</v>
      </c>
      <c r="W2" s="150" t="s">
        <v>968</v>
      </c>
      <c r="X2" s="150" t="s">
        <v>969</v>
      </c>
      <c r="Y2" s="152" t="s">
        <v>970</v>
      </c>
      <c r="Z2" s="152" t="s">
        <v>971</v>
      </c>
    </row>
    <row r="3" ht="18.75" customHeight="1">
      <c r="A3" s="153" t="s">
        <v>972</v>
      </c>
      <c r="B3" s="154">
        <f>C3+3*VLOOKUP("O",Element_Mass[],2,FALSE)</f>
        <v>159.687</v>
      </c>
      <c r="C3" s="154">
        <f>2*VLOOKUP("Fe",Element_Mass[],2,FALSE)</f>
        <v>111.69</v>
      </c>
      <c r="D3" s="155">
        <f t="shared" ref="D3:D7" si="1">C3/B3</f>
        <v>0.6994307614</v>
      </c>
      <c r="F3" s="153" t="s">
        <v>973</v>
      </c>
      <c r="G3" s="156">
        <v>55.845</v>
      </c>
      <c r="N3" s="157" t="s">
        <v>124</v>
      </c>
      <c r="O3" s="158">
        <f>1.24*Z3</f>
        <v>1.250252067</v>
      </c>
      <c r="P3" s="158">
        <f>0.05*Z3</f>
        <v>0.0504133898</v>
      </c>
      <c r="Q3" s="158">
        <f>2.45*Z3</f>
        <v>2.4702561</v>
      </c>
      <c r="R3" s="158">
        <f>5.33*Z3</f>
        <v>5.374067352</v>
      </c>
      <c r="S3" s="158">
        <f>0.48*Z3</f>
        <v>0.483968542</v>
      </c>
      <c r="T3" s="153"/>
      <c r="U3" s="158">
        <f>0.08*Z3</f>
        <v>0.08066142367</v>
      </c>
      <c r="V3" s="153" t="s">
        <v>972</v>
      </c>
      <c r="W3" s="159">
        <f>0.895*Z3</f>
        <v>0.9023996774</v>
      </c>
      <c r="X3" s="160">
        <f>W3*VLOOKUP(V3,Oxides[],4,FALSE)</f>
        <v>0.6311660934</v>
      </c>
      <c r="Y3" s="157" t="s">
        <v>396</v>
      </c>
      <c r="Z3" s="161">
        <f>100/99.18</f>
        <v>1.008267796</v>
      </c>
    </row>
    <row r="4" ht="18.0" customHeight="1">
      <c r="A4" s="153" t="s">
        <v>974</v>
      </c>
      <c r="B4" s="154">
        <f>C4+4*VLOOKUP("O",Element_Mass[],2,FALSE)</f>
        <v>231.531</v>
      </c>
      <c r="C4" s="154">
        <f>3*VLOOKUP("Fe",Element_Mass[],2,FALSE)</f>
        <v>167.535</v>
      </c>
      <c r="D4" s="155">
        <f t="shared" si="1"/>
        <v>0.7235964083</v>
      </c>
      <c r="F4" s="153" t="s">
        <v>975</v>
      </c>
      <c r="G4" s="156">
        <v>15.999</v>
      </c>
      <c r="N4" s="157" t="s">
        <v>976</v>
      </c>
      <c r="O4" s="158">
        <f>2.24*Z4</f>
        <v>2.941176471</v>
      </c>
      <c r="P4" s="158">
        <f>0.08*Z4</f>
        <v>0.1050420168</v>
      </c>
      <c r="Q4" s="158">
        <f>3.35*Z4</f>
        <v>4.398634454</v>
      </c>
      <c r="R4" s="158">
        <f>0.62*Z4</f>
        <v>0.8140756303</v>
      </c>
      <c r="S4" s="158">
        <f>0.69*Z4</f>
        <v>0.905987395</v>
      </c>
      <c r="T4" s="153">
        <v>0.0</v>
      </c>
      <c r="U4" s="158">
        <f>0.12*Z4</f>
        <v>0.1575630252</v>
      </c>
      <c r="V4" s="153" t="s">
        <v>977</v>
      </c>
      <c r="W4" s="159"/>
      <c r="X4" s="160">
        <f>0.6653*VLOOKUP("Fe2O3",Oxides[],4,FALSE)+0.0249*VLOOKUP("FeO",Oxides[],4,FALSE)</f>
        <v>0.4846862839</v>
      </c>
      <c r="Y4" s="153" t="s">
        <v>978</v>
      </c>
      <c r="Z4" s="161">
        <f>100/76.16</f>
        <v>1.31302521</v>
      </c>
    </row>
    <row r="5" ht="18.75" customHeight="1">
      <c r="A5" s="153" t="s">
        <v>979</v>
      </c>
      <c r="B5" s="154">
        <f>C5+VLOOKUP("O",Element_Mass[],2,FALSE)</f>
        <v>71.844</v>
      </c>
      <c r="C5" s="154">
        <f>VLOOKUP("Fe",Element_Mass[],2,FALSE)</f>
        <v>55.845</v>
      </c>
      <c r="D5" s="155">
        <f t="shared" si="1"/>
        <v>0.7773091699</v>
      </c>
      <c r="F5" s="153" t="s">
        <v>980</v>
      </c>
      <c r="G5" s="156">
        <v>28.0855</v>
      </c>
      <c r="N5" s="153" t="s">
        <v>403</v>
      </c>
      <c r="O5" s="158">
        <v>15.2</v>
      </c>
      <c r="P5" s="158"/>
      <c r="Q5" s="158">
        <v>1.0</v>
      </c>
      <c r="R5" s="158">
        <v>0.2</v>
      </c>
      <c r="S5" s="158"/>
      <c r="T5" s="153"/>
      <c r="U5" s="158"/>
      <c r="V5" s="153" t="s">
        <v>972</v>
      </c>
      <c r="W5" s="159">
        <v>0.795</v>
      </c>
      <c r="X5" s="160">
        <f>W5*VLOOKUP(V5,Oxides[],4,FALSE)</f>
        <v>0.5560474553</v>
      </c>
      <c r="Y5" s="162"/>
      <c r="Z5" s="162"/>
    </row>
    <row r="6" ht="18.75" customHeight="1">
      <c r="A6" s="153" t="s">
        <v>981</v>
      </c>
      <c r="B6" s="154">
        <f>C6+2*VLOOKUP("O",Element_Mass[],2,FALSE)+VLOOKUP("H",Element_Mass[],2,FALSE)</f>
        <v>88.85084</v>
      </c>
      <c r="C6" s="154">
        <f>VLOOKUP("Fe",Element_Mass[],2,FALSE)</f>
        <v>55.845</v>
      </c>
      <c r="D6" s="155">
        <f t="shared" si="1"/>
        <v>0.6285252903</v>
      </c>
      <c r="F6" s="153" t="s">
        <v>982</v>
      </c>
      <c r="G6" s="156">
        <v>54.938</v>
      </c>
      <c r="N6" s="153" t="s">
        <v>418</v>
      </c>
      <c r="O6" s="158">
        <v>31.8</v>
      </c>
      <c r="P6" s="158"/>
      <c r="Q6" s="158">
        <v>2.4</v>
      </c>
      <c r="R6" s="158">
        <v>0.6</v>
      </c>
      <c r="S6" s="163"/>
      <c r="T6" s="162"/>
      <c r="U6" s="163"/>
      <c r="V6" s="162"/>
      <c r="W6" s="155"/>
      <c r="X6" s="160" t="str">
        <f>if(ISBLANK(W6),"NR",W6*VLOOKUP(V6,Oxides[],4,FALSE))</f>
        <v>NR</v>
      </c>
      <c r="Y6" s="162"/>
      <c r="Z6" s="162"/>
    </row>
    <row r="7" ht="22.5" customHeight="1">
      <c r="A7" s="153" t="s">
        <v>622</v>
      </c>
      <c r="B7" s="154">
        <f>C7+24*VLOOKUP("Al",Big_Element[],2,FALSE)+4*VLOOKUP("Si",Element_Mass[],2,FALSE)+43*VLOOKUP("O",Element_Mass[],2,FALSE)+2*(VLOOKUP("H",Element_Mass[],2,FALSE)+VLOOKUP("O",Element_Mass[],2,FALSE))</f>
        <v>2822.149604</v>
      </c>
      <c r="C7" s="154">
        <f>24*VLOOKUP("Fe",Element_Mass[],2,FALSE)</f>
        <v>1340.28</v>
      </c>
      <c r="D7" s="155">
        <f t="shared" si="1"/>
        <v>0.4749145822</v>
      </c>
      <c r="E7" s="125"/>
      <c r="F7" s="153" t="s">
        <v>983</v>
      </c>
      <c r="G7" s="156">
        <v>1.00784</v>
      </c>
      <c r="N7" s="153" t="s">
        <v>677</v>
      </c>
      <c r="O7" s="163"/>
      <c r="P7" s="163"/>
      <c r="Q7" s="163"/>
      <c r="R7" s="163"/>
      <c r="S7" s="163"/>
      <c r="T7" s="162"/>
      <c r="U7" s="163"/>
      <c r="V7" s="162"/>
      <c r="W7" s="155"/>
      <c r="X7" s="160" t="str">
        <f>if(ISBLANK(W7),"NR",W7*VLOOKUP(V7,Oxides[],4,FALSE))</f>
        <v>NR</v>
      </c>
      <c r="Y7" s="162"/>
      <c r="Z7" s="162"/>
    </row>
    <row r="8" ht="22.5" customHeight="1">
      <c r="N8" s="153" t="s">
        <v>155</v>
      </c>
      <c r="O8" s="158">
        <v>8.73</v>
      </c>
      <c r="P8" s="158"/>
      <c r="Q8" s="158">
        <v>2.04</v>
      </c>
      <c r="R8" s="158">
        <v>0.4</v>
      </c>
      <c r="S8" s="158"/>
      <c r="T8" s="153"/>
      <c r="U8" s="158">
        <v>4.02</v>
      </c>
      <c r="V8" s="153" t="s">
        <v>981</v>
      </c>
      <c r="W8" s="159">
        <v>0.864</v>
      </c>
      <c r="X8" s="164">
        <v>0.58</v>
      </c>
      <c r="Y8" s="157" t="s">
        <v>984</v>
      </c>
      <c r="Z8" s="161"/>
    </row>
    <row r="9" ht="22.5" customHeight="1">
      <c r="A9" s="150" t="s">
        <v>970</v>
      </c>
      <c r="B9" s="150" t="s">
        <v>955</v>
      </c>
      <c r="C9" s="150" t="s">
        <v>985</v>
      </c>
      <c r="D9" s="150" t="s">
        <v>60</v>
      </c>
      <c r="E9" s="152" t="s">
        <v>986</v>
      </c>
      <c r="F9" s="152" t="s">
        <v>962</v>
      </c>
      <c r="G9" s="152" t="s">
        <v>963</v>
      </c>
      <c r="H9" s="152" t="s">
        <v>987</v>
      </c>
      <c r="I9" s="152" t="s">
        <v>988</v>
      </c>
      <c r="J9" s="152" t="s">
        <v>70</v>
      </c>
      <c r="K9" s="152" t="s">
        <v>967</v>
      </c>
      <c r="N9" s="153" t="s">
        <v>295</v>
      </c>
      <c r="O9" s="158">
        <v>15.01</v>
      </c>
      <c r="P9" s="158">
        <v>0.33</v>
      </c>
      <c r="Q9" s="158">
        <v>4.93</v>
      </c>
      <c r="R9" s="158">
        <v>3.87</v>
      </c>
      <c r="S9" s="158">
        <v>0.09</v>
      </c>
      <c r="T9" s="153">
        <v>0.0</v>
      </c>
      <c r="U9" s="158">
        <v>2.35</v>
      </c>
      <c r="V9" s="153" t="s">
        <v>972</v>
      </c>
      <c r="W9" s="159">
        <v>0.6484</v>
      </c>
      <c r="X9" s="160">
        <f>W9*VLOOKUP(V9,Oxides[],4,FALSE)</f>
        <v>0.4535109057</v>
      </c>
      <c r="Y9" s="153" t="s">
        <v>978</v>
      </c>
      <c r="Z9" s="153">
        <v>1.0</v>
      </c>
    </row>
    <row r="10" ht="22.5" customHeight="1">
      <c r="A10" s="153" t="s">
        <v>989</v>
      </c>
      <c r="B10" s="153" t="s">
        <v>972</v>
      </c>
      <c r="C10" s="165">
        <f>0.81*100/93</f>
        <v>0.8709677419</v>
      </c>
      <c r="D10" s="159">
        <f>C10*VLOOKUP(B10,Oxides[],4,FALSE)</f>
        <v>0.6091816309</v>
      </c>
      <c r="E10" s="166">
        <f>5*100/93</f>
        <v>5.376344086</v>
      </c>
      <c r="F10" s="166">
        <f>2*100/93</f>
        <v>2.150537634</v>
      </c>
      <c r="G10" s="166">
        <f>2.6*100/93</f>
        <v>2.795698925</v>
      </c>
      <c r="H10" s="166">
        <v>0.0</v>
      </c>
      <c r="I10" s="166">
        <f>2.3*100/93</f>
        <v>2.47311828</v>
      </c>
      <c r="J10" s="153">
        <v>0.0</v>
      </c>
      <c r="K10" s="153">
        <v>0.0</v>
      </c>
      <c r="L10" s="167"/>
      <c r="M10" s="167"/>
      <c r="N10" s="153" t="s">
        <v>622</v>
      </c>
      <c r="O10" s="158">
        <v>53.47</v>
      </c>
      <c r="P10" s="158">
        <v>0.05</v>
      </c>
      <c r="Q10" s="158">
        <v>1.03</v>
      </c>
      <c r="R10" s="158">
        <v>0.052</v>
      </c>
      <c r="S10" s="158">
        <v>0.061</v>
      </c>
      <c r="T10" s="153">
        <v>0.0152</v>
      </c>
      <c r="U10" s="158">
        <v>1.258</v>
      </c>
      <c r="V10" s="153" t="s">
        <v>972</v>
      </c>
      <c r="W10" s="159">
        <v>0.3616</v>
      </c>
      <c r="X10" s="160">
        <f>W10*VLOOKUP(V10,Oxides[],4,FALSE)</f>
        <v>0.2529141633</v>
      </c>
      <c r="Y10" s="153" t="s">
        <v>978</v>
      </c>
      <c r="Z10" s="162"/>
    </row>
    <row r="11" ht="22.5" customHeight="1">
      <c r="A11" s="153" t="s">
        <v>990</v>
      </c>
      <c r="B11" s="153" t="s">
        <v>974</v>
      </c>
      <c r="C11" s="165">
        <v>0.93</v>
      </c>
      <c r="D11" s="159">
        <f>C11*VLOOKUP(B11,Oxides[],4,FALSE)</f>
        <v>0.6729446597</v>
      </c>
      <c r="E11" s="166">
        <v>3.5</v>
      </c>
      <c r="F11" s="166"/>
      <c r="G11" s="166">
        <v>3.5</v>
      </c>
      <c r="H11" s="166"/>
      <c r="I11" s="166"/>
      <c r="J11" s="161"/>
      <c r="K11" s="161"/>
      <c r="L11" s="167"/>
      <c r="M11" s="167"/>
      <c r="N11" s="153" t="s">
        <v>688</v>
      </c>
      <c r="O11" s="163"/>
      <c r="P11" s="163"/>
      <c r="Q11" s="163"/>
      <c r="R11" s="163"/>
      <c r="S11" s="163"/>
      <c r="T11" s="162"/>
      <c r="U11" s="163"/>
      <c r="V11" s="162"/>
      <c r="W11" s="155"/>
      <c r="X11" s="160" t="str">
        <f>if(ISBLANK(W11),"NR",W11*VLOOKUP(V11,Oxides[],4,FALSE))</f>
        <v>NR</v>
      </c>
      <c r="Y11" s="162"/>
      <c r="Z11" s="162"/>
    </row>
    <row r="12" ht="22.5" customHeight="1">
      <c r="A12" s="153" t="s">
        <v>991</v>
      </c>
      <c r="B12" s="153" t="s">
        <v>992</v>
      </c>
      <c r="C12" s="153" t="s">
        <v>117</v>
      </c>
      <c r="D12" s="159">
        <v>0.6838</v>
      </c>
      <c r="E12" s="166"/>
      <c r="F12" s="166"/>
      <c r="G12" s="166"/>
      <c r="H12" s="166"/>
      <c r="I12" s="166"/>
      <c r="J12" s="161"/>
      <c r="K12" s="161"/>
      <c r="L12" s="167"/>
      <c r="M12" s="167"/>
      <c r="N12" s="153" t="s">
        <v>438</v>
      </c>
      <c r="O12" s="158">
        <v>2.47</v>
      </c>
      <c r="P12" s="158">
        <v>0.005</v>
      </c>
      <c r="Q12" s="158">
        <v>1.32</v>
      </c>
      <c r="R12" s="158">
        <v>0.443</v>
      </c>
      <c r="S12" s="158">
        <v>0.061</v>
      </c>
      <c r="T12" s="153">
        <v>0.0089</v>
      </c>
      <c r="U12" s="158">
        <v>2.873</v>
      </c>
      <c r="V12" s="153" t="s">
        <v>972</v>
      </c>
      <c r="W12" s="159">
        <v>0.7476</v>
      </c>
      <c r="X12" s="160">
        <f>W12*VLOOKUP(V12,Oxides[],4,FALSE)</f>
        <v>0.5228944372</v>
      </c>
      <c r="Y12" s="153" t="s">
        <v>978</v>
      </c>
      <c r="Z12" s="162"/>
    </row>
    <row r="13" ht="22.5" customHeight="1">
      <c r="N13" s="168" t="s">
        <v>225</v>
      </c>
      <c r="O13" s="158">
        <v>4.87</v>
      </c>
      <c r="P13" s="158">
        <v>0.36</v>
      </c>
      <c r="Q13" s="158">
        <v>0.22</v>
      </c>
      <c r="R13" s="158">
        <v>0.19</v>
      </c>
      <c r="S13" s="158"/>
      <c r="T13" s="153"/>
      <c r="U13" s="158"/>
      <c r="V13" s="153" t="s">
        <v>972</v>
      </c>
      <c r="W13" s="159">
        <v>0.935</v>
      </c>
      <c r="X13" s="160">
        <f>W13*VLOOKUP(V13,Oxides[],4,FALSE)</f>
        <v>0.6539677619</v>
      </c>
      <c r="Y13" s="157" t="s">
        <v>993</v>
      </c>
      <c r="Z13" s="161"/>
    </row>
    <row r="14" ht="22.5" customHeight="1">
      <c r="N14" s="153" t="s">
        <v>271</v>
      </c>
      <c r="O14" s="158">
        <v>4.87</v>
      </c>
      <c r="P14" s="158">
        <v>0.36</v>
      </c>
      <c r="Q14" s="158">
        <v>0.22</v>
      </c>
      <c r="R14" s="158">
        <v>0.19</v>
      </c>
      <c r="S14" s="163"/>
      <c r="T14" s="162"/>
      <c r="U14" s="163"/>
      <c r="V14" s="153" t="s">
        <v>972</v>
      </c>
      <c r="W14" s="159">
        <v>0.935</v>
      </c>
      <c r="X14" s="160">
        <f>W14*VLOOKUP(V14,Oxides[],4,FALSE)</f>
        <v>0.6539677619</v>
      </c>
      <c r="Y14" s="153" t="s">
        <v>994</v>
      </c>
      <c r="Z14" s="161"/>
    </row>
    <row r="15" ht="22.5" customHeight="1">
      <c r="A15" s="146"/>
      <c r="B15" s="146"/>
      <c r="C15" s="146"/>
      <c r="D15" s="146"/>
      <c r="E15" s="146"/>
      <c r="F15" s="146"/>
      <c r="G15" s="146"/>
      <c r="H15" s="146"/>
      <c r="N15" s="153" t="s">
        <v>623</v>
      </c>
      <c r="O15" s="158">
        <v>4.87</v>
      </c>
      <c r="P15" s="158">
        <v>0.36</v>
      </c>
      <c r="Q15" s="158">
        <v>0.22</v>
      </c>
      <c r="R15" s="158">
        <v>0.19</v>
      </c>
      <c r="S15" s="158"/>
      <c r="T15" s="153"/>
      <c r="U15" s="158"/>
      <c r="V15" s="153" t="s">
        <v>972</v>
      </c>
      <c r="W15" s="159">
        <v>0.935</v>
      </c>
      <c r="X15" s="160">
        <f>W15*VLOOKUP(V15,Oxides[],4,FALSE)</f>
        <v>0.6539677619</v>
      </c>
      <c r="Y15" s="153" t="s">
        <v>994</v>
      </c>
      <c r="Z15" s="162"/>
    </row>
    <row r="16" ht="22.5" customHeight="1">
      <c r="A16" s="150" t="s">
        <v>995</v>
      </c>
      <c r="B16" s="150" t="s">
        <v>970</v>
      </c>
      <c r="C16" s="150" t="s">
        <v>996</v>
      </c>
      <c r="D16" s="150" t="s">
        <v>60</v>
      </c>
      <c r="E16" s="150" t="s">
        <v>961</v>
      </c>
      <c r="F16" s="150" t="s">
        <v>962</v>
      </c>
      <c r="G16" s="150" t="s">
        <v>963</v>
      </c>
      <c r="H16" s="150" t="s">
        <v>987</v>
      </c>
      <c r="I16" s="152" t="s">
        <v>988</v>
      </c>
      <c r="J16" s="152" t="s">
        <v>70</v>
      </c>
      <c r="K16" s="152" t="s">
        <v>967</v>
      </c>
      <c r="N16" s="168" t="s">
        <v>281</v>
      </c>
      <c r="O16" s="158">
        <v>0.0</v>
      </c>
      <c r="P16" s="158">
        <v>0.05</v>
      </c>
      <c r="Q16" s="158">
        <v>0.34</v>
      </c>
      <c r="R16" s="158"/>
      <c r="S16" s="158">
        <v>0.06</v>
      </c>
      <c r="T16" s="153"/>
      <c r="U16" s="158"/>
      <c r="V16" s="153" t="s">
        <v>972</v>
      </c>
      <c r="W16" s="159">
        <v>0.9818</v>
      </c>
      <c r="X16" s="160">
        <f>W16*VLOOKUP(V16,Oxides[],4,FALSE)</f>
        <v>0.6867011216</v>
      </c>
      <c r="Y16" s="153" t="s">
        <v>997</v>
      </c>
      <c r="Z16" s="161"/>
    </row>
    <row r="17" ht="22.5" customHeight="1">
      <c r="A17" s="169" t="s">
        <v>544</v>
      </c>
      <c r="B17" s="169" t="s">
        <v>989</v>
      </c>
      <c r="C17" s="170">
        <f>22.5/(22.5+2.5)</f>
        <v>0.9</v>
      </c>
      <c r="D17" s="155">
        <f>C17*(vlookup(B17,Sources[],4,FALSE))</f>
        <v>0.5482634678</v>
      </c>
      <c r="E17" s="163">
        <f>C17*VLOOKUP(B17,Sources[],5,FALSE)</f>
        <v>4.838709677</v>
      </c>
      <c r="F17" s="163">
        <f>C17*VLOOKUP(B17,Sources[],6,FALSE)</f>
        <v>1.935483871</v>
      </c>
      <c r="G17" s="163">
        <f>C17*VLOOKUP(B17,Sources[],7,FALSE)</f>
        <v>2.516129032</v>
      </c>
      <c r="H17" s="163">
        <f>C17*VLOOKUP(B17,Sources[],8,FALSE)</f>
        <v>0</v>
      </c>
      <c r="I17" s="163">
        <f>C17*VLOOKUP(B17,Sources[],9,FALSE)</f>
        <v>2.225806452</v>
      </c>
      <c r="J17" s="163">
        <f>C17*VLOOKUP(B17,Sources[],10,FALSE)</f>
        <v>0</v>
      </c>
      <c r="K17" s="163">
        <f>C17*VLOOKUP(B17,Sources[],11,FALSE)</f>
        <v>0</v>
      </c>
      <c r="N17" s="153" t="s">
        <v>851</v>
      </c>
      <c r="O17" s="158">
        <f>16.1*Z17</f>
        <v>16.1</v>
      </c>
      <c r="P17" s="158">
        <f>0.0967*Z17</f>
        <v>0.0967</v>
      </c>
      <c r="Q17" s="158">
        <f>25.5*Z17</f>
        <v>25.5</v>
      </c>
      <c r="R17" s="158">
        <f>0.328*Z17</f>
        <v>0.328</v>
      </c>
      <c r="S17" s="158">
        <f>0.795*Z17</f>
        <v>0.795</v>
      </c>
      <c r="T17" s="153">
        <f>0.0498*Z17</f>
        <v>0.0498</v>
      </c>
      <c r="U17" s="158">
        <f>0*Z17</f>
        <v>0</v>
      </c>
      <c r="V17" s="153" t="s">
        <v>972</v>
      </c>
      <c r="W17" s="159">
        <f>0.5*Z17</f>
        <v>0.5</v>
      </c>
      <c r="X17" s="160">
        <f>W17*VLOOKUP(V17,Oxides[],4,FALSE)</f>
        <v>0.3497153807</v>
      </c>
      <c r="Y17" s="153" t="s">
        <v>998</v>
      </c>
      <c r="Z17" s="153">
        <v>1.0</v>
      </c>
    </row>
    <row r="18" ht="22.5" customHeight="1">
      <c r="A18" s="168" t="s">
        <v>460</v>
      </c>
      <c r="B18" s="169" t="s">
        <v>990</v>
      </c>
      <c r="C18" s="170">
        <v>0.85</v>
      </c>
      <c r="D18" s="155">
        <f>C18*(vlookup(B18,Sources[],4,FALSE))</f>
        <v>0.5720029607</v>
      </c>
      <c r="E18" s="163">
        <f>5+C18*VLOOKUP(B18,Sources[],5,FALSE)</f>
        <v>7.975</v>
      </c>
      <c r="F18" s="163">
        <f>C18*VLOOKUP(B18,Sources[],6,FALSE)</f>
        <v>0</v>
      </c>
      <c r="G18" s="163">
        <f>C18*VLOOKUP(B18,Sources[],7,FALSE)</f>
        <v>2.975</v>
      </c>
      <c r="H18" s="163">
        <f>C18*VLOOKUP(B18,Sources[],8,FALSE)</f>
        <v>0</v>
      </c>
      <c r="I18" s="163">
        <f>C18*VLOOKUP(B18,Sources[],9,FALSE)</f>
        <v>0</v>
      </c>
      <c r="J18" s="163">
        <f>C18*VLOOKUP(B18,Sources[],10,FALSE)</f>
        <v>0</v>
      </c>
      <c r="K18" s="163">
        <f>C18*VLOOKUP(B18,Sources[],11,FALSE)</f>
        <v>0</v>
      </c>
      <c r="N18" s="153" t="s">
        <v>313</v>
      </c>
      <c r="O18" s="158">
        <f>25.67*Z18</f>
        <v>25.67</v>
      </c>
      <c r="P18" s="158">
        <f>0.88*Z18</f>
        <v>0.88</v>
      </c>
      <c r="Q18" s="158">
        <f>4.46*Z18</f>
        <v>4.46</v>
      </c>
      <c r="R18" s="158">
        <f>0.6*Z18</f>
        <v>0.6</v>
      </c>
      <c r="S18" s="158">
        <f>5.1*Z18</f>
        <v>5.1</v>
      </c>
      <c r="T18" s="153">
        <v>0.0</v>
      </c>
      <c r="U18" s="158">
        <f>0.1*Z18</f>
        <v>0.1</v>
      </c>
      <c r="V18" s="153" t="s">
        <v>972</v>
      </c>
      <c r="W18" s="159">
        <f>0.6087*Z18</f>
        <v>0.6087</v>
      </c>
      <c r="X18" s="160">
        <f>W18*VLOOKUP(V18,Oxides[],4,FALSE)</f>
        <v>0.4257435045</v>
      </c>
      <c r="Y18" s="153" t="s">
        <v>978</v>
      </c>
      <c r="Z18" s="153">
        <v>1.0</v>
      </c>
    </row>
    <row r="19" ht="22.5" customHeight="1">
      <c r="A19" s="153" t="s">
        <v>651</v>
      </c>
      <c r="B19" s="169" t="s">
        <v>544</v>
      </c>
      <c r="C19" s="170">
        <v>0.9</v>
      </c>
      <c r="D19" s="155">
        <f>C19*D$17+(1-C19)*vlookup("Scale",Sources[],4,FALSE)</f>
        <v>0.561817121</v>
      </c>
      <c r="E19" s="163">
        <f>$C19*VLOOKUP($B19,Analogs[],5,FALSE)+(1-$C19)*(vlookup("Scale",Sources[],5,FALSE))</f>
        <v>4.35483871</v>
      </c>
      <c r="F19" s="163">
        <f>$C19*VLOOKUP($B19,Analogs[],6,FALSE)+(1-$C19)*(vlookup("Scale",Sources[],6,FALSE))</f>
        <v>1.741935484</v>
      </c>
      <c r="G19" s="163">
        <f>$C19*VLOOKUP($B19,Analogs[],7,FALSE)+(1-$C19)*(vlookup("Scale",Sources[],7,FALSE))</f>
        <v>2.264516129</v>
      </c>
      <c r="H19" s="163">
        <f>$C19*VLOOKUP($B19,Analogs[],8,FALSE)+(1-$C19)*(vlookup("Scale",Sources[],8,FALSE))</f>
        <v>0</v>
      </c>
      <c r="I19" s="163">
        <f>$C19*VLOOKUP($B19,Numbers!$A$17:$K$29,9,FALSE)+(1-$C19)*(vlookup("Scale",Sources[],9,FALSE))</f>
        <v>2.003225806</v>
      </c>
      <c r="J19" s="163">
        <f>$C19*VLOOKUP($B19,Numbers!$A$17:$K$29,10,FALSE)+(1-$C19)*(vlookup("Scale",Sources[],10,FALSE))</f>
        <v>0</v>
      </c>
      <c r="K19" s="163">
        <f>$C19*VLOOKUP($B19,Numbers!$A$17:$K$29,11,FALSE)+(1-$C19)*(vlookup("Scale",Sources[],11,FALSE))</f>
        <v>0</v>
      </c>
      <c r="N19" s="153" t="s">
        <v>767</v>
      </c>
      <c r="O19" s="163"/>
      <c r="P19" s="163"/>
      <c r="Q19" s="163"/>
      <c r="R19" s="163"/>
      <c r="S19" s="163"/>
      <c r="T19" s="162"/>
      <c r="U19" s="163"/>
      <c r="V19" s="153"/>
      <c r="W19" s="159"/>
      <c r="X19" s="160" t="str">
        <f>if(ISBLANK(W19),"NR",W19*VLOOKUP(V19,Oxides[],4,FALSE))</f>
        <v>NR</v>
      </c>
      <c r="Y19" s="162"/>
      <c r="Z19" s="162"/>
    </row>
    <row r="20" ht="22.5" customHeight="1">
      <c r="A20" s="153" t="s">
        <v>779</v>
      </c>
      <c r="B20" s="169" t="s">
        <v>544</v>
      </c>
      <c r="C20" s="170">
        <v>0.82</v>
      </c>
      <c r="D20" s="155">
        <f>C20*D$17+(1-C20)*vlookup("Scale",Sources[],4,FALSE)</f>
        <v>0.5726600436</v>
      </c>
      <c r="E20" s="163">
        <f>$C20*VLOOKUP($B20,Analogs[],5,FALSE)+(1-$C20)*(vlookup("Scale",Sources[],5,FALSE))</f>
        <v>3.967741935</v>
      </c>
      <c r="F20" s="163">
        <f>$C20*VLOOKUP($B20,Analogs[],6,FALSE)+(1-$C20)*(vlookup("Scale",Sources[],6,FALSE))</f>
        <v>1.587096774</v>
      </c>
      <c r="G20" s="163">
        <f>$C20*VLOOKUP($B20,Analogs[],7,FALSE)+(1-$C20)*(vlookup("Scale",Sources[],7,FALSE))</f>
        <v>2.063225806</v>
      </c>
      <c r="H20" s="163">
        <f>$C20*VLOOKUP($B20,Analogs[],8,FALSE)+(1-$C20)*(vlookup("Scale",Sources[],8,FALSE))</f>
        <v>0</v>
      </c>
      <c r="I20" s="163">
        <f>$C20*VLOOKUP($B20,Numbers!$A$17:$K$29,9,FALSE)+(1-$C20)*(vlookup("Scale",Sources[],9,FALSE))</f>
        <v>1.82516129</v>
      </c>
      <c r="J20" s="163">
        <f>$C20*VLOOKUP($B20,Numbers!$A$17:$K$29,10,FALSE)+(1-$C20)*(vlookup("Scale",Sources[],10,FALSE))</f>
        <v>0</v>
      </c>
      <c r="K20" s="163">
        <f>$C20*VLOOKUP($B20,Numbers!$A$17:$K$29,11,FALSE)+(1-$C20)*(vlookup("Scale",Sources[],11,FALSE))</f>
        <v>0</v>
      </c>
      <c r="N20" s="153" t="s">
        <v>999</v>
      </c>
      <c r="O20" s="163"/>
      <c r="P20" s="163"/>
      <c r="Q20" s="163"/>
      <c r="R20" s="158"/>
      <c r="S20" s="158"/>
      <c r="T20" s="153"/>
      <c r="U20" s="158"/>
      <c r="V20" s="153" t="s">
        <v>1000</v>
      </c>
      <c r="W20" s="155"/>
      <c r="X20" s="160">
        <f>D12</f>
        <v>0.6838</v>
      </c>
      <c r="Y20" s="162"/>
      <c r="Z20" s="162"/>
    </row>
    <row r="21" ht="22.5" customHeight="1">
      <c r="A21" s="153" t="s">
        <v>802</v>
      </c>
      <c r="B21" s="169" t="s">
        <v>544</v>
      </c>
      <c r="C21" s="170">
        <v>0.84</v>
      </c>
      <c r="D21" s="155">
        <f>C21*D$17+(1-C21)*vlookup("Scale",Sources[],4,FALSE)</f>
        <v>0.569949313</v>
      </c>
      <c r="E21" s="163">
        <f>$C21*VLOOKUP($B21,Analogs[],5,FALSE)+(1-$C21)*(vlookup("Scale",Sources[],5,FALSE))</f>
        <v>4.064516129</v>
      </c>
      <c r="F21" s="163">
        <f>$C21*VLOOKUP($B21,Analogs[],6,FALSE)+(1-$C21)*(vlookup("Scale",Sources[],6,FALSE))</f>
        <v>1.625806452</v>
      </c>
      <c r="G21" s="163">
        <f>$C21*VLOOKUP($B21,Analogs[],7,FALSE)+(1-$C21)*(vlookup("Scale",Sources[],7,FALSE))</f>
        <v>2.113548387</v>
      </c>
      <c r="H21" s="163">
        <f>$C21*VLOOKUP($B21,Analogs[],8,FALSE)+(1-$C21)*(vlookup("Scale",Sources[],8,FALSE))</f>
        <v>0</v>
      </c>
      <c r="I21" s="163">
        <f>$C21*VLOOKUP($B21,Numbers!$A$17:$K$29,9,FALSE)+(1-$C21)*(vlookup("Scale",Sources[],9,FALSE))</f>
        <v>1.869677419</v>
      </c>
      <c r="J21" s="163">
        <f>$C21*VLOOKUP($B21,Numbers!$A$17:$K$29,10,FALSE)+(1-$C21)*(vlookup("Scale",Sources[],10,FALSE))</f>
        <v>0</v>
      </c>
      <c r="K21" s="163">
        <f>$C21*VLOOKUP($B21,Numbers!$A$17:$K$29,11,FALSE)+(1-$C21)*(vlookup("Scale",Sources[],11,FALSE))</f>
        <v>0</v>
      </c>
      <c r="N21" s="168" t="s">
        <v>413</v>
      </c>
      <c r="O21" s="163"/>
      <c r="P21" s="163"/>
      <c r="Q21" s="163"/>
      <c r="R21" s="163"/>
      <c r="S21" s="163"/>
      <c r="T21" s="162"/>
      <c r="U21" s="163"/>
      <c r="V21" s="162"/>
      <c r="W21" s="155"/>
      <c r="X21" s="160" t="str">
        <f>if(ISBLANK(W21),"NR",W21*VLOOKUP(V21,Oxides[],4,FALSE))</f>
        <v>NR</v>
      </c>
      <c r="Y21" s="162"/>
      <c r="Z21" s="162"/>
    </row>
    <row r="22" ht="22.5" customHeight="1">
      <c r="A22" s="169" t="s">
        <v>381</v>
      </c>
      <c r="B22" s="169" t="s">
        <v>989</v>
      </c>
      <c r="C22" s="170">
        <f>22.5/(22.5+2.5+2.5)</f>
        <v>0.8181818182</v>
      </c>
      <c r="D22" s="155">
        <f>C22*(vlookup(B22,Sources[],4,FALSE))</f>
        <v>0.4984213344</v>
      </c>
      <c r="E22" s="163">
        <f>(2.5*100/(22.5+2.5+2.5))+C22*VLOOKUP(B22,Sources[],5,FALSE)</f>
        <v>13.48973607</v>
      </c>
      <c r="F22" s="163">
        <f>C22*VLOOKUP(B22,Sources[],6,FALSE)</f>
        <v>1.759530792</v>
      </c>
      <c r="G22" s="163">
        <f>C22*VLOOKUP(B22,Sources[],7,FALSE)</f>
        <v>2.287390029</v>
      </c>
      <c r="H22" s="163">
        <f>C22*VLOOKUP(B22,Sources[],8,FALSE)</f>
        <v>0</v>
      </c>
      <c r="I22" s="163">
        <f>C22*VLOOKUP(B22,Sources[],9,FALSE)</f>
        <v>2.023460411</v>
      </c>
      <c r="J22" s="163">
        <f>C22*VLOOKUP(B22,Sources[],10,FALSE)</f>
        <v>0</v>
      </c>
      <c r="K22" s="163">
        <f>C22*VLOOKUP(B22,Sources[],11,FALSE)</f>
        <v>0</v>
      </c>
      <c r="N22" s="153" t="str">
        <f t="shared" ref="N22:N32" si="2">A17</f>
        <v>DD1</v>
      </c>
      <c r="O22" s="158">
        <f>VLOOKUP($N22,Analogs[],5,FALSE)</f>
        <v>4.838709677</v>
      </c>
      <c r="P22" s="158">
        <f>VLOOKUP($N22,Analogs[],6,FALSE)</f>
        <v>1.935483871</v>
      </c>
      <c r="Q22" s="158">
        <f>VLOOKUP($N22,Numbers!$A$17:$H$24,7,FALSE)</f>
        <v>2.516129032</v>
      </c>
      <c r="R22" s="158">
        <f>VLOOKUP($N22,Analogs[],8,FALSE)</f>
        <v>0</v>
      </c>
      <c r="S22" s="158">
        <f>VLOOKUP($N22,Analogs[],9,FALSE)</f>
        <v>2.225806452</v>
      </c>
      <c r="T22" s="158">
        <f>VLOOKUP($N22,Analogs[],10,FALSE)</f>
        <v>0</v>
      </c>
      <c r="U22" s="158">
        <f>VLOOKUP($N22,Analogs[],11,FALSE)</f>
        <v>0</v>
      </c>
      <c r="V22" s="153" t="s">
        <v>1000</v>
      </c>
      <c r="W22" s="155"/>
      <c r="X22" s="160">
        <f>VLOOKUP(N22,Analogs[],4,FALSE)</f>
        <v>0.5482634678</v>
      </c>
      <c r="Y22" s="162"/>
      <c r="Z22" s="162"/>
    </row>
    <row r="23" ht="22.5" customHeight="1">
      <c r="A23" s="153" t="s">
        <v>624</v>
      </c>
      <c r="B23" s="169" t="s">
        <v>544</v>
      </c>
      <c r="C23" s="170">
        <v>1.0</v>
      </c>
      <c r="D23" s="155">
        <f>$C23*vlookup($B23,Analogs[],4,FALSE)</f>
        <v>0.5482634678</v>
      </c>
      <c r="E23" s="163">
        <f>$C23*vlookup($B23,Analogs[],5,FALSE)</f>
        <v>4.838709677</v>
      </c>
      <c r="F23" s="163">
        <f>$C23*vlookup($B23,Analogs[],6,FALSE)</f>
        <v>1.935483871</v>
      </c>
      <c r="G23" s="163">
        <f>$C23*vlookup($B23,Analogs[],7,FALSE)</f>
        <v>2.516129032</v>
      </c>
      <c r="H23" s="163">
        <f>$C23*vlookup($B23,Analogs[],8,FALSE)</f>
        <v>0</v>
      </c>
      <c r="I23" s="163">
        <f>$C23*vlookup($B23,Analogs[],9,FALSE)</f>
        <v>2.225806452</v>
      </c>
      <c r="J23" s="163">
        <f>$C23*vlookup($B23,Analogs[],10,FALSE)</f>
        <v>0</v>
      </c>
      <c r="K23" s="163">
        <f>$C23*vlookup($B23,Analogs[],11,FALSE)</f>
        <v>0</v>
      </c>
      <c r="N23" s="153" t="str">
        <f t="shared" si="2"/>
        <v>DD2S</v>
      </c>
      <c r="O23" s="158">
        <f>VLOOKUP($N23,Analogs[],5,FALSE)</f>
        <v>7.975</v>
      </c>
      <c r="P23" s="158">
        <f>VLOOKUP($N23,Analogs[],6,FALSE)</f>
        <v>0</v>
      </c>
      <c r="Q23" s="158">
        <f>VLOOKUP($N23,Analogs[],7,FALSE)</f>
        <v>2.975</v>
      </c>
      <c r="R23" s="158">
        <f>VLOOKUP($N23,Analogs[],8,FALSE)</f>
        <v>0</v>
      </c>
      <c r="S23" s="158">
        <f>VLOOKUP($N23,Analogs[],9,FALSE)</f>
        <v>0</v>
      </c>
      <c r="T23" s="158">
        <f>VLOOKUP($N23,Analogs[],10,FALSE)</f>
        <v>0</v>
      </c>
      <c r="U23" s="158">
        <f>VLOOKUP($N23,Analogs[],11,FALSE)</f>
        <v>0</v>
      </c>
      <c r="V23" s="153" t="s">
        <v>1000</v>
      </c>
      <c r="W23" s="155"/>
      <c r="X23" s="160">
        <f>VLOOKUP(N23,Analogs[],4,FALSE)</f>
        <v>0.5720029607</v>
      </c>
      <c r="Y23" s="162"/>
      <c r="Z23" s="162"/>
    </row>
    <row r="24" ht="22.5" customHeight="1">
      <c r="A24" s="153" t="s">
        <v>611</v>
      </c>
      <c r="B24" s="169" t="s">
        <v>989</v>
      </c>
      <c r="C24" s="170">
        <f>22.5/(22.5+0.5+1.25+2.5)</f>
        <v>0.8411214953</v>
      </c>
      <c r="D24" s="155">
        <f>$C24*vlookup($B24,Sources[],4,FALSE)</f>
        <v>0.5123957643</v>
      </c>
      <c r="E24" s="163">
        <f>$C24*vlookup($B24,Sources[],5,FALSE)+(1.25/29.25)</f>
        <v>4.56489362</v>
      </c>
      <c r="F24" s="163">
        <f>C24*VLOOKUP(B24,Sources[],6,FALSE)</f>
        <v>1.808863431</v>
      </c>
      <c r="G24" s="163">
        <f>C24*VLOOKUP(B24,Sources[],7,FALSE)+(0.5/29.25)</f>
        <v>2.368616477</v>
      </c>
      <c r="H24" s="163">
        <f>C24*VLOOKUP(B24,Sources[],8,FALSE)</f>
        <v>0</v>
      </c>
      <c r="I24" s="163">
        <f>C24*VLOOKUP(B24,Sources[],9,FALSE)</f>
        <v>2.080192945</v>
      </c>
      <c r="J24" s="163">
        <f>C24*VLOOKUP(B24,Sources[],10,FALSE)</f>
        <v>0</v>
      </c>
      <c r="K24" s="163">
        <f>C24*VLOOKUP(B24,Sources[],11,FALSE)</f>
        <v>0</v>
      </c>
      <c r="N24" s="153" t="str">
        <f t="shared" si="2"/>
        <v>DD1Fa</v>
      </c>
      <c r="O24" s="158">
        <f>VLOOKUP($N24,Analogs[],5,FALSE)</f>
        <v>4.35483871</v>
      </c>
      <c r="P24" s="158">
        <f>VLOOKUP($N24,Analogs[],6,FALSE)</f>
        <v>1.741935484</v>
      </c>
      <c r="Q24" s="158">
        <f>VLOOKUP($N24,Analogs[],7,FALSE)</f>
        <v>2.264516129</v>
      </c>
      <c r="R24" s="158">
        <f>VLOOKUP($N24,Analogs[],8,FALSE)</f>
        <v>0</v>
      </c>
      <c r="S24" s="158">
        <f>VLOOKUP($N24,Analogs[],9,FALSE)</f>
        <v>2.003225806</v>
      </c>
      <c r="T24" s="158">
        <f>VLOOKUP($N24,Analogs[],10,FALSE)</f>
        <v>0</v>
      </c>
      <c r="U24" s="158">
        <f>VLOOKUP($N24,Analogs[],11,FALSE)</f>
        <v>0</v>
      </c>
      <c r="V24" s="153" t="s">
        <v>1000</v>
      </c>
      <c r="W24" s="155"/>
      <c r="X24" s="160">
        <f>VLOOKUP(N24,Analogs[],4,FALSE)</f>
        <v>0.561817121</v>
      </c>
      <c r="Y24" s="162"/>
      <c r="Z24" s="162"/>
    </row>
    <row r="25" ht="22.5" customHeight="1">
      <c r="A25" s="169" t="s">
        <v>569</v>
      </c>
      <c r="B25" s="169" t="s">
        <v>989</v>
      </c>
      <c r="C25" s="170">
        <f>27.6/(27.6+2.5+2)</f>
        <v>0.8598130841</v>
      </c>
      <c r="D25" s="155">
        <f>$C25*vlookup($B25,Sources[],4,FALSE)</f>
        <v>0.5237823369</v>
      </c>
      <c r="E25" s="163">
        <f>$C25*vlookup($B25,Sources[],5,FALSE)+(2/(27.6+2.5+2))</f>
        <v>4.684956286</v>
      </c>
      <c r="F25" s="163">
        <f>C25*VLOOKUP(B25,Sources[],6,FALSE)</f>
        <v>1.849060396</v>
      </c>
      <c r="G25" s="163">
        <f>C25*VLOOKUP(B25,Sources[],7,FALSE)</f>
        <v>2.403778515</v>
      </c>
      <c r="H25" s="163">
        <f>C25*VLOOKUP(B25,Sources[],8,FALSE)</f>
        <v>0</v>
      </c>
      <c r="I25" s="163">
        <f>C25*VLOOKUP(B25,Sources[],9,FALSE)</f>
        <v>2.126419455</v>
      </c>
      <c r="J25" s="163">
        <f>C25*VLOOKUP(B25,Sources[],10,FALSE)</f>
        <v>0</v>
      </c>
      <c r="K25" s="163">
        <f>C25*VLOOKUP(B25,Sources[],11,FALSE)</f>
        <v>0</v>
      </c>
      <c r="N25" s="153" t="str">
        <f t="shared" si="2"/>
        <v>DD1Fb</v>
      </c>
      <c r="O25" s="158">
        <f>VLOOKUP($N25,Analogs[],5,FALSE)</f>
        <v>3.967741935</v>
      </c>
      <c r="P25" s="158">
        <f>VLOOKUP($N25,Analogs[],6,FALSE)</f>
        <v>1.587096774</v>
      </c>
      <c r="Q25" s="158">
        <f>VLOOKUP($N25,Analogs[],7,FALSE)</f>
        <v>2.063225806</v>
      </c>
      <c r="R25" s="158">
        <f>VLOOKUP($N25,Analogs[],8,FALSE)</f>
        <v>0</v>
      </c>
      <c r="S25" s="158">
        <f>VLOOKUP($N25,Analogs[],9,FALSE)</f>
        <v>1.82516129</v>
      </c>
      <c r="T25" s="158">
        <f>VLOOKUP($N25,Analogs[],10,FALSE)</f>
        <v>0</v>
      </c>
      <c r="U25" s="158">
        <f>VLOOKUP($N25,Analogs[],11,FALSE)</f>
        <v>0</v>
      </c>
      <c r="V25" s="153" t="s">
        <v>1000</v>
      </c>
      <c r="W25" s="155"/>
      <c r="X25" s="160">
        <f>VLOOKUP(N25,Analogs[],4,FALSE)</f>
        <v>0.5726600436</v>
      </c>
      <c r="Y25" s="162"/>
      <c r="Z25" s="162"/>
    </row>
    <row r="26" ht="22.5" customHeight="1">
      <c r="A26" s="153" t="s">
        <v>534</v>
      </c>
      <c r="B26" s="169" t="s">
        <v>989</v>
      </c>
      <c r="C26" s="170">
        <f>22.5/(22.5+2.5+5)</f>
        <v>0.75</v>
      </c>
      <c r="D26" s="155">
        <f>$C26*vlookup($B26,Sources[],4,FALSE)+(5/(22.5+2.5+5))*vlookup("Scale",Sources[],4,FALSE)</f>
        <v>0.5708528899</v>
      </c>
      <c r="E26" s="163">
        <f>$C26*vlookup($B26,Sources[],5,FALSE)+(5/(22.5+2.5+5))*vlookup("Scale",Sources[],5,FALSE)</f>
        <v>4.032258065</v>
      </c>
      <c r="F26" s="163">
        <f>C26*VLOOKUP(B26,Sources[],6,FALSE)+(5/(22.5+2.5+5))*vlookup("Scale",Sources[],6,FALSE)</f>
        <v>1.612903226</v>
      </c>
      <c r="G26" s="163">
        <f>C26*VLOOKUP(B26,Sources[],7,FALSE)+(5/(22.5+2.5+5))*vlookup("Scale",Sources[],7,FALSE)</f>
        <v>2.096774194</v>
      </c>
      <c r="H26" s="163">
        <f>C26*VLOOKUP(B26,Sources[],8,FALSE)+(5/(22.5+2.5+5))*vlookup("Scale",Sources[],8,FALSE)</f>
        <v>0</v>
      </c>
      <c r="I26" s="163">
        <f>C26*VLOOKUP(B26,Sources[],9,FALSE)+(5/(22.5+2.5+5))*vlookup("Scale",Sources[],9,FALSE)</f>
        <v>1.85483871</v>
      </c>
      <c r="J26" s="163">
        <f>C26*VLOOKUP(B26,Sources[],10,FALSE)+(5/(22.5+2.5+5))*vlookup("Scale",Sources[],10,FALSE)</f>
        <v>0</v>
      </c>
      <c r="K26" s="163">
        <f>C26*VLOOKUP(B26,Sources[],11,FALSE)+(5/(22.5+2.5+5))*vlookup("Scale",Sources[],11,FALSE)</f>
        <v>0</v>
      </c>
      <c r="N26" s="153" t="str">
        <f t="shared" si="2"/>
        <v>DD1Fc</v>
      </c>
      <c r="O26" s="158">
        <f>VLOOKUP($N26,Analogs[],5,FALSE)</f>
        <v>4.064516129</v>
      </c>
      <c r="P26" s="158">
        <f>VLOOKUP($N26,Analogs[],6,FALSE)</f>
        <v>1.625806452</v>
      </c>
      <c r="Q26" s="158">
        <f>VLOOKUP($N26,Analogs[],7,FALSE)</f>
        <v>2.113548387</v>
      </c>
      <c r="R26" s="158">
        <f>VLOOKUP($N26,Analogs[],8,FALSE)</f>
        <v>0</v>
      </c>
      <c r="S26" s="158">
        <f>VLOOKUP($N26,Analogs[],9,FALSE)</f>
        <v>1.869677419</v>
      </c>
      <c r="T26" s="158">
        <f>VLOOKUP($N26,Analogs[],10,FALSE)</f>
        <v>0</v>
      </c>
      <c r="U26" s="158">
        <f>VLOOKUP($N26,Analogs[],11,FALSE)</f>
        <v>0</v>
      </c>
      <c r="V26" s="153" t="s">
        <v>1000</v>
      </c>
      <c r="W26" s="155"/>
      <c r="X26" s="160">
        <f>VLOOKUP(N26,Analogs[],4,FALSE)</f>
        <v>0.569949313</v>
      </c>
      <c r="Y26" s="162"/>
      <c r="Z26" s="162"/>
    </row>
    <row r="27" ht="22.5" customHeight="1">
      <c r="A27" s="153" t="s">
        <v>587</v>
      </c>
      <c r="B27" s="169" t="s">
        <v>989</v>
      </c>
      <c r="C27" s="170">
        <f>12.5/(12.5+1.25+5)</f>
        <v>0.6666666667</v>
      </c>
      <c r="D27" s="155">
        <f>$C27*vlookup($B27,Sources[],4,FALSE)+(5/(12.5+1.25+5))*vlookup("Scale",Sources[],4,FALSE)</f>
        <v>0.5884677539</v>
      </c>
      <c r="E27" s="163">
        <f>$C27*vlookup($B27,Sources[],5,FALSE)+(5/(12.5+1.25+5))*vlookup("Scale",Sources[],5,FALSE)</f>
        <v>3.584229391</v>
      </c>
      <c r="F27" s="163">
        <f>$C27*vlookup($B27,Sources[],6,FALSE)+(5/(12.5+1.25+5))*vlookup("Scale",Sources[],6,FALSE)</f>
        <v>1.433691756</v>
      </c>
      <c r="G27" s="163">
        <f>$C27*vlookup($B27,Sources[],7,FALSE)+(5/(12.5+1.25+5))*vlookup("Scale",Sources[],7,FALSE)</f>
        <v>1.863799283</v>
      </c>
      <c r="H27" s="163">
        <f>$C27*vlookup($B27,Sources[],8,FALSE)+(5/(12.5+1.25+5))*vlookup("Scale",Sources[],8,FALSE)</f>
        <v>0</v>
      </c>
      <c r="I27" s="163">
        <f>$C27*vlookup($B27,Sources[],9,FALSE)+(5/(12.5+1.25+5))*vlookup("Scale",Sources[],9,FALSE)</f>
        <v>1.64874552</v>
      </c>
      <c r="J27" s="163">
        <f>$C27*vlookup($B27,Sources[],10,FALSE)+(5/(12.5+1.25+5))*vlookup("Scale",Sources[],10,FALSE)</f>
        <v>0</v>
      </c>
      <c r="K27" s="163">
        <f>$C27*vlookup($B27,Sources[],11,FALSE)+(5/(12.5+1.25+5))*vlookup("Scale",Sources[],11,FALSE)</f>
        <v>0</v>
      </c>
      <c r="N27" s="153" t="str">
        <f t="shared" si="2"/>
        <v>DD1S</v>
      </c>
      <c r="O27" s="158">
        <f>VLOOKUP($N27,Analogs[],5,FALSE)</f>
        <v>13.48973607</v>
      </c>
      <c r="P27" s="158">
        <f>VLOOKUP($N27,Analogs[],6,FALSE)</f>
        <v>1.759530792</v>
      </c>
      <c r="Q27" s="158">
        <f>VLOOKUP($N27,Analogs[],7,FALSE)</f>
        <v>2.287390029</v>
      </c>
      <c r="R27" s="158">
        <f>VLOOKUP($N27,Analogs[],8,FALSE)</f>
        <v>0</v>
      </c>
      <c r="S27" s="158">
        <f>VLOOKUP($N27,Analogs[],9,FALSE)</f>
        <v>2.023460411</v>
      </c>
      <c r="T27" s="158">
        <f>VLOOKUP($N27,Analogs[],10,FALSE)</f>
        <v>0</v>
      </c>
      <c r="U27" s="158">
        <f>VLOOKUP($N27,Analogs[],11,FALSE)</f>
        <v>0</v>
      </c>
      <c r="V27" s="153" t="s">
        <v>1000</v>
      </c>
      <c r="W27" s="155"/>
      <c r="X27" s="160">
        <f>VLOOKUP(N27,Analogs[],4,FALSE)</f>
        <v>0.4984213344</v>
      </c>
      <c r="Y27" s="162"/>
      <c r="Z27" s="162"/>
    </row>
    <row r="28" ht="22.5" customHeight="1">
      <c r="A28" s="153" t="s">
        <v>139</v>
      </c>
      <c r="B28" s="153" t="s">
        <v>1001</v>
      </c>
      <c r="C28" s="171">
        <f>C48/I48</f>
        <v>0.4603174603</v>
      </c>
      <c r="D28" s="159">
        <f>$C28*vlookup("St. Lunaire Bog Ore",Ores[],11,FALSE)+(1-$C28)*vlookup("Scale",Sources[],4,FALSE)</f>
        <v>0.5921444799</v>
      </c>
      <c r="E28" s="163">
        <f>$C30*vlookup("St. Lunaire Bog Ore",Ores[],2,FALSE)+($G48/$I48)*vlookup("Scale",Sources[],5,FALSE)+($E48/$I48)*100</f>
        <v>15.87301587</v>
      </c>
      <c r="F28" s="163">
        <f>$C30*vlookup("St. Lunaire Bog Ore",Ores[],3,FALSE)+($G48/$I48)*vlookup("Scale",Sources[],6,FALSE)</f>
        <v>0</v>
      </c>
      <c r="G28" s="163">
        <f>$C30*vlookup("St. Lunaire Bog Ore",Ores[],4,FALSE)+($G48/$I48)*vlookup("Scale",Sources[],7,FALSE)</f>
        <v>0</v>
      </c>
      <c r="H28" s="163">
        <f>$C30*vlookup("St. Lunaire Bog Ore",Ores[],5,FALSE)+($G48/$I48)*vlookup("Scale",Sources[],8,FALSE)</f>
        <v>0</v>
      </c>
      <c r="I28" s="163">
        <f>$C30*vlookup("St. Lunaire Bog Ore",Ores[],6,FALSE)+($G48/$I48)*vlookup("Scale",Sources[],9,FALSE)</f>
        <v>0</v>
      </c>
      <c r="J28" s="163">
        <f>$C30*vlookup("St. Lunaire Bog Ore",Ores[],7,FALSE)+($G48/$I48)*vlookup("Scale",Sources[],10,FALSE)</f>
        <v>0</v>
      </c>
      <c r="K28" s="163">
        <f>$C30*vlookup("St. Lunaire Bog Ore",Ores[],8,FALSE)+($G48/$I48)*vlookup("Scale",Sources[],11,FALSE)</f>
        <v>0</v>
      </c>
      <c r="N28" s="153" t="str">
        <f t="shared" si="2"/>
        <v>DD1-SSW</v>
      </c>
      <c r="O28" s="163">
        <f t="shared" ref="O28:Q28" si="3">O23</f>
        <v>7.975</v>
      </c>
      <c r="P28" s="158">
        <f t="shared" si="3"/>
        <v>0</v>
      </c>
      <c r="Q28" s="163">
        <f t="shared" si="3"/>
        <v>2.975</v>
      </c>
      <c r="R28" s="158">
        <f>VLOOKUP($N28,Analogs[],8,FALSE)</f>
        <v>0</v>
      </c>
      <c r="S28" s="158">
        <f>VLOOKUP($N28,Analogs[],9,FALSE)</f>
        <v>2.225806452</v>
      </c>
      <c r="T28" s="158">
        <f>VLOOKUP($N28,Analogs[],10,FALSE)</f>
        <v>0</v>
      </c>
      <c r="U28" s="158">
        <f>VLOOKUP($N28,Analogs[],11,FALSE)</f>
        <v>0</v>
      </c>
      <c r="V28" s="153" t="s">
        <v>1000</v>
      </c>
      <c r="W28" s="155"/>
      <c r="X28" s="160">
        <f>VLOOKUP(N28,Analogs[],4,FALSE)</f>
        <v>0.5482634678</v>
      </c>
      <c r="Y28" s="162"/>
      <c r="Z28" s="162"/>
    </row>
    <row r="29" ht="22.5" customHeight="1">
      <c r="A29" s="153" t="s">
        <v>807</v>
      </c>
      <c r="B29" s="153" t="s">
        <v>989</v>
      </c>
      <c r="C29" s="171">
        <f>22/31.5</f>
        <v>0.6984126984</v>
      </c>
      <c r="D29" s="159">
        <f>$C27*vlookup($B27,Sources[],4,FALSE)+(7/31.5)*vlookup("Scale",Sources[],4,FALSE)</f>
        <v>0.5580766428</v>
      </c>
      <c r="E29" s="163">
        <f>$C27*vlookup($B27,Sources[],5,FALSE)+(7/31.5)*vlookup("Scale",Sources[],5,FALSE)</f>
        <v>3.584229391</v>
      </c>
      <c r="F29" s="158">
        <f>$C27*vlookup($B27,Sources[],6,FALSE)+(7/31.5)*vlookup("Scale",Sources[],6,FALSE)</f>
        <v>1.433691756</v>
      </c>
      <c r="G29" s="158">
        <f>$C27*vlookup($B27,Sources[],7,FALSE)+(7/31.5)*vlookup("Scale",Sources[],7,FALSE)</f>
        <v>1.863799283</v>
      </c>
      <c r="H29" s="163">
        <f>$C27*vlookup($B27,Sources[],8,FALSE)+(7/31.5)*vlookup("Scale",Sources[],8,FALSE)</f>
        <v>0</v>
      </c>
      <c r="I29" s="163">
        <f>$C27*vlookup($B27,Sources[],9,FALSE)+(7/31.5)*vlookup("Scale",Sources[],9,FALSE)</f>
        <v>1.64874552</v>
      </c>
      <c r="J29" s="163">
        <f>$C27*vlookup($B27,Sources[],10,FALSE)+(7/31.5)*vlookup("Scale",Sources[],10,FALSE)</f>
        <v>0</v>
      </c>
      <c r="K29" s="163">
        <f>$C27*vlookup($B27,Sources[],11,FALSE)+(7/31.5)*vlookup("Scale",Sources[],11,FALSE)</f>
        <v>0</v>
      </c>
      <c r="N29" s="153" t="str">
        <f t="shared" si="2"/>
        <v>DD1M</v>
      </c>
      <c r="O29" s="158">
        <f>VLOOKUP($N29,Analogs[],5,FALSE)</f>
        <v>4.56489362</v>
      </c>
      <c r="P29" s="158">
        <f>VLOOKUP($N29,Analogs[],6,FALSE)</f>
        <v>1.808863431</v>
      </c>
      <c r="Q29" s="158">
        <f>VLOOKUP($N29,Analogs[],7,FALSE)</f>
        <v>2.368616477</v>
      </c>
      <c r="R29" s="158">
        <f>VLOOKUP($N29,Analogs[],8,FALSE)</f>
        <v>0</v>
      </c>
      <c r="S29" s="158">
        <f>VLOOKUP($N29,Analogs[],9,FALSE)</f>
        <v>2.080192945</v>
      </c>
      <c r="T29" s="158">
        <f>VLOOKUP($N29,Analogs[],10,FALSE)</f>
        <v>0</v>
      </c>
      <c r="U29" s="158">
        <f>VLOOKUP($N29,Analogs[],11,FALSE)</f>
        <v>0</v>
      </c>
      <c r="V29" s="153" t="s">
        <v>1000</v>
      </c>
      <c r="W29" s="155"/>
      <c r="X29" s="160">
        <f>VLOOKUP(N29,Analogs[],4,FALSE)</f>
        <v>0.5123957643</v>
      </c>
      <c r="Y29" s="162"/>
      <c r="Z29" s="162"/>
    </row>
    <row r="30" ht="22.5" customHeight="1">
      <c r="A30" s="153"/>
      <c r="B30" s="153"/>
      <c r="C30" s="171"/>
      <c r="D30" s="159"/>
      <c r="E30" s="163"/>
      <c r="F30" s="158"/>
      <c r="G30" s="158"/>
      <c r="H30" s="163"/>
      <c r="I30" s="163"/>
      <c r="J30" s="163"/>
      <c r="K30" s="163"/>
      <c r="N30" s="153" t="str">
        <f t="shared" si="2"/>
        <v>DD1Sb</v>
      </c>
      <c r="O30" s="158">
        <f>VLOOKUP($N30,Analogs[],5,FALSE)</f>
        <v>4.684956286</v>
      </c>
      <c r="P30" s="158">
        <f>VLOOKUP($N30,Analogs[],6,FALSE)</f>
        <v>1.849060396</v>
      </c>
      <c r="Q30" s="158">
        <f>VLOOKUP($N30,Analogs[],7,FALSE)</f>
        <v>2.403778515</v>
      </c>
      <c r="R30" s="158">
        <f>VLOOKUP($N30,Analogs[],8,FALSE)</f>
        <v>0</v>
      </c>
      <c r="S30" s="158">
        <f>VLOOKUP($N30,Analogs[],9,FALSE)</f>
        <v>2.126419455</v>
      </c>
      <c r="T30" s="158">
        <f>VLOOKUP($N30,Analogs[],10,FALSE)</f>
        <v>0</v>
      </c>
      <c r="U30" s="158">
        <f>VLOOKUP($N30,Analogs[],11,FALSE)</f>
        <v>0</v>
      </c>
      <c r="V30" s="153" t="s">
        <v>1000</v>
      </c>
      <c r="W30" s="155"/>
      <c r="X30" s="160">
        <f>VLOOKUP(N30,Analogs[],4,FALSE)</f>
        <v>0.5237823369</v>
      </c>
      <c r="Y30" s="162"/>
      <c r="Z30" s="162"/>
    </row>
    <row r="31" ht="22.5" customHeight="1">
      <c r="A31" s="172"/>
      <c r="B31" s="172"/>
      <c r="C31" s="173"/>
      <c r="D31" s="130"/>
      <c r="E31" s="174"/>
      <c r="F31" s="174"/>
      <c r="G31" s="174"/>
      <c r="H31" s="174"/>
      <c r="N31" s="153" t="str">
        <f t="shared" si="2"/>
        <v>DD1Fd</v>
      </c>
      <c r="O31" s="158">
        <f>VLOOKUP($N31,Analogs[],5,FALSE)</f>
        <v>4.032258065</v>
      </c>
      <c r="P31" s="158">
        <f>VLOOKUP($N31,Analogs[],6,FALSE)</f>
        <v>1.612903226</v>
      </c>
      <c r="Q31" s="158">
        <f>VLOOKUP($N31,Analogs[],7,FALSE)</f>
        <v>2.096774194</v>
      </c>
      <c r="R31" s="158">
        <f>VLOOKUP($N31,Analogs[],8,FALSE)</f>
        <v>0</v>
      </c>
      <c r="S31" s="158">
        <f>VLOOKUP($N31,Analogs[],9,FALSE)</f>
        <v>1.85483871</v>
      </c>
      <c r="T31" s="158">
        <f>VLOOKUP($N31,Analogs[],10,FALSE)</f>
        <v>0</v>
      </c>
      <c r="U31" s="158">
        <f>VLOOKUP($N31,Analogs[],11,FALSE)</f>
        <v>0</v>
      </c>
      <c r="V31" s="153" t="s">
        <v>1000</v>
      </c>
      <c r="W31" s="155"/>
      <c r="X31" s="160">
        <f>VLOOKUP(N31,Analogs[],4,FALSE)</f>
        <v>0.5708528899</v>
      </c>
      <c r="Y31" s="162"/>
      <c r="Z31" s="162"/>
    </row>
    <row r="32" ht="22.5" customHeight="1">
      <c r="A32" s="172"/>
      <c r="B32" s="172"/>
      <c r="C32" s="173"/>
      <c r="D32" s="130"/>
      <c r="E32" s="174"/>
      <c r="F32" s="174"/>
      <c r="G32" s="174"/>
      <c r="H32" s="174"/>
      <c r="N32" s="153" t="str">
        <f t="shared" si="2"/>
        <v>DD1Fe</v>
      </c>
      <c r="O32" s="158">
        <f>VLOOKUP($N32,Analogs[],5,FALSE)</f>
        <v>3.584229391</v>
      </c>
      <c r="P32" s="158">
        <f>VLOOKUP($N32,Analogs[],6,FALSE)</f>
        <v>1.433691756</v>
      </c>
      <c r="Q32" s="158">
        <f>VLOOKUP($N32,Analogs[],7,FALSE)</f>
        <v>1.863799283</v>
      </c>
      <c r="R32" s="158">
        <f>VLOOKUP($N32,Analogs[],8,FALSE)</f>
        <v>0</v>
      </c>
      <c r="S32" s="158">
        <f>VLOOKUP($N32,Analogs[],9,FALSE)</f>
        <v>1.64874552</v>
      </c>
      <c r="T32" s="158">
        <f>VLOOKUP($N32,Analogs[],10,FALSE)</f>
        <v>0</v>
      </c>
      <c r="U32" s="158">
        <f>VLOOKUP($N32,Analogs[],11,FALSE)</f>
        <v>0</v>
      </c>
      <c r="V32" s="153" t="s">
        <v>1000</v>
      </c>
      <c r="W32" s="155"/>
      <c r="X32" s="160">
        <f>VLOOKUP(N32,Analogs[],4,FALSE)</f>
        <v>0.5884677539</v>
      </c>
      <c r="Y32" s="162"/>
      <c r="Z32" s="162"/>
    </row>
    <row r="33" ht="22.5" customHeight="1">
      <c r="A33" s="172"/>
      <c r="B33" s="172"/>
      <c r="C33" s="173"/>
      <c r="D33" s="130"/>
      <c r="E33" s="174"/>
      <c r="F33" s="174"/>
      <c r="G33" s="174"/>
      <c r="H33" s="174"/>
      <c r="N33" s="153" t="str">
        <f>A29</f>
        <v>DD1-65</v>
      </c>
      <c r="O33" s="158">
        <f>VLOOKUP($N33,Analogs[],5,FALSE)</f>
        <v>3.584229391</v>
      </c>
      <c r="P33" s="158">
        <f>VLOOKUP($N33,Analogs[],6,FALSE)</f>
        <v>1.433691756</v>
      </c>
      <c r="Q33" s="158">
        <f>VLOOKUP($N33,Analogs[],7,FALSE)</f>
        <v>1.863799283</v>
      </c>
      <c r="R33" s="158">
        <f>VLOOKUP($N33,Analogs[],8,FALSE)</f>
        <v>0</v>
      </c>
      <c r="S33" s="158">
        <f>VLOOKUP($N33,Analogs[],9,FALSE)</f>
        <v>1.64874552</v>
      </c>
      <c r="T33" s="158">
        <f>VLOOKUP($N33,Analogs[],10,FALSE)</f>
        <v>0</v>
      </c>
      <c r="U33" s="158">
        <f>VLOOKUP($N33,Analogs[],11,FALSE)</f>
        <v>0</v>
      </c>
      <c r="V33" s="153"/>
      <c r="W33" s="155"/>
      <c r="X33" s="160">
        <f>VLOOKUP(N33,Analogs[],4,FALSE)</f>
        <v>0.5580766428</v>
      </c>
      <c r="Y33" s="162"/>
      <c r="Z33" s="162"/>
    </row>
    <row r="34" ht="22.5" customHeight="1">
      <c r="B34" s="172"/>
      <c r="C34" s="173"/>
      <c r="D34" s="130"/>
      <c r="E34" s="174"/>
      <c r="F34" s="174"/>
      <c r="G34" s="174"/>
      <c r="H34" s="174"/>
      <c r="N34" s="153" t="s">
        <v>139</v>
      </c>
      <c r="O34" s="158">
        <f>VLOOKUP($N34,Analogs[],5,FALSE)</f>
        <v>15.87301587</v>
      </c>
      <c r="P34" s="158">
        <f>VLOOKUP($N34,Analogs[],6,FALSE)</f>
        <v>0</v>
      </c>
      <c r="Q34" s="158">
        <f>VLOOKUP($N34,Analogs[],7,FALSE)</f>
        <v>0</v>
      </c>
      <c r="R34" s="158">
        <f>VLOOKUP($N34,Analogs[],8,FALSE)</f>
        <v>0</v>
      </c>
      <c r="S34" s="158">
        <f>VLOOKUP($N34,Analogs[],9,FALSE)</f>
        <v>0</v>
      </c>
      <c r="T34" s="158">
        <f>VLOOKUP($N34,Analogs[],10,FALSE)</f>
        <v>0</v>
      </c>
      <c r="U34" s="158">
        <f>VLOOKUP($N34,Analogs[],11,FALSE)</f>
        <v>0</v>
      </c>
      <c r="V34" s="153"/>
      <c r="W34" s="155"/>
      <c r="X34" s="160">
        <f>VLOOKUP(N34,Analogs[],4,FALSE)</f>
        <v>0.5921444799</v>
      </c>
      <c r="Y34" s="162"/>
      <c r="Z34" s="162"/>
    </row>
    <row r="35" ht="22.5" customHeight="1">
      <c r="A35" s="150" t="s">
        <v>995</v>
      </c>
      <c r="B35" s="150" t="s">
        <v>989</v>
      </c>
      <c r="C35" s="150" t="s">
        <v>1002</v>
      </c>
      <c r="D35" s="150" t="s">
        <v>1003</v>
      </c>
      <c r="E35" s="175" t="s">
        <v>1004</v>
      </c>
      <c r="F35" s="175" t="s">
        <v>1005</v>
      </c>
      <c r="G35" s="175" t="s">
        <v>1006</v>
      </c>
      <c r="H35" s="175" t="s">
        <v>1007</v>
      </c>
      <c r="I35" s="152" t="s">
        <v>956</v>
      </c>
      <c r="N35" s="153" t="s">
        <v>419</v>
      </c>
      <c r="O35" s="158">
        <v>8.5</v>
      </c>
      <c r="P35" s="158"/>
      <c r="Q35" s="158"/>
      <c r="R35" s="158"/>
      <c r="S35" s="158"/>
      <c r="T35" s="153"/>
      <c r="U35" s="158"/>
      <c r="V35" s="153" t="s">
        <v>972</v>
      </c>
      <c r="W35" s="159">
        <v>0.91</v>
      </c>
      <c r="X35" s="160">
        <f>W35*VLOOKUP(V35,Oxides[],4,FALSE)</f>
        <v>0.6364819929</v>
      </c>
      <c r="Y35" s="162"/>
      <c r="Z35" s="162"/>
    </row>
    <row r="36" ht="22.5" customHeight="1">
      <c r="A36" s="169" t="s">
        <v>544</v>
      </c>
      <c r="B36" s="176">
        <v>22.5</v>
      </c>
      <c r="C36" s="177"/>
      <c r="D36" s="177"/>
      <c r="E36" s="177"/>
      <c r="F36" s="176">
        <v>2.5</v>
      </c>
      <c r="G36" s="177"/>
      <c r="H36" s="178"/>
      <c r="I36" s="177">
        <f t="shared" ref="I36:I48" si="4">sum(B36:H36)</f>
        <v>25</v>
      </c>
      <c r="N36" s="153" t="s">
        <v>210</v>
      </c>
      <c r="O36" s="158"/>
      <c r="P36" s="158"/>
      <c r="Q36" s="158"/>
      <c r="R36" s="158"/>
      <c r="S36" s="158"/>
      <c r="T36" s="153"/>
      <c r="U36" s="158"/>
      <c r="V36" s="153"/>
      <c r="W36" s="155"/>
      <c r="X36" s="160" t="str">
        <f>if(ISBLANK(W36),"NR",W36*VLOOKUP(V36,Oxides[],4,FALSE))</f>
        <v>NR</v>
      </c>
      <c r="Y36" s="162"/>
      <c r="Z36" s="162"/>
    </row>
    <row r="37" ht="22.5" customHeight="1">
      <c r="A37" s="153" t="s">
        <v>460</v>
      </c>
      <c r="B37" s="177"/>
      <c r="C37" s="177"/>
      <c r="D37" s="176">
        <v>22.5</v>
      </c>
      <c r="E37" s="176">
        <v>1.25</v>
      </c>
      <c r="F37" s="176">
        <v>2.5</v>
      </c>
      <c r="G37" s="177"/>
      <c r="H37" s="178"/>
      <c r="I37" s="177">
        <f t="shared" si="4"/>
        <v>26.25</v>
      </c>
      <c r="N37" s="153" t="s">
        <v>1008</v>
      </c>
      <c r="O37" s="158">
        <v>100.0</v>
      </c>
      <c r="P37" s="158">
        <v>0.0</v>
      </c>
      <c r="Q37" s="158">
        <v>0.0</v>
      </c>
      <c r="R37" s="158">
        <v>0.0</v>
      </c>
      <c r="S37" s="158">
        <v>0.0</v>
      </c>
      <c r="T37" s="153">
        <v>0.0</v>
      </c>
      <c r="U37" s="158">
        <v>0.0</v>
      </c>
      <c r="V37" s="153" t="s">
        <v>117</v>
      </c>
      <c r="W37" s="159">
        <v>0.0</v>
      </c>
      <c r="X37" s="164">
        <v>0.0</v>
      </c>
      <c r="Y37" s="162"/>
      <c r="Z37" s="162"/>
    </row>
    <row r="38" ht="22.5" customHeight="1">
      <c r="A38" s="153" t="s">
        <v>651</v>
      </c>
      <c r="B38" s="177"/>
      <c r="C38" s="177"/>
      <c r="D38" s="177"/>
      <c r="E38" s="177"/>
      <c r="F38" s="177"/>
      <c r="G38" s="165">
        <v>0.1</v>
      </c>
      <c r="H38" s="178"/>
      <c r="I38" s="177">
        <f t="shared" si="4"/>
        <v>0.1</v>
      </c>
      <c r="N38" s="153" t="s">
        <v>592</v>
      </c>
      <c r="O38" s="158"/>
      <c r="P38" s="158"/>
      <c r="Q38" s="158"/>
      <c r="R38" s="158"/>
      <c r="S38" s="158"/>
      <c r="T38" s="153"/>
      <c r="U38" s="158"/>
      <c r="V38" s="153"/>
      <c r="W38" s="159"/>
      <c r="X38" s="160" t="str">
        <f>if(ISBLANK(W38),"NR",W38*VLOOKUP(V38,Oxides[],4,FALSE))</f>
        <v>NR</v>
      </c>
      <c r="Y38" s="162"/>
      <c r="Z38" s="162"/>
    </row>
    <row r="39" ht="22.5" customHeight="1">
      <c r="A39" s="153" t="s">
        <v>779</v>
      </c>
      <c r="B39" s="177"/>
      <c r="C39" s="177"/>
      <c r="D39" s="177"/>
      <c r="E39" s="177"/>
      <c r="F39" s="177"/>
      <c r="G39" s="165">
        <v>0.18</v>
      </c>
      <c r="H39" s="178"/>
      <c r="I39" s="177">
        <f t="shared" si="4"/>
        <v>0.18</v>
      </c>
      <c r="N39" s="157" t="s">
        <v>901</v>
      </c>
      <c r="O39" s="158"/>
      <c r="P39" s="158"/>
      <c r="Q39" s="158"/>
      <c r="R39" s="158"/>
      <c r="S39" s="158"/>
      <c r="T39" s="153"/>
      <c r="U39" s="158"/>
      <c r="V39" s="153"/>
      <c r="W39" s="159"/>
      <c r="X39" s="160" t="str">
        <f>if(ISBLANK(W39),"NR",W39*VLOOKUP(V39,Oxides[],4,FALSE))</f>
        <v>NR</v>
      </c>
      <c r="Y39" s="162"/>
      <c r="Z39" s="162"/>
    </row>
    <row r="40" ht="22.5" customHeight="1">
      <c r="A40" s="153" t="s">
        <v>802</v>
      </c>
      <c r="B40" s="177"/>
      <c r="C40" s="177"/>
      <c r="D40" s="177"/>
      <c r="E40" s="177"/>
      <c r="F40" s="177"/>
      <c r="G40" s="165">
        <v>0.16</v>
      </c>
      <c r="H40" s="178"/>
      <c r="I40" s="177">
        <f t="shared" si="4"/>
        <v>0.16</v>
      </c>
      <c r="N40" s="157" t="s">
        <v>890</v>
      </c>
      <c r="O40" s="158"/>
      <c r="P40" s="158"/>
      <c r="Q40" s="158"/>
      <c r="R40" s="158"/>
      <c r="S40" s="158"/>
      <c r="T40" s="153"/>
      <c r="U40" s="158"/>
      <c r="V40" s="153"/>
      <c r="W40" s="159"/>
      <c r="X40" s="160" t="str">
        <f>if(ISBLANK(W40),"NR",W40*VLOOKUP(V40,Oxides[],4,FALSE))</f>
        <v>NR</v>
      </c>
      <c r="Y40" s="162"/>
      <c r="Z40" s="162"/>
    </row>
    <row r="41" ht="22.5" customHeight="1">
      <c r="A41" s="169" t="s">
        <v>381</v>
      </c>
      <c r="B41" s="176">
        <v>22.5</v>
      </c>
      <c r="C41" s="177"/>
      <c r="D41" s="177"/>
      <c r="E41" s="176">
        <v>2.5</v>
      </c>
      <c r="F41" s="176">
        <v>2.5</v>
      </c>
      <c r="G41" s="177"/>
      <c r="H41" s="178"/>
      <c r="I41" s="177">
        <f t="shared" si="4"/>
        <v>27.5</v>
      </c>
      <c r="N41" s="153" t="s">
        <v>241</v>
      </c>
      <c r="O41" s="158">
        <f t="shared" ref="O41:U41" si="5">(10.9*O13+2.4*O37)/(10.9+2.4)</f>
        <v>22.03631579</v>
      </c>
      <c r="P41" s="158">
        <f t="shared" si="5"/>
        <v>0.295037594</v>
      </c>
      <c r="Q41" s="158">
        <f t="shared" si="5"/>
        <v>0.1803007519</v>
      </c>
      <c r="R41" s="158">
        <f t="shared" si="5"/>
        <v>0.1557142857</v>
      </c>
      <c r="S41" s="158">
        <f t="shared" si="5"/>
        <v>0</v>
      </c>
      <c r="T41" s="158">
        <f t="shared" si="5"/>
        <v>0</v>
      </c>
      <c r="U41" s="158">
        <f t="shared" si="5"/>
        <v>0</v>
      </c>
      <c r="V41" s="153" t="s">
        <v>972</v>
      </c>
      <c r="W41" s="159">
        <f>(10.9*W13+2.4*W37)/(10.9+2.4)</f>
        <v>0.7662781955</v>
      </c>
      <c r="X41" s="160">
        <f>if(ISBLANK(W41),"NR",W41*VLOOKUP(V41,Oxides[],4,FALSE))</f>
        <v>0.5359585417</v>
      </c>
      <c r="Y41" s="162"/>
      <c r="Z41" s="162"/>
    </row>
    <row r="42" ht="22.5" customHeight="1">
      <c r="A42" s="153" t="s">
        <v>624</v>
      </c>
      <c r="B42" s="177"/>
      <c r="C42" s="177"/>
      <c r="D42" s="177"/>
      <c r="E42" s="177"/>
      <c r="F42" s="177"/>
      <c r="G42" s="177"/>
      <c r="H42" s="178"/>
      <c r="I42" s="177">
        <f t="shared" si="4"/>
        <v>0</v>
      </c>
    </row>
    <row r="43" ht="22.5" customHeight="1">
      <c r="A43" s="153" t="s">
        <v>611</v>
      </c>
      <c r="B43" s="176">
        <v>22.5</v>
      </c>
      <c r="C43" s="177"/>
      <c r="D43" s="177"/>
      <c r="E43" s="176">
        <v>1.25</v>
      </c>
      <c r="F43" s="176">
        <v>2.5</v>
      </c>
      <c r="G43" s="177"/>
      <c r="H43" s="166">
        <v>0.5</v>
      </c>
      <c r="I43" s="177">
        <f t="shared" si="4"/>
        <v>26.75</v>
      </c>
    </row>
    <row r="44" ht="22.5" customHeight="1">
      <c r="A44" s="169" t="s">
        <v>569</v>
      </c>
      <c r="B44" s="176">
        <v>27.6</v>
      </c>
      <c r="C44" s="177"/>
      <c r="D44" s="177"/>
      <c r="E44" s="176">
        <v>2.0</v>
      </c>
      <c r="F44" s="176">
        <v>2.5</v>
      </c>
      <c r="G44" s="177"/>
      <c r="H44" s="178"/>
      <c r="I44" s="177">
        <f t="shared" si="4"/>
        <v>32.1</v>
      </c>
    </row>
    <row r="45" ht="22.5" customHeight="1">
      <c r="A45" s="153" t="s">
        <v>534</v>
      </c>
      <c r="B45" s="176">
        <v>22.5</v>
      </c>
      <c r="C45" s="177"/>
      <c r="D45" s="177"/>
      <c r="E45" s="177"/>
      <c r="F45" s="176">
        <v>2.5</v>
      </c>
      <c r="G45" s="176">
        <v>5.0</v>
      </c>
      <c r="H45" s="178"/>
      <c r="I45" s="177">
        <f t="shared" si="4"/>
        <v>30</v>
      </c>
    </row>
    <row r="46" ht="22.5" customHeight="1">
      <c r="A46" s="153" t="s">
        <v>587</v>
      </c>
      <c r="B46" s="176">
        <v>12.5</v>
      </c>
      <c r="C46" s="177"/>
      <c r="D46" s="177"/>
      <c r="E46" s="177"/>
      <c r="F46" s="176">
        <v>1.25</v>
      </c>
      <c r="G46" s="176">
        <v>5.0</v>
      </c>
      <c r="H46" s="178"/>
      <c r="I46" s="177">
        <f t="shared" si="4"/>
        <v>18.75</v>
      </c>
    </row>
    <row r="47" ht="22.5" customHeight="1">
      <c r="A47" s="153" t="s">
        <v>807</v>
      </c>
      <c r="B47" s="176">
        <v>22.0</v>
      </c>
      <c r="C47" s="177"/>
      <c r="D47" s="177"/>
      <c r="E47" s="177"/>
      <c r="F47" s="176">
        <v>2.5</v>
      </c>
      <c r="G47" s="176">
        <v>7.0</v>
      </c>
      <c r="H47" s="178"/>
      <c r="I47" s="177">
        <f t="shared" si="4"/>
        <v>31.5</v>
      </c>
    </row>
    <row r="48" ht="22.5" customHeight="1">
      <c r="A48" s="153" t="s">
        <v>139</v>
      </c>
      <c r="B48" s="176"/>
      <c r="C48" s="176">
        <v>2.9</v>
      </c>
      <c r="D48" s="177"/>
      <c r="E48" s="176">
        <v>1.0</v>
      </c>
      <c r="F48" s="176"/>
      <c r="G48" s="176">
        <v>2.4</v>
      </c>
      <c r="H48" s="178"/>
      <c r="I48" s="177">
        <f t="shared" si="4"/>
        <v>6.3</v>
      </c>
    </row>
    <row r="50" ht="22.5" customHeight="1">
      <c r="N50" s="150" t="s">
        <v>958</v>
      </c>
      <c r="O50" s="150" t="s">
        <v>959</v>
      </c>
    </row>
    <row r="51" ht="22.5" customHeight="1">
      <c r="A51" s="179" t="s">
        <v>1009</v>
      </c>
      <c r="B51" s="180"/>
      <c r="C51" s="180"/>
      <c r="D51" s="180"/>
      <c r="E51" s="181" t="s">
        <v>956</v>
      </c>
      <c r="F51" s="180">
        <f>sum(F53:F73)</f>
        <v>200.2736866</v>
      </c>
      <c r="G51" s="182"/>
      <c r="I51" s="125" t="s">
        <v>1010</v>
      </c>
      <c r="N51" s="153" t="s">
        <v>973</v>
      </c>
      <c r="O51" s="156">
        <f>vlookup(N51,Element_Mass[],2,FALSE)</f>
        <v>55.845</v>
      </c>
    </row>
    <row r="52" ht="22.5" customHeight="1">
      <c r="A52" s="183" t="s">
        <v>958</v>
      </c>
      <c r="B52" s="123" t="s">
        <v>1011</v>
      </c>
      <c r="C52" s="123" t="s">
        <v>955</v>
      </c>
      <c r="D52" s="123" t="s">
        <v>1012</v>
      </c>
      <c r="E52" s="123" t="s">
        <v>1013</v>
      </c>
      <c r="F52" s="123" t="s">
        <v>1014</v>
      </c>
      <c r="G52" s="184" t="s">
        <v>985</v>
      </c>
      <c r="I52" s="125" t="s">
        <v>1015</v>
      </c>
      <c r="N52" s="153" t="s">
        <v>975</v>
      </c>
      <c r="O52" s="156">
        <f>vlookup(N52,Element_Mass[],2,FALSE)</f>
        <v>15.999</v>
      </c>
    </row>
    <row r="53" ht="22.5" customHeight="1">
      <c r="A53" s="185" t="s">
        <v>973</v>
      </c>
      <c r="B53" s="125">
        <v>0.0</v>
      </c>
      <c r="C53" s="125" t="s">
        <v>981</v>
      </c>
      <c r="D53" s="186">
        <f>vlookup("Fe",Big_Element[],2,FALSE)+2*vlookup("O",Big_Element[],2,FALSE)+vlookup("H",Big_Element[],2,FALSE)</f>
        <v>88.85084</v>
      </c>
      <c r="E53" s="187">
        <f>vlookup(A53,Big_Element[],2,FALSE)</f>
        <v>55.845</v>
      </c>
      <c r="F53" s="126">
        <f t="shared" ref="F53:F75" si="6">if(isblank(E53),0,B53*D53/E53)</f>
        <v>0</v>
      </c>
      <c r="G53" s="188">
        <f t="shared" ref="G53:G75" si="7">100*F53/F$51</f>
        <v>0</v>
      </c>
      <c r="I53" s="125" t="s">
        <v>1016</v>
      </c>
      <c r="N53" s="153" t="s">
        <v>980</v>
      </c>
      <c r="O53" s="156">
        <f>vlookup(N53,Element_Mass[],2,FALSE)</f>
        <v>28.0855</v>
      </c>
    </row>
    <row r="54" ht="22.5" customHeight="1">
      <c r="A54" s="185" t="s">
        <v>973</v>
      </c>
      <c r="B54" s="189">
        <v>65.4</v>
      </c>
      <c r="C54" s="125" t="s">
        <v>972</v>
      </c>
      <c r="D54" s="126">
        <f>2*vlookup("Fe",Big_Element[],2,FALSE)+3*vlookup("O",Big_Element[],2,FALSE)</f>
        <v>159.687</v>
      </c>
      <c r="E54" s="187">
        <f>vlookup(A54,Big_Element[],2,FALSE)</f>
        <v>55.845</v>
      </c>
      <c r="F54" s="126">
        <f t="shared" si="6"/>
        <v>187.0092184</v>
      </c>
      <c r="G54" s="188">
        <f t="shared" si="7"/>
        <v>93.37682927</v>
      </c>
      <c r="I54" s="125" t="s">
        <v>1017</v>
      </c>
      <c r="N54" s="153" t="s">
        <v>982</v>
      </c>
      <c r="O54" s="156">
        <f>vlookup(N54,Element_Mass[],2,FALSE)</f>
        <v>54.938</v>
      </c>
    </row>
    <row r="55" ht="22.5" customHeight="1">
      <c r="A55" s="185" t="s">
        <v>973</v>
      </c>
      <c r="B55" s="125">
        <v>0.0</v>
      </c>
      <c r="C55" s="125" t="s">
        <v>974</v>
      </c>
      <c r="D55" s="126">
        <f>3*vlookup("Fe",Big_Element[],2,FALSE)+4*vlookup("O",Big_Element[],2,FALSE)</f>
        <v>231.531</v>
      </c>
      <c r="E55" s="187">
        <f>vlookup(A55,Big_Element[],2,FALSE)</f>
        <v>55.845</v>
      </c>
      <c r="F55" s="126">
        <f t="shared" si="6"/>
        <v>0</v>
      </c>
      <c r="G55" s="188">
        <f t="shared" si="7"/>
        <v>0</v>
      </c>
      <c r="I55" s="125" t="s">
        <v>1018</v>
      </c>
      <c r="N55" s="153" t="s">
        <v>983</v>
      </c>
      <c r="O55" s="156">
        <f>vlookup(N55,Element_Mass[],2,FALSE)</f>
        <v>1.00784</v>
      </c>
    </row>
    <row r="56" ht="22.5" customHeight="1">
      <c r="A56" s="185" t="s">
        <v>980</v>
      </c>
      <c r="B56" s="125">
        <v>4.54</v>
      </c>
      <c r="C56" s="125" t="s">
        <v>1019</v>
      </c>
      <c r="D56" s="186">
        <f>vlookup("Si",Big_Element[],2,FALSE)+2*vlookup("O",Big_Element[],2,FALSE)</f>
        <v>60.0835</v>
      </c>
      <c r="E56" s="187">
        <f>vlookup(A56,Big_Element[],2,FALSE)</f>
        <v>28.0855</v>
      </c>
      <c r="F56" s="126">
        <f t="shared" si="6"/>
        <v>9.712452689</v>
      </c>
      <c r="G56" s="188">
        <f t="shared" si="7"/>
        <v>4.849590007</v>
      </c>
      <c r="I56" s="125" t="s">
        <v>1020</v>
      </c>
      <c r="N56" s="153" t="s">
        <v>1021</v>
      </c>
      <c r="O56" s="156">
        <v>30.973762</v>
      </c>
    </row>
    <row r="57" ht="22.5" customHeight="1">
      <c r="A57" s="185" t="s">
        <v>1021</v>
      </c>
      <c r="B57" s="189">
        <v>0.011</v>
      </c>
      <c r="C57" s="125" t="s">
        <v>967</v>
      </c>
      <c r="D57" s="126">
        <f>2*vlookup("P",Big_Element[],2,FALSE)+5*vlookup("O",Big_Element[],2,FALSE)</f>
        <v>141.942524</v>
      </c>
      <c r="E57" s="187">
        <f>vlookup(A57,Big_Element[],2,FALSE)</f>
        <v>30.973762</v>
      </c>
      <c r="F57" s="126">
        <f t="shared" si="6"/>
        <v>0.0504093679</v>
      </c>
      <c r="G57" s="188">
        <f t="shared" si="7"/>
        <v>0.02517024017</v>
      </c>
      <c r="I57" s="125" t="s">
        <v>1022</v>
      </c>
      <c r="N57" s="153" t="s">
        <v>1023</v>
      </c>
      <c r="O57" s="156">
        <v>74.921595</v>
      </c>
    </row>
    <row r="58" ht="22.5" customHeight="1">
      <c r="A58" s="185" t="s">
        <v>1023</v>
      </c>
      <c r="B58" s="125">
        <v>0.0</v>
      </c>
      <c r="C58" s="125" t="s">
        <v>1024</v>
      </c>
      <c r="D58" s="126">
        <f>2*vlookup("As",Big_Element[],2,FALSE)+3*vlookup("O",Big_Element[],2,FALSE)</f>
        <v>197.84019</v>
      </c>
      <c r="E58" s="187">
        <f>vlookup(A58,Big_Element[],2,FALSE)</f>
        <v>74.921595</v>
      </c>
      <c r="F58" s="126">
        <f t="shared" si="6"/>
        <v>0</v>
      </c>
      <c r="G58" s="188">
        <f t="shared" si="7"/>
        <v>0</v>
      </c>
      <c r="I58" s="125" t="s">
        <v>1025</v>
      </c>
      <c r="N58" s="153" t="s">
        <v>1026</v>
      </c>
      <c r="O58" s="156">
        <v>40.078</v>
      </c>
    </row>
    <row r="59" ht="22.5" customHeight="1">
      <c r="A59" s="185" t="s">
        <v>1026</v>
      </c>
      <c r="B59" s="125">
        <v>1.29</v>
      </c>
      <c r="C59" s="125" t="s">
        <v>988</v>
      </c>
      <c r="D59" s="186">
        <f>vlookup("Ca",Big_Element[],2,FALSE)+vlookup("O",Big_Element[],2,FALSE)</f>
        <v>56.077</v>
      </c>
      <c r="E59" s="187">
        <f>vlookup(A59,Big_Element[],2,FALSE)</f>
        <v>40.078</v>
      </c>
      <c r="F59" s="126">
        <f t="shared" si="6"/>
        <v>1.804963571</v>
      </c>
      <c r="G59" s="188">
        <f t="shared" si="7"/>
        <v>0.9012484876</v>
      </c>
      <c r="N59" s="153" t="s">
        <v>1027</v>
      </c>
      <c r="O59" s="156">
        <v>26.9815385</v>
      </c>
    </row>
    <row r="60" ht="22.5" customHeight="1">
      <c r="A60" s="185" t="s">
        <v>1027</v>
      </c>
      <c r="B60" s="125">
        <v>0.118</v>
      </c>
      <c r="C60" s="125" t="s">
        <v>1028</v>
      </c>
      <c r="D60" s="126">
        <f>2*vlookup("Al",Big_Element[],2,FALSE)+3*vlookup("O",Big_Element[],2,FALSE)</f>
        <v>101.960077</v>
      </c>
      <c r="E60" s="187">
        <f>vlookup(A60,Big_Element[],2,FALSE)</f>
        <v>26.9815385</v>
      </c>
      <c r="F60" s="126">
        <f t="shared" si="6"/>
        <v>0.4459081933</v>
      </c>
      <c r="G60" s="188">
        <f t="shared" si="7"/>
        <v>0.2226494159</v>
      </c>
      <c r="N60" s="153" t="s">
        <v>1029</v>
      </c>
      <c r="O60" s="156">
        <v>24.304</v>
      </c>
    </row>
    <row r="61" ht="22.5" customHeight="1">
      <c r="A61" s="185" t="s">
        <v>982</v>
      </c>
      <c r="B61" s="125">
        <v>0.3</v>
      </c>
      <c r="C61" s="125" t="s">
        <v>987</v>
      </c>
      <c r="D61" s="186">
        <f>vlookup("Mn",Big_Element[],2,FALSE)+vlookup("O",Big_Element[],2,FALSE)</f>
        <v>70.937</v>
      </c>
      <c r="E61" s="187">
        <f>vlookup(A61,Big_Element[],2,FALSE)</f>
        <v>54.938</v>
      </c>
      <c r="F61" s="126">
        <f t="shared" si="6"/>
        <v>0.3873657578</v>
      </c>
      <c r="G61" s="188">
        <f t="shared" si="7"/>
        <v>0.1934181991</v>
      </c>
      <c r="N61" s="153" t="s">
        <v>1030</v>
      </c>
      <c r="O61" s="156">
        <v>39.0983</v>
      </c>
    </row>
    <row r="62" ht="22.5" customHeight="1">
      <c r="A62" s="185" t="s">
        <v>1030</v>
      </c>
      <c r="B62" s="125">
        <v>0.02</v>
      </c>
      <c r="C62" s="125" t="s">
        <v>1031</v>
      </c>
      <c r="D62" s="186">
        <f>2*vlookup("K",Big_Element[],2,FALSE)+vlookup("O",Big_Element[],2,FALSE)</f>
        <v>94.1956</v>
      </c>
      <c r="E62" s="187">
        <f>vlookup(A62,Big_Element[],2,FALSE)</f>
        <v>39.0983</v>
      </c>
      <c r="F62" s="126">
        <f t="shared" si="6"/>
        <v>0.04818398754</v>
      </c>
      <c r="G62" s="188">
        <f t="shared" si="7"/>
        <v>0.02405907055</v>
      </c>
      <c r="N62" s="153" t="s">
        <v>1032</v>
      </c>
      <c r="O62" s="156">
        <v>22.98976928</v>
      </c>
    </row>
    <row r="63" ht="22.5" customHeight="1">
      <c r="A63" s="185" t="s">
        <v>1029</v>
      </c>
      <c r="B63" s="125">
        <v>0.44</v>
      </c>
      <c r="C63" s="125" t="s">
        <v>1033</v>
      </c>
      <c r="D63" s="186">
        <f>vlookup("Mg",Big_Element[],2,FALSE)+vlookup("O",Big_Element[],2,FALSE)</f>
        <v>40.303</v>
      </c>
      <c r="E63" s="187">
        <f>vlookup(A63,Big_Element[],2,FALSE)</f>
        <v>24.304</v>
      </c>
      <c r="F63" s="126">
        <f t="shared" si="6"/>
        <v>0.7296461488</v>
      </c>
      <c r="G63" s="188">
        <f t="shared" si="7"/>
        <v>0.3643245208</v>
      </c>
      <c r="N63" s="153" t="s">
        <v>980</v>
      </c>
      <c r="O63" s="156">
        <v>28.084</v>
      </c>
    </row>
    <row r="64" ht="22.5" customHeight="1">
      <c r="A64" s="185" t="s">
        <v>1032</v>
      </c>
      <c r="B64" s="125">
        <v>0.018</v>
      </c>
      <c r="C64" s="125" t="s">
        <v>1034</v>
      </c>
      <c r="D64" s="186">
        <f>2*vlookup("Na",Big_Element[],2,FALSE)+vlookup("O",Big_Element[],2,FALSE)</f>
        <v>61.97853856</v>
      </c>
      <c r="E64" s="187">
        <f>vlookup(A64,Big_Element[],2,FALSE)</f>
        <v>22.98976928</v>
      </c>
      <c r="F64" s="126">
        <f t="shared" si="6"/>
        <v>0.0485265285</v>
      </c>
      <c r="G64" s="188">
        <f t="shared" si="7"/>
        <v>0.02423010698</v>
      </c>
      <c r="N64" s="153" t="s">
        <v>1035</v>
      </c>
      <c r="O64" s="156">
        <v>63.546</v>
      </c>
    </row>
    <row r="65" ht="22.5" customHeight="1">
      <c r="A65" s="185" t="s">
        <v>1036</v>
      </c>
      <c r="B65" s="189">
        <v>0.004</v>
      </c>
      <c r="C65" s="125" t="s">
        <v>70</v>
      </c>
      <c r="D65" s="186">
        <f>vlookup("S",Big_Element[],2,FALSE)+4*vlookup("O",Big_Element[],2,FALSE)</f>
        <v>96.055</v>
      </c>
      <c r="E65" s="187">
        <f>vlookup(A65,Big_Element[],2,FALSE)</f>
        <v>32.059</v>
      </c>
      <c r="F65" s="126">
        <f t="shared" si="6"/>
        <v>0.01198477807</v>
      </c>
      <c r="G65" s="188">
        <f t="shared" si="7"/>
        <v>0.005984200057</v>
      </c>
      <c r="N65" s="153" t="s">
        <v>1037</v>
      </c>
      <c r="O65" s="156">
        <v>58.933194</v>
      </c>
    </row>
    <row r="66" ht="22.5" customHeight="1">
      <c r="A66" s="185" t="s">
        <v>1038</v>
      </c>
      <c r="B66" s="125">
        <v>0.0</v>
      </c>
      <c r="C66" s="125" t="s">
        <v>1039</v>
      </c>
      <c r="D66" s="186">
        <f>vlookup("Ni",Big_Element[],2,FALSE)+vlookup("O",Big_Element[],2,FALSE)</f>
        <v>74.6924</v>
      </c>
      <c r="E66" s="187">
        <f>vlookup(A66,Big_Element[],2,FALSE)</f>
        <v>58.6934</v>
      </c>
      <c r="F66" s="126">
        <f t="shared" si="6"/>
        <v>0</v>
      </c>
      <c r="G66" s="188">
        <f t="shared" si="7"/>
        <v>0</v>
      </c>
      <c r="N66" s="153" t="s">
        <v>1040</v>
      </c>
      <c r="O66" s="156">
        <v>47.867</v>
      </c>
    </row>
    <row r="67" ht="22.5" customHeight="1">
      <c r="A67" s="185" t="s">
        <v>1035</v>
      </c>
      <c r="B67" s="125">
        <v>0.0</v>
      </c>
      <c r="C67" s="125" t="s">
        <v>1041</v>
      </c>
      <c r="D67" s="186">
        <f>2*vlookup("Cu",Big_Element[],2,FALSE)+vlookup("O",Big_Element[],2,FALSE)</f>
        <v>143.091</v>
      </c>
      <c r="E67" s="187">
        <f>vlookup(A67,Big_Element[],2,FALSE)</f>
        <v>63.546</v>
      </c>
      <c r="F67" s="126">
        <f t="shared" si="6"/>
        <v>0</v>
      </c>
      <c r="G67" s="188">
        <f t="shared" si="7"/>
        <v>0</v>
      </c>
      <c r="N67" s="153" t="s">
        <v>1042</v>
      </c>
      <c r="O67" s="156">
        <v>35.446</v>
      </c>
    </row>
    <row r="68" ht="22.5" customHeight="1">
      <c r="A68" s="185" t="s">
        <v>1037</v>
      </c>
      <c r="B68" s="125">
        <v>0.0</v>
      </c>
      <c r="C68" s="125" t="s">
        <v>1043</v>
      </c>
      <c r="D68" s="126">
        <f>2*vlookup("Co",Big_Element[],2,FALSE)+3*vlookup("O",Big_Element[],2,FALSE)</f>
        <v>165.863388</v>
      </c>
      <c r="E68" s="187">
        <f>vlookup(A68,Big_Element[],2,FALSE)</f>
        <v>58.933194</v>
      </c>
      <c r="F68" s="126">
        <f t="shared" si="6"/>
        <v>0</v>
      </c>
      <c r="G68" s="188">
        <f t="shared" si="7"/>
        <v>0</v>
      </c>
      <c r="N68" s="153" t="s">
        <v>1044</v>
      </c>
      <c r="O68" s="156">
        <v>10.806</v>
      </c>
    </row>
    <row r="69" ht="22.5" customHeight="1">
      <c r="A69" s="185" t="s">
        <v>1040</v>
      </c>
      <c r="B69" s="125">
        <v>0.015</v>
      </c>
      <c r="C69" s="125" t="s">
        <v>1045</v>
      </c>
      <c r="D69" s="186">
        <f>vlookup("Ti",Big_Element[],2,FALSE)+2*vlookup("O",Big_Element[],2,FALSE)</f>
        <v>79.865</v>
      </c>
      <c r="E69" s="187">
        <f>vlookup(A69,Big_Element[],2,FALSE)</f>
        <v>47.867</v>
      </c>
      <c r="F69" s="126">
        <f t="shared" si="6"/>
        <v>0.02502715859</v>
      </c>
      <c r="G69" s="188">
        <f t="shared" si="7"/>
        <v>0.0124964787</v>
      </c>
      <c r="N69" s="153" t="s">
        <v>1046</v>
      </c>
      <c r="O69" s="156">
        <v>150.36</v>
      </c>
    </row>
    <row r="70" ht="22.5" customHeight="1">
      <c r="A70" s="185" t="s">
        <v>1042</v>
      </c>
      <c r="B70" s="125">
        <v>0.0</v>
      </c>
      <c r="C70" s="125" t="s">
        <v>1047</v>
      </c>
      <c r="D70" s="186">
        <f>vlookup("Cl",Big_Element[],2,FALSE)+2*vlookup("O",Big_Element[],2,FALSE)</f>
        <v>67.444</v>
      </c>
      <c r="E70" s="187">
        <f>vlookup(A70,Big_Element[],2,FALSE)</f>
        <v>35.446</v>
      </c>
      <c r="F70" s="126">
        <f t="shared" si="6"/>
        <v>0</v>
      </c>
      <c r="G70" s="188">
        <f t="shared" si="7"/>
        <v>0</v>
      </c>
      <c r="N70" s="153" t="s">
        <v>1048</v>
      </c>
      <c r="O70" s="156">
        <v>157.25</v>
      </c>
    </row>
    <row r="71" ht="22.5" customHeight="1">
      <c r="A71" s="185" t="s">
        <v>983</v>
      </c>
      <c r="B71" s="125">
        <v>0.0</v>
      </c>
      <c r="C71" s="125" t="s">
        <v>1049</v>
      </c>
      <c r="D71" s="186">
        <f>2*vlookup("H",Big_Element[],2,FALSE)+vlookup("O",Big_Element[],2,FALSE)</f>
        <v>18.01468</v>
      </c>
      <c r="E71" s="187">
        <f>vlookup(A71,Big_Element[],2,FALSE)</f>
        <v>1.00784</v>
      </c>
      <c r="F71" s="126">
        <f t="shared" si="6"/>
        <v>0</v>
      </c>
      <c r="G71" s="188">
        <f t="shared" si="7"/>
        <v>0</v>
      </c>
      <c r="N71" s="153" t="s">
        <v>1038</v>
      </c>
      <c r="O71" s="156">
        <v>58.6934</v>
      </c>
    </row>
    <row r="72" ht="22.5" customHeight="1">
      <c r="A72" s="185" t="s">
        <v>1044</v>
      </c>
      <c r="B72" s="125">
        <v>0.0</v>
      </c>
      <c r="C72" s="125" t="s">
        <v>1050</v>
      </c>
      <c r="D72" s="186">
        <f>vlookup("B",Big_Element[],2,FALSE)+vlookup("O",Big_Element[],2,FALSE)</f>
        <v>26.805</v>
      </c>
      <c r="E72" s="187">
        <f>vlookup(A72,Big_Element[],2,FALSE)</f>
        <v>10.806</v>
      </c>
      <c r="F72" s="126">
        <f t="shared" si="6"/>
        <v>0</v>
      </c>
      <c r="G72" s="188">
        <f t="shared" si="7"/>
        <v>0</v>
      </c>
      <c r="N72" s="153" t="s">
        <v>1036</v>
      </c>
      <c r="O72" s="156">
        <v>32.059</v>
      </c>
    </row>
    <row r="73" ht="22.5" customHeight="1">
      <c r="A73" s="185" t="s">
        <v>1046</v>
      </c>
      <c r="B73" s="125">
        <v>0.0</v>
      </c>
      <c r="C73" s="125" t="s">
        <v>1051</v>
      </c>
      <c r="D73" s="126">
        <f>2*vlookup("Sm",Big_Element[],2,FALSE)+3*vlookup("O",Big_Element[],2,FALSE)</f>
        <v>348.717</v>
      </c>
      <c r="E73" s="187">
        <f>vlookup(A73,Big_Element[],2,FALSE)</f>
        <v>150.36</v>
      </c>
      <c r="F73" s="126">
        <f t="shared" si="6"/>
        <v>0</v>
      </c>
      <c r="G73" s="188">
        <f t="shared" si="7"/>
        <v>0</v>
      </c>
      <c r="N73" s="153" t="s">
        <v>1052</v>
      </c>
      <c r="O73" s="156">
        <v>51.9961</v>
      </c>
    </row>
    <row r="74">
      <c r="A74" s="185" t="s">
        <v>1048</v>
      </c>
      <c r="B74" s="125">
        <v>0.0</v>
      </c>
      <c r="C74" s="125" t="s">
        <v>1053</v>
      </c>
      <c r="D74" s="126">
        <f>2*vlookup("Gd",Big_Element[],2,FALSE)+3*vlookup("O",Big_Element[],2,FALSE)</f>
        <v>362.497</v>
      </c>
      <c r="E74" s="187">
        <f>vlookup(A74,Big_Element[],2,FALSE)</f>
        <v>157.25</v>
      </c>
      <c r="F74" s="126">
        <f t="shared" si="6"/>
        <v>0</v>
      </c>
      <c r="G74" s="188">
        <f t="shared" si="7"/>
        <v>0</v>
      </c>
    </row>
    <row r="75">
      <c r="A75" s="190" t="s">
        <v>1052</v>
      </c>
      <c r="B75" s="191">
        <v>0.015</v>
      </c>
      <c r="C75" s="191" t="s">
        <v>1054</v>
      </c>
      <c r="D75" s="192">
        <f>2*vlookup("Cr",Big_Element[],2,FALSE)+3*vlookup("O",Big_Element[],2,FALSE)</f>
        <v>151.9892</v>
      </c>
      <c r="E75" s="193">
        <f>vlookup(A75,Big_Element[],2,FALSE)</f>
        <v>51.9961</v>
      </c>
      <c r="F75" s="192">
        <f t="shared" si="6"/>
        <v>0.04384632694</v>
      </c>
      <c r="G75" s="194">
        <f t="shared" si="7"/>
        <v>0.02189320409</v>
      </c>
    </row>
    <row r="78">
      <c r="A78" s="195" t="s">
        <v>1055</v>
      </c>
      <c r="B78" s="196"/>
      <c r="C78" s="195" t="s">
        <v>972</v>
      </c>
      <c r="D78" s="195" t="s">
        <v>973</v>
      </c>
    </row>
    <row r="79">
      <c r="A79" s="195" t="s">
        <v>622</v>
      </c>
      <c r="B79" s="195" t="s">
        <v>1056</v>
      </c>
      <c r="C79" s="195">
        <v>36.16</v>
      </c>
      <c r="D79" s="195">
        <v>26.98</v>
      </c>
    </row>
    <row r="80">
      <c r="A80" s="197" t="s">
        <v>1057</v>
      </c>
      <c r="B80" s="195" t="s">
        <v>1056</v>
      </c>
      <c r="C80" s="195">
        <v>74.76</v>
      </c>
      <c r="D80" s="195">
        <v>55.77</v>
      </c>
    </row>
  </sheetData>
  <dataValidations>
    <dataValidation type="custom" allowBlank="1" showDropDown="1" sqref="B3:D7 G3:G7 D10:I12 C17:K30 O3:S41 U3:U41 W3:X41 O51:O73">
      <formula1>AND(ISNUMBER(B3),(NOT(OR(NOT(ISERROR(DATEVALUE(B3))), AND(ISNUMBER(B3), LEFT(CELL("format", B3))="D")))))</formula1>
    </dataValidation>
    <dataValidation allowBlank="1" showDropDown="1" sqref="A3:A7 F3:F7 N51:N73"/>
  </dataValidations>
  <drawing r:id="rId2"/>
  <legacyDrawing r:id="rId3"/>
  <tableParts count="7">
    <tablePart r:id="rId11"/>
    <tablePart r:id="rId12"/>
    <tablePart r:id="rId13"/>
    <tablePart r:id="rId14"/>
    <tablePart r:id="rId15"/>
    <tablePart r:id="rId16"/>
    <tablePart r:id="rId17"/>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7.57"/>
    <col customWidth="1" min="3" max="3" width="19.86"/>
  </cols>
  <sheetData>
    <row r="1">
      <c r="A1" s="123" t="s">
        <v>1058</v>
      </c>
      <c r="B1" s="126">
        <f>counta(Raw!A:A)-3</f>
        <v>101</v>
      </c>
    </row>
    <row r="2">
      <c r="A2" s="123" t="s">
        <v>1059</v>
      </c>
      <c r="B2" s="198" t="str">
        <f>concatenate(round(sum(Raw!BH:BH),1)," Kg")</f>
        <v>2533.8 Kg</v>
      </c>
      <c r="C2" s="198" t="str">
        <f>concatenate(round(sum(Raw!BH:BH)/1000,1)," Tonnes")</f>
        <v>2.5 Tonnes</v>
      </c>
    </row>
    <row r="3">
      <c r="A3" s="123" t="s">
        <v>1060</v>
      </c>
      <c r="B3" s="198">
        <f>countif(Raw!CS:CS,"&gt;0")</f>
        <v>85</v>
      </c>
      <c r="C3" s="199">
        <f>B3/B1</f>
        <v>0.8415841584</v>
      </c>
    </row>
    <row r="4">
      <c r="A4" s="123" t="s">
        <v>1061</v>
      </c>
      <c r="B4" s="198" t="str">
        <f>Concatenate(sum(Raw!CS:CS)," Kg")</f>
        <v>485.996 Kg</v>
      </c>
      <c r="C4" s="198"/>
    </row>
    <row r="5">
      <c r="A5" s="123" t="s">
        <v>1062</v>
      </c>
      <c r="B5" s="200">
        <f>averageif(Raw!CW:CW,"&gt;0")</f>
        <v>0.2180010487</v>
      </c>
      <c r="C5" s="198"/>
    </row>
    <row r="6">
      <c r="A6" s="123" t="s">
        <v>1063</v>
      </c>
      <c r="B6" s="200">
        <f>averageif(Raw!CX:CX,"&gt;0")</f>
        <v>0.3689525143</v>
      </c>
      <c r="C6" s="198"/>
    </row>
    <row r="7">
      <c r="A7" s="123" t="s">
        <v>1064</v>
      </c>
      <c r="B7" s="198" t="str">
        <f>concatenate(round(sum(Raw!BX:BX),1)," Kg")</f>
        <v>5261.9 Kg</v>
      </c>
      <c r="C7" s="198" t="str">
        <f>concatenate(round(sum(Raw!BX:BX)/1000,1)," Tonnes")</f>
        <v>5.3 Tonnes</v>
      </c>
    </row>
    <row r="8">
      <c r="A8" s="123" t="s">
        <v>1065</v>
      </c>
      <c r="B8" s="126">
        <f>B1-B9</f>
        <v>77</v>
      </c>
    </row>
    <row r="9">
      <c r="A9" s="123" t="s">
        <v>1066</v>
      </c>
      <c r="B9" s="126">
        <f>countif(Raw!K:K,"&gt;1")</f>
        <v>24</v>
      </c>
      <c r="C9" s="130">
        <f>B9/B1</f>
        <v>0.2376237624</v>
      </c>
      <c r="D9" s="125" t="s">
        <v>1067</v>
      </c>
    </row>
    <row r="10">
      <c r="A10" s="123" t="s">
        <v>1068</v>
      </c>
      <c r="B10" s="126">
        <f>countif(Raw!K:K,"1")</f>
        <v>13</v>
      </c>
      <c r="C10" s="130">
        <f>B10/B1</f>
        <v>0.1287128713</v>
      </c>
      <c r="D10" s="125" t="s">
        <v>1069</v>
      </c>
    </row>
    <row r="11">
      <c r="A11" s="123" t="s">
        <v>1070</v>
      </c>
      <c r="B11" s="126">
        <f>counta(Display_OreTypes!A2:A50)</f>
        <v>35</v>
      </c>
    </row>
    <row r="12">
      <c r="A12" s="123" t="s">
        <v>1071</v>
      </c>
      <c r="B12" s="126">
        <f>IFERROR(__xludf.DUMMYFUNCTION("countunique(Raw!I:I)-1"),21.0)</f>
        <v>21</v>
      </c>
    </row>
    <row r="13">
      <c r="A13" s="123" t="s">
        <v>1072</v>
      </c>
      <c r="B13" s="126">
        <f>IFERROR(__xludf.DUMMYFUNCTION("COUNTUNIQUE(Raw!AQ:AQ)-1"),18.0)</f>
        <v>18</v>
      </c>
      <c r="D13" s="125" t="s">
        <v>1073</v>
      </c>
    </row>
    <row r="14">
      <c r="A14" s="123" t="s">
        <v>1074</v>
      </c>
      <c r="B14" s="198" t="str">
        <f>concatenate(Summaries!C38,":",text(Summaries!C40,"00")," (hh:mm)")</f>
        <v>587:42 (hh:mm)</v>
      </c>
      <c r="C14" s="198" t="str">
        <f>concatenate(Summaries!C37,":",text(Summaries!C39,"00"),":",text(Summaries!C40,"00")," (dd:hh:mm)")</f>
        <v>24:11:42 (dd:hh:mm)</v>
      </c>
      <c r="D14" s="126" t="str">
        <f>concatenate(Summaries!D38,":",text(Summaries!D40,"00")," (hh:mm)")</f>
        <v>5:49 (hh:mm)</v>
      </c>
    </row>
    <row r="15">
      <c r="A15" s="123" t="s">
        <v>1075</v>
      </c>
      <c r="B15" s="198" t="str">
        <f>concatenate(Summaries!C45,":",text(Summaries!C47,"00")," (hh:mm)")</f>
        <v>379:55 (hh:mm)</v>
      </c>
      <c r="C15" s="198" t="str">
        <f>concatenate(Summaries!C44,":",text(Summaries!C46,"00"),":",text(Summaries!C47,"00")," (dd:hh:mm)")</f>
        <v>15:19:55 (dd:hh:mm)</v>
      </c>
      <c r="D15" s="126" t="str">
        <f>concatenate(Summaries!D46,":",text(Summaries!D47,"00")," (hh:mm)")</f>
        <v>3:46 (hh:mm)</v>
      </c>
    </row>
    <row r="16">
      <c r="A16" s="125" t="s">
        <v>1076</v>
      </c>
      <c r="B16" s="126">
        <f>countif(Calcs!Z:Z,"Y")</f>
        <v>99</v>
      </c>
    </row>
    <row r="17">
      <c r="A17" s="125" t="s">
        <v>1077</v>
      </c>
      <c r="B17" s="126">
        <f>countif(Calcs!Y:Y,"Y")</f>
        <v>60</v>
      </c>
    </row>
    <row r="18">
      <c r="A18" s="123" t="s">
        <v>1078</v>
      </c>
      <c r="B18" s="201" t="str">
        <f>concatenate(round(averageif(Raw!CS:CS,"&gt;0"),2)," Kg")</f>
        <v>5.72 Kg</v>
      </c>
    </row>
    <row r="19">
      <c r="A19" s="123" t="s">
        <v>1079</v>
      </c>
    </row>
    <row r="20">
      <c r="A20" s="123" t="s">
        <v>1080</v>
      </c>
      <c r="B20" s="126">
        <f>countif(Raw!CR:CR,"top")+countif(Raw!CR:CR,"top - broken")+countif(Raw!CR:CR,"top - bottom")</f>
        <v>27</v>
      </c>
    </row>
    <row r="21">
      <c r="A21" s="123" t="s">
        <v>1081</v>
      </c>
      <c r="B21" s="126">
        <f>countif(Raw!CR:CR,"bottom")</f>
        <v>51</v>
      </c>
    </row>
    <row r="22">
      <c r="A22" s="123" t="s">
        <v>1082</v>
      </c>
      <c r="B22" s="126">
        <f>countif(Raw!CR:CR,"cold")+countif(Raw!CR:CR,"dismantled")</f>
        <v>22</v>
      </c>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8.14"/>
    <col customWidth="1" min="2" max="2" width="11.29"/>
    <col customWidth="1" min="3" max="3" width="9.29"/>
    <col customWidth="1" min="4" max="6" width="6.71"/>
    <col customWidth="1" min="7" max="7" width="6.57"/>
    <col customWidth="1" min="8" max="8" width="7.14"/>
    <col customWidth="1" min="9" max="10" width="8.86"/>
    <col customWidth="1" min="11" max="11" width="9.57"/>
    <col customWidth="1" min="12" max="12" width="8.29"/>
    <col customWidth="1" min="13" max="13" width="8.43"/>
    <col customWidth="1" min="14" max="14" width="9.0"/>
    <col customWidth="1" min="15" max="15" width="8.71"/>
    <col customWidth="1" min="16" max="16" width="7.14"/>
    <col customWidth="1" min="17" max="17" width="8.43"/>
    <col customWidth="1" min="18" max="18" width="9.29"/>
    <col customWidth="1" min="19" max="19" width="8.71"/>
    <col customWidth="1" min="20" max="20" width="11.14"/>
    <col customWidth="1" min="21" max="21" width="8.43"/>
    <col customWidth="1" min="22" max="22" width="3.71"/>
    <col customWidth="1" min="23" max="23" width="3.14"/>
    <col customWidth="1" min="24" max="24" width="4.0"/>
    <col customWidth="1" min="25" max="25" width="5.29"/>
    <col customWidth="1" min="26" max="26" width="6.86"/>
    <col customWidth="1" min="27" max="27" width="8.57"/>
    <col customWidth="1" min="28" max="28" width="6.14"/>
    <col customWidth="1" min="29" max="29" width="9.57"/>
    <col customWidth="1" min="30" max="30" width="9.14"/>
    <col customWidth="1" min="31" max="31" width="6.43"/>
    <col customWidth="1" min="32" max="32" width="8.86"/>
    <col customWidth="1" min="33" max="51" width="8.71"/>
  </cols>
  <sheetData>
    <row r="1">
      <c r="A1" s="202" t="str">
        <f>Raw!A1</f>
        <v>Reference</v>
      </c>
      <c r="B1" s="203" t="str">
        <f>Raw!AA1</f>
        <v>Calc. Area (cm2)</v>
      </c>
      <c r="C1" s="204" t="s">
        <v>1083</v>
      </c>
      <c r="D1" s="205" t="s">
        <v>1084</v>
      </c>
      <c r="E1" s="205" t="s">
        <v>1085</v>
      </c>
      <c r="F1" s="205" t="s">
        <v>150</v>
      </c>
      <c r="G1" s="205" t="s">
        <v>1086</v>
      </c>
      <c r="H1" s="205" t="s">
        <v>427</v>
      </c>
      <c r="I1" s="205" t="s">
        <v>350</v>
      </c>
      <c r="J1" s="205" t="s">
        <v>332</v>
      </c>
      <c r="K1" s="205" t="s">
        <v>207</v>
      </c>
      <c r="L1" s="205" t="s">
        <v>221</v>
      </c>
      <c r="M1" s="205" t="s">
        <v>197</v>
      </c>
      <c r="N1" s="206" t="s">
        <v>1087</v>
      </c>
      <c r="O1" s="204" t="s">
        <v>1088</v>
      </c>
      <c r="P1" s="202"/>
      <c r="Q1" s="204" t="s">
        <v>1074</v>
      </c>
      <c r="R1" s="202" t="str">
        <f>Raw!CE1</f>
        <v>Main Sequence (Min)</v>
      </c>
      <c r="S1" s="204" t="s">
        <v>1089</v>
      </c>
      <c r="T1" s="204"/>
      <c r="U1" s="204" t="s">
        <v>1090</v>
      </c>
      <c r="V1" s="204"/>
      <c r="W1" s="204"/>
      <c r="X1" s="204"/>
      <c r="Y1" s="204" t="s">
        <v>1091</v>
      </c>
      <c r="Z1" s="204" t="s">
        <v>1092</v>
      </c>
      <c r="AA1" s="204" t="s">
        <v>1093</v>
      </c>
      <c r="AB1" s="204" t="s">
        <v>1094</v>
      </c>
      <c r="AC1" s="204" t="s">
        <v>933</v>
      </c>
      <c r="AD1" s="204" t="s">
        <v>1095</v>
      </c>
      <c r="AE1" s="204" t="s">
        <v>935</v>
      </c>
      <c r="AF1" s="204" t="s">
        <v>936</v>
      </c>
      <c r="AG1" s="204" t="s">
        <v>1096</v>
      </c>
      <c r="AH1" s="204" t="s">
        <v>1097</v>
      </c>
      <c r="AI1" s="204" t="s">
        <v>1098</v>
      </c>
      <c r="AJ1" s="204" t="s">
        <v>1099</v>
      </c>
      <c r="AK1" s="204" t="s">
        <v>1100</v>
      </c>
      <c r="AL1" s="204" t="s">
        <v>1101</v>
      </c>
      <c r="AM1" s="204" t="s">
        <v>1102</v>
      </c>
      <c r="AN1" s="204" t="s">
        <v>1103</v>
      </c>
      <c r="AO1" s="204" t="s">
        <v>1104</v>
      </c>
      <c r="AP1" s="204" t="s">
        <v>1105</v>
      </c>
      <c r="AQ1" s="204" t="s">
        <v>1106</v>
      </c>
      <c r="AR1" s="207" t="s">
        <v>1107</v>
      </c>
      <c r="AS1" s="204"/>
      <c r="AT1" s="204"/>
      <c r="AU1" s="204"/>
      <c r="AV1" s="204"/>
      <c r="AW1" s="204"/>
      <c r="AX1" s="204"/>
      <c r="AY1" s="204"/>
    </row>
    <row r="2">
      <c r="A2" s="126">
        <f>Raw!A2</f>
        <v>1</v>
      </c>
      <c r="B2" s="208">
        <f>if(isnumber(O2),if(isblank(Raw!Z2),O2,concatenate(O2," (E)")),"ERROR")</f>
        <v>1050</v>
      </c>
      <c r="C2" s="174">
        <f>ifs(Raw!S2="NR","NR",isblank(O2),"ERROR",1,O2*Raw!S2)</f>
        <v>44100</v>
      </c>
      <c r="D2" s="209">
        <f>ifs(AND(isnumber(Raw!X2),isnumber(Raw!Y2)),Raw!X2-Raw!Y2, AND(isnumber(Raw!U2),isnumber(Raw!V2)),Raw!U2-Raw!V2,1,)</f>
        <v>5</v>
      </c>
      <c r="E2" s="209">
        <f>IFS(isnumber(Raw!X2),Raw!X2/2,isnumber(Raw!U2),Raw!U2/2,1,)</f>
        <v>17.5</v>
      </c>
      <c r="F2" s="209">
        <f t="shared" ref="F2:F104" si="2">if(isnumber(E2),round(PI()*E2^2,1),)</f>
        <v>962.1</v>
      </c>
      <c r="G2" s="209">
        <f>if(and(isnumber(Raw!U2),isnumber(Raw!V2)),round(Raw!U2*Raw!V2,1),)</f>
        <v>1050</v>
      </c>
      <c r="H2" s="209">
        <f>if(and(isnumber(Raw!U2),isnumber(Raw!V2)),round(pi()*Raw!U2/2*Raw!V2/2,1),)</f>
        <v>824.7</v>
      </c>
      <c r="I2" s="210">
        <f t="shared" ref="I2:I104" si="3">if(and(isnumber(E2),isnumber(F2)),F2-((E2*E2)*ACOS((E2-D2)/E2) - (E2-D2)*sqrt(2*E2*D2-(D2*D2))),)</f>
        <v>877.7901383</v>
      </c>
      <c r="J2" s="209">
        <f t="shared" ref="J2:J104" si="4">if(isnumber(E2),round((6*(E2*2*tan(PI()/6))^2)/(4*tan(PI()/6)),1),)</f>
        <v>1060.9</v>
      </c>
      <c r="K2" s="209">
        <f t="shared" ref="K2:K104" si="5">if(isnumber(E2),round((7*(E2*2*tan(PI()/7))^2)/(4*tan(PI()/7)),1),)</f>
        <v>1032.4</v>
      </c>
      <c r="L2" s="209">
        <f t="shared" ref="L2:L104" si="6">if(isnumber(E2),round((8*(E2*2*tan(PI()/8))^2)/(4*tan(PI()/8)),1),)</f>
        <v>1014.8</v>
      </c>
      <c r="M2" s="209">
        <f t="shared" ref="M2:M104" si="7">if(isnumber(E2),round((9*(E2*2*tan(PI()/9))^2)/(4*tan(PI()/9)),1),)</f>
        <v>1003.2</v>
      </c>
      <c r="N2" s="210" t="str">
        <f>if(and(isnumber(Raw!U2),isnumber(Raw!V2),isnumber(Raw!W2)),0.5*Pi()*(Raw!V2/2)^2+(Raw!W2*(Raw!U2-0.5*Raw!V2))+2*((Raw!V2-Raw!W2)/2*(Raw!U2-0.5*Raw!V2)),)</f>
        <v/>
      </c>
      <c r="O2" s="174">
        <f>ifs(Raw!M2="Rectangle",G2,Raw!M2="Cut-teardrop",N2,Raw!M2="Oval",H2,Raw!M2="Flat Circle",I2,Raw!M2="Oval to Circle",F2,Raw!M2="Circle",F2,AND(Raw!M2="Circle to Oval",isnumber(Raw!X2),isblank(Raw!Z2)),F2,Raw!M2="Hexagon",J2,Raw!M2="Septagon",K2,Raw!M2="Octagon",L2,Raw!M2="Nonagon",M2)</f>
        <v>1050</v>
      </c>
      <c r="Q2" s="211">
        <f>if(AND(isnumber(Raw!BW2),isnumber(Raw!CJ2)),Raw!BW2+Raw!CJ2,Raw!CE2)</f>
        <v>143</v>
      </c>
      <c r="R2" s="126">
        <f>if(isnumber(Raw!CE2),Raw!CE2,)</f>
        <v>61</v>
      </c>
      <c r="S2" s="144">
        <f>if(isblank(Raw!AT2),Raw!AS2,Raw!AT2)</f>
        <v>120</v>
      </c>
      <c r="T2" s="145"/>
      <c r="U2" s="212">
        <f>ifs(istext(Raw!AT2),Raw!AT2,AND(Raw!AT2&gt;0,isblank(Raw!AS2)),Raw!AT2,1,Raw!AS2)</f>
        <v>120</v>
      </c>
      <c r="V2" s="144"/>
      <c r="W2" s="130"/>
      <c r="Z2" s="125" t="s">
        <v>123</v>
      </c>
      <c r="AA2" s="213">
        <f>ifs(AND(Raw!BH2=0,Raw!BK2&gt;0),Raw!BK2*Numbers!J$1,OR(iserror(AB2),Raw!BK2="NR"),"?",1,AB2*Raw!BH2+Raw!BK2*Numbers!J$1)</f>
        <v>0.9467491402</v>
      </c>
      <c r="AB2" s="130">
        <f>(Raw!AY2*vlookup(Raw!AX2,Ores[],11,FALSE)+if(isblank(Raw!AZ2),0,Raw!BA2*vlookup(Raw!AZ2,Ores[],11,FALSE))+if(isblank(Raw!BB2),0,Raw!BC2*vlookup(Raw!BB2,Ores[],11,FALSE))+if(isblank(Raw!BD2),0,Raw!BE2*vlookup(Raw!BD2,Ores[],11,FALSE))+if(isblank(Raw!BF2),0,Raw!BG2*vlookup(Raw!BF2,Ores[],11,FALSE)))/Raw!BH2</f>
        <v>0.6311660934</v>
      </c>
      <c r="AC2" s="130">
        <f>if(AND(isblank(Raw!BK2),isblank(Raw!BM2),isnumber(Raw!CS2),Raw!CS2&gt;0),if(isnumber(Raw!BL2),Raw!CS2/Raw!BL2,Raw!BL2),)</f>
        <v>0.06666666667</v>
      </c>
      <c r="AD2" s="130" t="str">
        <f>if(AND(Raw!BK2&gt;0,isblank(Raw!BM2),isnumber(Raw!CS2),Raw!CS2&gt;0),if(isnumber(Raw!BL2),Raw!CS2/Raw!BL2,Raw!BL2),)</f>
        <v/>
      </c>
      <c r="AE2" s="130" t="str">
        <f>if(AND(isblank(Raw!BK2),Raw!BM2&gt;0,isnumber(Raw!CS2),Raw!CS2&gt;0),if(isnumber(Raw!BL2),Raw!CS2/Raw!BL2,Raw!BL2),)</f>
        <v/>
      </c>
      <c r="AF2" s="130" t="str">
        <f>if(AND(Raw!BK2&gt;0,Raw!BM2&gt;0,isnumber(Raw!CS2),Raw!CS2&gt;0),if(isnumber(Raw!BL2),Raw!CS2/Raw!BL2,Raw!BL2),)</f>
        <v/>
      </c>
      <c r="AG2" s="214" t="str">
        <f>if(AND(isblank(Raw!BK2),Raw!BM2&gt;0,isnumber(Raw!CS2),Raw!CS2&gt;0),Raw!BM2,)</f>
        <v/>
      </c>
      <c r="AH2" s="215">
        <f t="shared" ref="AH2:AH104" si="8">if(AND(AC2&gt;0,isnumber(AB2)),AB2,)</f>
        <v>0.6311660934</v>
      </c>
      <c r="AI2" s="214" t="str">
        <f t="shared" ref="AI2:AK2" si="1">if(AND(AD2&gt;0,isnumber($AB2)),$AB2,)</f>
        <v/>
      </c>
      <c r="AJ2" s="214" t="str">
        <f t="shared" si="1"/>
        <v/>
      </c>
      <c r="AK2" s="214" t="str">
        <f t="shared" si="1"/>
        <v/>
      </c>
      <c r="AL2" s="214" t="str">
        <f>if(AND(Raw!BK2&gt;0,isblank(Raw!BM2),isnumber(Raw!CS2),Raw!CS2&gt;0),Raw!BK2,)</f>
        <v/>
      </c>
      <c r="AM2" s="214" t="str">
        <f>if(AND(Raw!BK2&gt;0,Raw!BM2&gt;0,isnumber(Raw!CS2),Raw!CS2&gt;0),Raw!BM2,)</f>
        <v/>
      </c>
      <c r="AN2" s="214" t="str">
        <f>if(AND(Raw!BK2&gt;0,Raw!BM2&gt;0,isnumber(Raw!CS2),Raw!CS2&gt;0),Raw!BK2,)</f>
        <v/>
      </c>
      <c r="AO2" s="214">
        <f t="array" ref="AO2">if(Raw!H2="Vinland",max(AO$1:indirect("AO"&amp;(row()-1)))+1,)</f>
        <v>1</v>
      </c>
      <c r="AP2" s="214" t="str">
        <f t="array" ref="AP2">if(Raw!H2="Icelandic",max(AP$1:indirect("AP"&amp;(row()-1)))+1,)</f>
        <v/>
      </c>
      <c r="AQ2" s="214" t="str">
        <f t="array" ref="AQ2">if(Raw!H2="Turf-to-Tools",max(AQ$1:indirect("AQ"&amp;(row()-1)))+1,)</f>
        <v/>
      </c>
      <c r="AR2" s="216">
        <f>IFS(OR(iserror(Raw!BP2),iserror(Raw!BQ2)),"NR",OR(Raw!BP2="?",Raw!BQ2="?"),"?",1,(Raw!BP2+Raw!BQ2)*Raw!BH2/100)</f>
        <v>0.0558076225</v>
      </c>
      <c r="AS2" s="214"/>
      <c r="AT2" s="214"/>
      <c r="AU2" s="214"/>
      <c r="AV2" s="214"/>
      <c r="AW2" s="214"/>
      <c r="AX2" s="214"/>
      <c r="AY2" s="214"/>
    </row>
    <row r="3">
      <c r="A3" s="126" t="str">
        <f>Raw!A3</f>
        <v>2 / D1</v>
      </c>
      <c r="B3" s="208">
        <f>if(isnumber(O3),if(isblank(Raw!Z3),O3,concatenate(O3," (E)")),"ERROR")</f>
        <v>1800</v>
      </c>
      <c r="C3" s="174">
        <f>ifs(Raw!S3="NR","NR",isblank(O3),"ERROR",1,O3*Raw!S3)</f>
        <v>54000</v>
      </c>
      <c r="D3" s="209">
        <f>ifs(AND(isnumber(Raw!X3),isnumber(Raw!Y3)),Raw!X3-Raw!Y3, AND(isnumber(Raw!U3),isnumber(Raw!V3)),Raw!U3-Raw!V3,1,)</f>
        <v>5</v>
      </c>
      <c r="E3" s="209">
        <f>IFS(isnumber(Raw!X3),Raw!X3/2,isnumber(Raw!U3),Raw!U3/2,1,)</f>
        <v>22.5</v>
      </c>
      <c r="F3" s="209">
        <f t="shared" si="2"/>
        <v>1590.4</v>
      </c>
      <c r="G3" s="209">
        <f>if(and(isnumber(Raw!U3),isnumber(Raw!V3)),round(Raw!U3*Raw!V3,1),)</f>
        <v>1800</v>
      </c>
      <c r="H3" s="209">
        <f>if(and(isnumber(Raw!U3),isnumber(Raw!V3)),round(pi()*Raw!U3/2*Raw!V3/2,1),)</f>
        <v>1413.7</v>
      </c>
      <c r="I3" s="210">
        <f t="shared" si="3"/>
        <v>1493.802503</v>
      </c>
      <c r="J3" s="209">
        <f t="shared" si="4"/>
        <v>1753.7</v>
      </c>
      <c r="K3" s="209">
        <f t="shared" si="5"/>
        <v>1706.6</v>
      </c>
      <c r="L3" s="209">
        <f t="shared" si="6"/>
        <v>1677.6</v>
      </c>
      <c r="M3" s="209">
        <f t="shared" si="7"/>
        <v>1658.3</v>
      </c>
      <c r="N3" s="210" t="str">
        <f>if(and(isnumber(Raw!U3),isnumber(Raw!V3),isnumber(Raw!W3)),0.5*Pi()*(Raw!V3/2)^2+(Raw!W3*(Raw!U3-0.5*Raw!V3))+2*((Raw!V3-Raw!W3)/2*(Raw!U3-0.5*Raw!V3)),)</f>
        <v/>
      </c>
      <c r="O3" s="174">
        <f>ifs(Raw!M3="Rectangle",G3,Raw!M3="Cut-teardrop",N3,Raw!M3="Oval",H3,Raw!M3="Flat Circle",I3,Raw!M3="Oval to Circle",F3,Raw!M3="Circle",F3,AND(Raw!M3="Circle to Oval",isnumber(Raw!X3),isblank(Raw!Z3)),F3,Raw!M3="Hexagon",J3,Raw!M3="Septagon",K3,Raw!M3="Octagon",L3,Raw!M3="Nonagon",M3)</f>
        <v>1800</v>
      </c>
      <c r="Q3" s="211">
        <f>if(AND(isnumber(Raw!BW3),isnumber(Raw!CJ3)),Raw!BW3+Raw!CJ3,Raw!CE3)</f>
        <v>468</v>
      </c>
      <c r="R3" s="126">
        <f>if(isnumber(Raw!CE3),Raw!CE3,)</f>
        <v>207</v>
      </c>
      <c r="S3" s="144">
        <f>if(isblank(Raw!AT3),Raw!AS3,Raw!AT3)</f>
        <v>100</v>
      </c>
      <c r="T3" s="145"/>
      <c r="U3" s="212">
        <f>ifs(istext(Raw!AT3),Raw!AT3,AND(Raw!AT3&gt;0,isblank(Raw!AS3)),Raw!AT3,1,Raw!AS3)</f>
        <v>100</v>
      </c>
      <c r="V3" s="144"/>
      <c r="W3" s="130"/>
      <c r="Y3" s="125" t="s">
        <v>123</v>
      </c>
      <c r="Z3" s="125" t="s">
        <v>123</v>
      </c>
      <c r="AA3" s="213">
        <f>ifs(AND(Raw!BH3=0,Raw!BK3&gt;0),Raw!BK3*Numbers!J$1,OR(iserror(AB3),Raw!BK3="NR"),"?",1,AB3*Raw!BH3+Raw!BK3*Numbers!J$1)</f>
        <v>3.671295775</v>
      </c>
      <c r="AB3" s="130">
        <f>(Raw!AY3*vlookup(Raw!AX3,Ores[],11,FALSE)+if(isblank(Raw!AZ3),0,Raw!BA3*vlookup(Raw!AZ3,Ores[],11,FALSE))+if(isblank(Raw!BB3),0,Raw!BC3*vlookup(Raw!BB3,Ores[],11,FALSE))+if(isblank(Raw!BD3),0,Raw!BE3*vlookup(Raw!BD3,Ores[],11,FALSE))+if(isblank(Raw!BF3),0,Raw!BG3*vlookup(Raw!BF3,Ores[],11,FALSE)))/Raw!BH3</f>
        <v>0.5921444799</v>
      </c>
      <c r="AC3" s="130" t="str">
        <f>if(AND(isblank(Raw!BK3),isblank(Raw!BM3),isnumber(Raw!CS3),Raw!CS3&gt;0),if(isnumber(Raw!BL3),Raw!CS3/Raw!BL3,Raw!BL3),)</f>
        <v/>
      </c>
      <c r="AD3" s="130" t="str">
        <f>if(AND(Raw!BK3&gt;0,isblank(Raw!BM3),isnumber(Raw!CS3),Raw!CS3&gt;0),if(isnumber(Raw!BL3),Raw!CS3/Raw!BL3,Raw!BL3),)</f>
        <v/>
      </c>
      <c r="AE3" s="130" t="str">
        <f>if(AND(isblank(Raw!BK3),Raw!BM3&gt;0,isnumber(Raw!CS3),Raw!CS3&gt;0),if(isnumber(Raw!BL3),Raw!CS3/Raw!BL3,Raw!BL3),)</f>
        <v/>
      </c>
      <c r="AF3" s="130" t="str">
        <f>if(AND(Raw!BK3&gt;0,Raw!BM3&gt;0,isnumber(Raw!CS3),Raw!CS3&gt;0),if(isnumber(Raw!BL3),Raw!CS3/Raw!BL3,Raw!BL3),)</f>
        <v/>
      </c>
      <c r="AG3" s="214" t="str">
        <f>if(AND(isblank(Raw!BK3),Raw!BM3&gt;0,isnumber(Raw!CS3),Raw!CS3&gt;0),Raw!BM3,)</f>
        <v/>
      </c>
      <c r="AH3" s="214" t="str">
        <f t="shared" si="8"/>
        <v/>
      </c>
      <c r="AI3" s="214" t="str">
        <f t="shared" ref="AI3:AK3" si="9">if(AND(AD3&gt;0,isnumber($AB3)),$AB3,)</f>
        <v/>
      </c>
      <c r="AJ3" s="214" t="str">
        <f t="shared" si="9"/>
        <v/>
      </c>
      <c r="AK3" s="214" t="str">
        <f t="shared" si="9"/>
        <v/>
      </c>
      <c r="AL3" s="214" t="str">
        <f>if(AND(Raw!BK3&gt;0,isblank(Raw!BM3),isnumber(Raw!CS3),Raw!CS3&gt;0),Raw!BK3,)</f>
        <v/>
      </c>
      <c r="AM3" s="214" t="str">
        <f>if(AND(Raw!BK3&gt;0,Raw!BM3&gt;0,isnumber(Raw!CS3),Raw!CS3&gt;0),Raw!BM3,)</f>
        <v/>
      </c>
      <c r="AN3" s="214" t="str">
        <f>if(AND(Raw!BK3&gt;0,Raw!BM3&gt;0,isnumber(Raw!CS3),Raw!CS3&gt;0),Raw!BK3,)</f>
        <v/>
      </c>
      <c r="AO3" s="214">
        <f t="array" ref="AO3">if(Raw!H3="Vinland",max(AO$1:indirect("AO"&amp;(row()-1)))+1,)</f>
        <v>2</v>
      </c>
      <c r="AP3" s="214" t="str">
        <f t="array" ref="AP3">if(Raw!H3="Icelandic",max(AP$1:indirect("AP"&amp;(row()-1)))+1,)</f>
        <v/>
      </c>
      <c r="AQ3" s="214" t="str">
        <f t="array" ref="AQ3">if(Raw!H3="Turf-to-Tools",max(AQ$1:indirect("AQ"&amp;(row()-1)))+1,)</f>
        <v/>
      </c>
      <c r="AR3" s="216" t="str">
        <f>IFS(OR(iserror(Raw!BP3),iserror(Raw!BQ3)),"NR",OR(Raw!BP3="?",Raw!BQ3="?"),"?",1,(Raw!BP3+Raw!BQ3)*Raw!BH3/100)</f>
        <v>?</v>
      </c>
      <c r="AS3" s="214"/>
      <c r="AT3" s="214"/>
      <c r="AU3" s="214"/>
      <c r="AV3" s="214"/>
      <c r="AW3" s="214"/>
      <c r="AX3" s="214"/>
      <c r="AY3" s="214"/>
    </row>
    <row r="4">
      <c r="A4" s="126" t="str">
        <f>Raw!A4</f>
        <v>3 / D2</v>
      </c>
      <c r="B4" s="208" t="str">
        <f>if(isnumber(O4),if(isblank(Raw!Z4),O4,concatenate(O4," (E)")),"ERROR")</f>
        <v>530.9 (E)</v>
      </c>
      <c r="C4" s="174">
        <f>ifs(Raw!S4="NR","NR",isblank(O4),"ERROR",1,O4*Raw!S4)</f>
        <v>29199.5</v>
      </c>
      <c r="D4" s="209">
        <f>ifs(AND(isnumber(Raw!X4),isnumber(Raw!Y4)),Raw!X4-Raw!Y4, AND(isnumber(Raw!U4),isnumber(Raw!V4)),Raw!U4-Raw!V4,1,)</f>
        <v>3</v>
      </c>
      <c r="E4" s="209">
        <f>IFS(isnumber(Raw!X4),Raw!X4/2,isnumber(Raw!U4),Raw!U4/2,1,)</f>
        <v>13</v>
      </c>
      <c r="F4" s="209">
        <f t="shared" si="2"/>
        <v>530.9</v>
      </c>
      <c r="G4" s="209">
        <f>if(and(isnumber(Raw!U4),isnumber(Raw!V4)),round(Raw!U4*Raw!V4,1),)</f>
        <v>648</v>
      </c>
      <c r="H4" s="209">
        <f>if(and(isnumber(Raw!U4),isnumber(Raw!V4)),round(pi()*Raw!U4/2*Raw!V4/2,1),)</f>
        <v>508.9</v>
      </c>
      <c r="I4" s="210">
        <f t="shared" si="3"/>
        <v>496.8222142</v>
      </c>
      <c r="J4" s="209">
        <f t="shared" si="4"/>
        <v>585.4</v>
      </c>
      <c r="K4" s="209">
        <f t="shared" si="5"/>
        <v>569.7</v>
      </c>
      <c r="L4" s="209">
        <f t="shared" si="6"/>
        <v>560</v>
      </c>
      <c r="M4" s="209">
        <f t="shared" si="7"/>
        <v>553.6</v>
      </c>
      <c r="N4" s="210" t="str">
        <f>if(and(isnumber(Raw!U4),isnumber(Raw!V4),isnumber(Raw!W4)),0.5*Pi()*(Raw!V4/2)^2+(Raw!W4*(Raw!U4-0.5*Raw!V4))+2*((Raw!V4-Raw!W4)/2*(Raw!U4-0.5*Raw!V4)),)</f>
        <v/>
      </c>
      <c r="O4" s="174">
        <f>ifs(Raw!M4="Rectangle",G4,Raw!M4="Cut-teardrop",N4,Raw!M4="Oval",H4,Raw!M4="Flat Circle",I4,Raw!M4="Oval to Circle",F4,Raw!M4="Circle",F4,AND(Raw!M4="Circle to Oval",isnumber(Raw!X4),isblank(Raw!Z4)),F4,Raw!M4="Hexagon",J4,Raw!M4="Septagon",K4,Raw!M4="Octagon",L4,Raw!M4="Nonagon",M4)</f>
        <v>530.9</v>
      </c>
      <c r="Q4" s="211">
        <f>if(AND(isnumber(Raw!BW4),isnumber(Raw!CJ4)),Raw!BW4+Raw!CJ4,Raw!CE4)</f>
        <v>197</v>
      </c>
      <c r="R4" s="126">
        <f>if(isnumber(Raw!CE4),Raw!CE4,)</f>
        <v>197</v>
      </c>
      <c r="S4" s="144" t="str">
        <f>if(isblank(Raw!AT4),Raw!AS4,Raw!AT4)</f>
        <v>NR</v>
      </c>
      <c r="T4" s="145"/>
      <c r="U4" s="212" t="str">
        <f>ifs(istext(Raw!AT4),Raw!AT4,AND(Raw!AT4&gt;0,isblank(Raw!AS4)),Raw!AT4,1,Raw!AS4)</f>
        <v>NR</v>
      </c>
      <c r="V4" s="144"/>
      <c r="W4" s="130"/>
      <c r="Y4" s="125" t="s">
        <v>123</v>
      </c>
      <c r="Z4" s="125" t="s">
        <v>123</v>
      </c>
      <c r="AA4" s="213">
        <f>ifs(AND(Raw!BH4=0,Raw!BK4&gt;0),Raw!BK4*Numbers!J$1,OR(iserror(AB4),Raw!BK4="NR"),"?",1,AB4*Raw!BH4+Raw!BK4*Numbers!J$1)</f>
        <v>4.698</v>
      </c>
      <c r="AB4" s="130">
        <f>(Raw!AY4*vlookup(Raw!AX4,Ores[],11,FALSE)+if(isblank(Raw!AZ4),0,Raw!BA4*vlookup(Raw!AZ4,Ores[],11,FALSE))+if(isblank(Raw!BB4),0,Raw!BC4*vlookup(Raw!BB4,Ores[],11,FALSE))+if(isblank(Raw!BD4),0,Raw!BE4*vlookup(Raw!BD4,Ores[],11,FALSE))+if(isblank(Raw!BF4),0,Raw!BG4*vlookup(Raw!BF4,Ores[],11,FALSE)))/Raw!BH4</f>
        <v>0.58</v>
      </c>
      <c r="AC4" s="130" t="str">
        <f>if(AND(isblank(Raw!BK4),isblank(Raw!BM4),isnumber(Raw!CS4),Raw!CS4&gt;0),if(isnumber(Raw!BL4),Raw!CS4/Raw!BL4,Raw!BL4),)</f>
        <v/>
      </c>
      <c r="AD4" s="130" t="str">
        <f>if(AND(Raw!BK4&gt;0,isblank(Raw!BM4),isnumber(Raw!CS4),Raw!CS4&gt;0),if(isnumber(Raw!BL4),Raw!CS4/Raw!BL4,Raw!BL4),)</f>
        <v/>
      </c>
      <c r="AE4" s="130" t="str">
        <f>if(AND(isblank(Raw!BK4),Raw!BM4&gt;0,isnumber(Raw!CS4),Raw!CS4&gt;0),if(isnumber(Raw!BL4),Raw!CS4/Raw!BL4,Raw!BL4),)</f>
        <v/>
      </c>
      <c r="AF4" s="130" t="str">
        <f>if(AND(Raw!BK4&gt;0,Raw!BM4&gt;0,isnumber(Raw!CS4),Raw!CS4&gt;0),if(isnumber(Raw!BL4),Raw!CS4/Raw!BL4,Raw!BL4),)</f>
        <v/>
      </c>
      <c r="AG4" s="214" t="str">
        <f>if(AND(isblank(Raw!BK4),Raw!BM4&gt;0,isnumber(Raw!CS4),Raw!CS4&gt;0),Raw!BM4,)</f>
        <v/>
      </c>
      <c r="AH4" s="214" t="str">
        <f t="shared" si="8"/>
        <v/>
      </c>
      <c r="AI4" s="214" t="str">
        <f t="shared" ref="AI4:AK4" si="10">if(AND(AD4&gt;0,isnumber($AB4)),$AB4,)</f>
        <v/>
      </c>
      <c r="AJ4" s="214" t="str">
        <f t="shared" si="10"/>
        <v/>
      </c>
      <c r="AK4" s="214" t="str">
        <f t="shared" si="10"/>
        <v/>
      </c>
      <c r="AL4" s="214" t="str">
        <f>if(AND(Raw!BK4&gt;0,isblank(Raw!BM4),isnumber(Raw!CS4),Raw!CS4&gt;0),Raw!BK4,)</f>
        <v/>
      </c>
      <c r="AM4" s="214" t="str">
        <f>if(AND(Raw!BK4&gt;0,Raw!BM4&gt;0,isnumber(Raw!CS4),Raw!CS4&gt;0),Raw!BM4,)</f>
        <v/>
      </c>
      <c r="AN4" s="214" t="str">
        <f>if(AND(Raw!BK4&gt;0,Raw!BM4&gt;0,isnumber(Raw!CS4),Raw!CS4&gt;0),Raw!BK4,)</f>
        <v/>
      </c>
      <c r="AO4" s="214" t="str">
        <f t="array" ref="AO4">if(Raw!H4="Vinland",max(AO$1:indirect("AO"&amp;(row()-1)))+1,)</f>
        <v/>
      </c>
      <c r="AP4" s="214" t="str">
        <f t="array" ref="AP4">if(Raw!H4="Icelandic",max(AP$1:indirect("AP"&amp;(row()-1)))+1,)</f>
        <v/>
      </c>
      <c r="AQ4" s="214" t="str">
        <f t="array" ref="AQ4">if(Raw!H4="Turf-to-Tools",max(AQ$1:indirect("AQ"&amp;(row()-1)))+1,)</f>
        <v/>
      </c>
      <c r="AR4" s="216">
        <f>IFS(OR(iserror(Raw!BP4),iserror(Raw!BQ4)),"NR",OR(Raw!BP4="?",Raw!BQ4="?"),"?",1,(Raw!BP4+Raw!BQ4)*Raw!BH4/100)</f>
        <v>0.87237</v>
      </c>
      <c r="AS4" s="214"/>
      <c r="AT4" s="214"/>
      <c r="AU4" s="214"/>
      <c r="AV4" s="214"/>
      <c r="AW4" s="214"/>
      <c r="AX4" s="214"/>
      <c r="AY4" s="214"/>
    </row>
    <row r="5">
      <c r="A5" s="126" t="str">
        <f>Raw!A5</f>
        <v>4 / D3</v>
      </c>
      <c r="B5" s="208">
        <f>if(isnumber(O5),if(isblank(Raw!Z5),O5,concatenate(O5," (E)")),"ERROR")</f>
        <v>490.9</v>
      </c>
      <c r="C5" s="174">
        <f>ifs(Raw!S5="NR","NR",isblank(O5),"ERROR",1,O5*Raw!S5)</f>
        <v>24545</v>
      </c>
      <c r="D5" s="209" t="str">
        <f>ifs(AND(isnumber(Raw!X5),isnumber(Raw!Y5)),Raw!X5-Raw!Y5, AND(isnumber(Raw!U5),isnumber(Raw!V5)),Raw!U5-Raw!V5,1,)</f>
        <v/>
      </c>
      <c r="E5" s="209">
        <f>IFS(isnumber(Raw!X5),Raw!X5/2,isnumber(Raw!U5),Raw!U5/2,1,)</f>
        <v>12.5</v>
      </c>
      <c r="F5" s="209">
        <f t="shared" si="2"/>
        <v>490.9</v>
      </c>
      <c r="G5" s="209" t="str">
        <f>if(and(isnumber(Raw!U5),isnumber(Raw!V5)),round(Raw!U5*Raw!V5,1),)</f>
        <v/>
      </c>
      <c r="H5" s="209" t="str">
        <f>if(and(isnumber(Raw!U5),isnumber(Raw!V5)),round(pi()*Raw!U5/2*Raw!V5/2,1),)</f>
        <v/>
      </c>
      <c r="I5" s="210">
        <f t="shared" si="3"/>
        <v>490.9</v>
      </c>
      <c r="J5" s="209">
        <f t="shared" si="4"/>
        <v>541.3</v>
      </c>
      <c r="K5" s="209">
        <f t="shared" si="5"/>
        <v>526.7</v>
      </c>
      <c r="L5" s="209">
        <f t="shared" si="6"/>
        <v>517.8</v>
      </c>
      <c r="M5" s="209">
        <f t="shared" si="7"/>
        <v>511.8</v>
      </c>
      <c r="N5" s="210" t="str">
        <f>if(and(isnumber(Raw!U5),isnumber(Raw!V5),isnumber(Raw!W5)),0.5*Pi()*(Raw!V5/2)^2+(Raw!W5*(Raw!U5-0.5*Raw!V5))+2*((Raw!V5-Raw!W5)/2*(Raw!U5-0.5*Raw!V5)),)</f>
        <v/>
      </c>
      <c r="O5" s="174">
        <f>ifs(Raw!M5="Rectangle",G5,Raw!M5="Cut-teardrop",N5,Raw!M5="Oval",H5,Raw!M5="Flat Circle",I5,Raw!M5="Oval to Circle",F5,Raw!M5="Circle",F5,AND(Raw!M5="Circle to Oval",isnumber(Raw!X5),isblank(Raw!Z5)),F5,Raw!M5="Hexagon",J5,Raw!M5="Septagon",K5,Raw!M5="Octagon",L5,Raw!M5="Nonagon",M5)</f>
        <v>490.9</v>
      </c>
      <c r="Q5" s="211">
        <f>if(AND(isnumber(Raw!BW5),isnumber(Raw!CJ5)),Raw!BW5+Raw!CJ5,Raw!CE5)</f>
        <v>433</v>
      </c>
      <c r="R5" s="126">
        <f>if(isnumber(Raw!CE5),Raw!CE5,)</f>
        <v>69</v>
      </c>
      <c r="S5" s="144" t="str">
        <f>if(isblank(Raw!AT5),Raw!AS5,Raw!AT5)</f>
        <v>125 / ?</v>
      </c>
      <c r="T5" s="145"/>
      <c r="U5" s="212" t="str">
        <f>ifs(istext(Raw!AT5),Raw!AT5,AND(Raw!AT5&gt;0,isblank(Raw!AS5)),Raw!AT5,1,Raw!AS5)</f>
        <v>125 / ?</v>
      </c>
      <c r="V5" s="144"/>
      <c r="W5" s="130"/>
      <c r="Y5" s="125" t="s">
        <v>123</v>
      </c>
      <c r="Z5" s="125" t="s">
        <v>123</v>
      </c>
      <c r="AA5" s="213">
        <f>ifs(AND(Raw!BH5=0,Raw!BK5&gt;0),Raw!BK5*Numbers!J$1,OR(iserror(AB5),Raw!BK5="NR"),"?",1,AB5*Raw!BH5+Raw!BK5*Numbers!J$1)</f>
        <v>4.06</v>
      </c>
      <c r="AB5" s="130">
        <f>(Raw!AY5*vlookup(Raw!AX5,Ores[],11,FALSE)+if(isblank(Raw!AZ5),0,Raw!BA5*vlookup(Raw!AZ5,Ores[],11,FALSE))+if(isblank(Raw!BB5),0,Raw!BC5*vlookup(Raw!BB5,Ores[],11,FALSE))+if(isblank(Raw!BD5),0,Raw!BE5*vlookup(Raw!BD5,Ores[],11,FALSE))+if(isblank(Raw!BF5),0,Raw!BG5*vlookup(Raw!BF5,Ores[],11,FALSE)))/Raw!BH5</f>
        <v>0.58</v>
      </c>
      <c r="AC5" s="130" t="str">
        <f>if(AND(isblank(Raw!BK5),isblank(Raw!BM5),isnumber(Raw!CS5),Raw!CS5&gt;0),if(isnumber(Raw!BL5),Raw!CS5/Raw!BL5,Raw!BL5),)</f>
        <v/>
      </c>
      <c r="AD5" s="130" t="str">
        <f>if(AND(Raw!BK5&gt;0,isblank(Raw!BM5),isnumber(Raw!CS5),Raw!CS5&gt;0),if(isnumber(Raw!BL5),Raw!CS5/Raw!BL5,Raw!BL5),)</f>
        <v/>
      </c>
      <c r="AE5" s="130" t="str">
        <f>if(AND(isblank(Raw!BK5),Raw!BM5&gt;0,isnumber(Raw!CS5),Raw!CS5&gt;0),if(isnumber(Raw!BL5),Raw!CS5/Raw!BL5,Raw!BL5),)</f>
        <v/>
      </c>
      <c r="AF5" s="130" t="str">
        <f>if(AND(Raw!BK5&gt;0,Raw!BM5&gt;0,isnumber(Raw!CS5),Raw!CS5&gt;0),if(isnumber(Raw!BL5),Raw!CS5/Raw!BL5,Raw!BL5),)</f>
        <v/>
      </c>
      <c r="AG5" s="214" t="str">
        <f>if(AND(isblank(Raw!BK5),Raw!BM5&gt;0,isnumber(Raw!CS5),Raw!CS5&gt;0),Raw!BM5,)</f>
        <v/>
      </c>
      <c r="AH5" s="214" t="str">
        <f t="shared" si="8"/>
        <v/>
      </c>
      <c r="AI5" s="214" t="str">
        <f t="shared" ref="AI5:AK5" si="11">if(AND(AD5&gt;0,isnumber($AB5)),$AB5,)</f>
        <v/>
      </c>
      <c r="AJ5" s="214" t="str">
        <f t="shared" si="11"/>
        <v/>
      </c>
      <c r="AK5" s="214" t="str">
        <f t="shared" si="11"/>
        <v/>
      </c>
      <c r="AL5" s="214" t="str">
        <f>if(AND(Raw!BK5&gt;0,isblank(Raw!BM5),isnumber(Raw!CS5),Raw!CS5&gt;0),Raw!BK5,)</f>
        <v/>
      </c>
      <c r="AM5" s="214" t="str">
        <f>if(AND(Raw!BK5&gt;0,Raw!BM5&gt;0,isnumber(Raw!CS5),Raw!CS5&gt;0),Raw!BM5,)</f>
        <v/>
      </c>
      <c r="AN5" s="214" t="str">
        <f>if(AND(Raw!BK5&gt;0,Raw!BM5&gt;0,isnumber(Raw!CS5),Raw!CS5&gt;0),Raw!BK5,)</f>
        <v/>
      </c>
      <c r="AO5" s="214" t="str">
        <f t="array" ref="AO5">if(Raw!H5="Vinland",max(AO$1:indirect("AO"&amp;(row()-1)))+1,)</f>
        <v/>
      </c>
      <c r="AP5" s="214" t="str">
        <f t="array" ref="AP5">if(Raw!H5="Icelandic",max(AP$1:indirect("AP"&amp;(row()-1)))+1,)</f>
        <v/>
      </c>
      <c r="AQ5" s="214" t="str">
        <f t="array" ref="AQ5">if(Raw!H5="Turf-to-Tools",max(AQ$1:indirect("AQ"&amp;(row()-1)))+1,)</f>
        <v/>
      </c>
      <c r="AR5" s="216">
        <f>IFS(OR(iserror(Raw!BP5),iserror(Raw!BQ5)),"NR",OR(Raw!BP5="?",Raw!BQ5="?"),"?",1,(Raw!BP5+Raw!BQ5)*Raw!BH5/100)</f>
        <v>0.7539</v>
      </c>
      <c r="AS5" s="214"/>
      <c r="AT5" s="214"/>
      <c r="AU5" s="214"/>
      <c r="AV5" s="214"/>
      <c r="AW5" s="214"/>
      <c r="AX5" s="214"/>
      <c r="AY5" s="214"/>
    </row>
    <row r="6">
      <c r="A6" s="126">
        <f>Raw!A6</f>
        <v>5</v>
      </c>
      <c r="B6" s="208">
        <f>if(isnumber(O6),if(isblank(Raw!Z6),O6,concatenate(O6," (E)")),"ERROR")</f>
        <v>572.6</v>
      </c>
      <c r="C6" s="174">
        <f>ifs(Raw!S6="NR","NR",isblank(O6),"ERROR",1,O6*Raw!S6)</f>
        <v>26339.6</v>
      </c>
      <c r="D6" s="209">
        <f>ifs(AND(isnumber(Raw!X6),isnumber(Raw!Y6)),Raw!X6-Raw!Y6, AND(isnumber(Raw!U6),isnumber(Raw!V6)),Raw!U6-Raw!V6,1,)</f>
        <v>1</v>
      </c>
      <c r="E6" s="209">
        <f>IFS(isnumber(Raw!X6),Raw!X6/2,isnumber(Raw!U6),Raw!U6/2,1,)</f>
        <v>13.5</v>
      </c>
      <c r="F6" s="209">
        <f t="shared" si="2"/>
        <v>572.6</v>
      </c>
      <c r="G6" s="209">
        <f>if(and(isnumber(Raw!U6),isnumber(Raw!V6)),round(Raw!U6*Raw!V6,1),)</f>
        <v>756</v>
      </c>
      <c r="H6" s="209">
        <f>if(and(isnumber(Raw!U6),isnumber(Raw!V6)),round(pi()*Raw!U6/2*Raw!V6/2,1),)</f>
        <v>593.8</v>
      </c>
      <c r="I6" s="210">
        <f t="shared" si="3"/>
        <v>565.7492934</v>
      </c>
      <c r="J6" s="209">
        <f t="shared" si="4"/>
        <v>631.3</v>
      </c>
      <c r="K6" s="209">
        <f t="shared" si="5"/>
        <v>614.4</v>
      </c>
      <c r="L6" s="209">
        <f t="shared" si="6"/>
        <v>603.9</v>
      </c>
      <c r="M6" s="209">
        <f t="shared" si="7"/>
        <v>597</v>
      </c>
      <c r="N6" s="210" t="str">
        <f>if(and(isnumber(Raw!U6),isnumber(Raw!V6),isnumber(Raw!W6)),0.5*Pi()*(Raw!V6/2)^2+(Raw!W6*(Raw!U6-0.5*Raw!V6))+2*((Raw!V6-Raw!W6)/2*(Raw!U6-0.5*Raw!V6)),)</f>
        <v/>
      </c>
      <c r="O6" s="174">
        <f>ifs(Raw!M6="Rectangle",G6,Raw!M6="Cut-teardrop",N6,Raw!M6="Oval",H6,Raw!M6="Flat Circle",I6,Raw!M6="Oval to Circle",F6,Raw!M6="Circle",F6,AND(Raw!M6="Circle to Oval",isnumber(Raw!X6),isblank(Raw!Z6)),F6,Raw!M6="Hexagon",J6,Raw!M6="Septagon",K6,Raw!M6="Octagon",L6,Raw!M6="Nonagon",M6)</f>
        <v>572.6</v>
      </c>
      <c r="Q6" s="211">
        <f>if(AND(isnumber(Raw!BW6),isnumber(Raw!CJ6)),Raw!BW6+Raw!CJ6,Raw!CE6)</f>
        <v>400</v>
      </c>
      <c r="R6" s="126">
        <f>if(isnumber(Raw!CE6),Raw!CE6,)</f>
        <v>118</v>
      </c>
      <c r="S6" s="144">
        <f>if(isblank(Raw!AT6),Raw!AS6,Raw!AT6)</f>
        <v>125</v>
      </c>
      <c r="T6" s="145"/>
      <c r="U6" s="212">
        <f>ifs(istext(Raw!AT6),Raw!AT6,AND(Raw!AT6&gt;0,isblank(Raw!AS6)),Raw!AT6,1,Raw!AS6)</f>
        <v>125</v>
      </c>
      <c r="V6" s="144"/>
      <c r="W6" s="130"/>
      <c r="Z6" s="125" t="s">
        <v>123</v>
      </c>
      <c r="AA6" s="213">
        <f>ifs(AND(Raw!BH6=0,Raw!BK6&gt;0),Raw!BK6*Numbers!J$1,OR(iserror(AB6),Raw!BK6="NR"),"?",1,AB6*Raw!BH6+Raw!BK6*Numbers!J$1)</f>
        <v>4.64</v>
      </c>
      <c r="AB6" s="130">
        <f>(Raw!AY6*vlookup(Raw!AX6,Ores[],11,FALSE)+if(isblank(Raw!AZ6),0,Raw!BA6*vlookup(Raw!AZ6,Ores[],11,FALSE))+if(isblank(Raw!BB6),0,Raw!BC6*vlookup(Raw!BB6,Ores[],11,FALSE))+if(isblank(Raw!BD6),0,Raw!BE6*vlookup(Raw!BD6,Ores[],11,FALSE))+if(isblank(Raw!BF6),0,Raw!BG6*vlookup(Raw!BF6,Ores[],11,FALSE)))/Raw!BH6</f>
        <v>0.58</v>
      </c>
      <c r="AC6" s="130" t="str">
        <f>if(AND(isblank(Raw!BK6),isblank(Raw!BM6),isnumber(Raw!CS6),Raw!CS6&gt;0),if(isnumber(Raw!BL6),Raw!CS6/Raw!BL6,Raw!BL6),)</f>
        <v/>
      </c>
      <c r="AD6" s="130" t="str">
        <f>if(AND(Raw!BK6&gt;0,isblank(Raw!BM6),isnumber(Raw!CS6),Raw!CS6&gt;0),if(isnumber(Raw!BL6),Raw!CS6/Raw!BL6,Raw!BL6),)</f>
        <v/>
      </c>
      <c r="AE6" s="130" t="str">
        <f>if(AND(isblank(Raw!BK6),Raw!BM6&gt;0,isnumber(Raw!CS6),Raw!CS6&gt;0),if(isnumber(Raw!BL6),Raw!CS6/Raw!BL6,Raw!BL6),)</f>
        <v/>
      </c>
      <c r="AF6" s="130" t="str">
        <f>if(AND(Raw!BK6&gt;0,Raw!BM6&gt;0,isnumber(Raw!CS6),Raw!CS6&gt;0),if(isnumber(Raw!BL6),Raw!CS6/Raw!BL6,Raw!BL6),)</f>
        <v/>
      </c>
      <c r="AG6" s="214" t="str">
        <f>if(AND(isblank(Raw!BK6),Raw!BM6&gt;0,isnumber(Raw!CS6),Raw!CS6&gt;0),Raw!BM6,)</f>
        <v/>
      </c>
      <c r="AH6" s="214" t="str">
        <f t="shared" si="8"/>
        <v/>
      </c>
      <c r="AI6" s="214" t="str">
        <f t="shared" ref="AI6:AK6" si="12">if(AND(AD6&gt;0,isnumber($AB6)),$AB6,)</f>
        <v/>
      </c>
      <c r="AJ6" s="214" t="str">
        <f t="shared" si="12"/>
        <v/>
      </c>
      <c r="AK6" s="214" t="str">
        <f t="shared" si="12"/>
        <v/>
      </c>
      <c r="AL6" s="214" t="str">
        <f>if(AND(Raw!BK6&gt;0,isblank(Raw!BM6),isnumber(Raw!CS6),Raw!CS6&gt;0),Raw!BK6,)</f>
        <v/>
      </c>
      <c r="AM6" s="214" t="str">
        <f>if(AND(Raw!BK6&gt;0,Raw!BM6&gt;0,isnumber(Raw!CS6),Raw!CS6&gt;0),Raw!BM6,)</f>
        <v/>
      </c>
      <c r="AN6" s="214" t="str">
        <f>if(AND(Raw!BK6&gt;0,Raw!BM6&gt;0,isnumber(Raw!CS6),Raw!CS6&gt;0),Raw!BK6,)</f>
        <v/>
      </c>
      <c r="AO6" s="214" t="str">
        <f t="array" ref="AO6">if(Raw!H6="Vinland",max(AO$1:indirect("AO"&amp;(row()-1)))+1,)</f>
        <v/>
      </c>
      <c r="AP6" s="214" t="str">
        <f t="array" ref="AP6">if(Raw!H6="Icelandic",max(AP$1:indirect("AP"&amp;(row()-1)))+1,)</f>
        <v/>
      </c>
      <c r="AQ6" s="214" t="str">
        <f t="array" ref="AQ6">if(Raw!H6="Turf-to-Tools",max(AQ$1:indirect("AQ"&amp;(row()-1)))+1,)</f>
        <v/>
      </c>
      <c r="AR6" s="216">
        <f>IFS(OR(iserror(Raw!BP6),iserror(Raw!BQ6)),"NR",OR(Raw!BP6="?",Raw!BQ6="?"),"?",1,(Raw!BP6+Raw!BQ6)*Raw!BH6/100)</f>
        <v>0.8616</v>
      </c>
      <c r="AS6" s="214"/>
      <c r="AT6" s="214"/>
      <c r="AU6" s="214"/>
      <c r="AV6" s="214"/>
      <c r="AW6" s="214"/>
      <c r="AX6" s="214"/>
      <c r="AY6" s="214"/>
    </row>
    <row r="7">
      <c r="A7" s="126" t="str">
        <f>Raw!A7</f>
        <v>6 / D4</v>
      </c>
      <c r="B7" s="208">
        <f>if(isnumber(O7),if(isblank(Raw!Z7),O7,concatenate(O7," (E)")),"ERROR")</f>
        <v>1003.2</v>
      </c>
      <c r="C7" s="174">
        <f>ifs(Raw!S7="NR","NR",isblank(O7),"ERROR",1,O7*Raw!S7)</f>
        <v>45144</v>
      </c>
      <c r="D7" s="209" t="str">
        <f>ifs(AND(isnumber(Raw!X7),isnumber(Raw!Y7)),Raw!X7-Raw!Y7, AND(isnumber(Raw!U7),isnumber(Raw!V7)),Raw!U7-Raw!V7,1,)</f>
        <v/>
      </c>
      <c r="E7" s="209">
        <f>IFS(isnumber(Raw!X7),Raw!X7/2,isnumber(Raw!U7),Raw!U7/2,1,)</f>
        <v>17.5</v>
      </c>
      <c r="F7" s="209">
        <f t="shared" si="2"/>
        <v>962.1</v>
      </c>
      <c r="G7" s="209" t="str">
        <f>if(and(isnumber(Raw!U7),isnumber(Raw!V7)),round(Raw!U7*Raw!V7,1),)</f>
        <v/>
      </c>
      <c r="H7" s="209" t="str">
        <f>if(and(isnumber(Raw!U7),isnumber(Raw!V7)),round(pi()*Raw!U7/2*Raw!V7/2,1),)</f>
        <v/>
      </c>
      <c r="I7" s="210">
        <f t="shared" si="3"/>
        <v>962.1</v>
      </c>
      <c r="J7" s="209">
        <f t="shared" si="4"/>
        <v>1060.9</v>
      </c>
      <c r="K7" s="209">
        <f t="shared" si="5"/>
        <v>1032.4</v>
      </c>
      <c r="L7" s="209">
        <f t="shared" si="6"/>
        <v>1014.8</v>
      </c>
      <c r="M7" s="209">
        <f t="shared" si="7"/>
        <v>1003.2</v>
      </c>
      <c r="N7" s="210" t="str">
        <f>if(and(isnumber(Raw!U7),isnumber(Raw!V7),isnumber(Raw!W7)),0.5*Pi()*(Raw!V7/2)^2+(Raw!W7*(Raw!U7-0.5*Raw!V7))+2*((Raw!V7-Raw!W7)/2*(Raw!U7-0.5*Raw!V7)),)</f>
        <v/>
      </c>
      <c r="O7" s="174">
        <f>ifs(Raw!M7="Rectangle",G7,Raw!M7="Cut-teardrop",N7,Raw!M7="Oval",H7,Raw!M7="Flat Circle",I7,Raw!M7="Oval to Circle",F7,Raw!M7="Circle",F7,AND(Raw!M7="Circle to Oval",isnumber(Raw!X7),isblank(Raw!Z7)),F7,Raw!M7="Hexagon",J7,Raw!M7="Septagon",K7,Raw!M7="Octagon",L7,Raw!M7="Nonagon",M7)</f>
        <v>1003.2</v>
      </c>
      <c r="Q7" s="211">
        <f>if(AND(isnumber(Raw!BW7),isnumber(Raw!CJ7)),Raw!BW7+Raw!CJ7,Raw!CE7)</f>
        <v>198</v>
      </c>
      <c r="R7" s="126">
        <f>if(isnumber(Raw!CE7),Raw!CE7,)</f>
        <v>198</v>
      </c>
      <c r="S7" s="144">
        <f>if(isblank(Raw!AT7),Raw!AS7,Raw!AT7)</f>
        <v>550</v>
      </c>
      <c r="T7" s="145"/>
      <c r="U7" s="212">
        <f>ifs(istext(Raw!AT7),Raw!AT7,AND(Raw!AT7&gt;0,isblank(Raw!AS7)),Raw!AT7,1,Raw!AS7)</f>
        <v>550</v>
      </c>
      <c r="V7" s="144"/>
      <c r="W7" s="130"/>
      <c r="Y7" s="125" t="s">
        <v>123</v>
      </c>
      <c r="Z7" s="125" t="s">
        <v>123</v>
      </c>
      <c r="AA7" s="213">
        <f>ifs(AND(Raw!BH7=0,Raw!BK7&gt;0),Raw!BK7*Numbers!J$1,OR(iserror(AB7),Raw!BK7="NR"),"?",1,AB7*Raw!BH7+Raw!BK7*Numbers!J$1)</f>
        <v>4.64</v>
      </c>
      <c r="AB7" s="130">
        <f>(Raw!AY7*vlookup(Raw!AX7,Ores[],11,FALSE)+if(isblank(Raw!AZ7),0,Raw!BA7*vlookup(Raw!AZ7,Ores[],11,FALSE))+if(isblank(Raw!BB7),0,Raw!BC7*vlookup(Raw!BB7,Ores[],11,FALSE))+if(isblank(Raw!BD7),0,Raw!BE7*vlookup(Raw!BD7,Ores[],11,FALSE))+if(isblank(Raw!BF7),0,Raw!BG7*vlookup(Raw!BF7,Ores[],11,FALSE)))/Raw!BH7</f>
        <v>0.58</v>
      </c>
      <c r="AC7" s="130">
        <f>if(AND(isblank(Raw!BK7),isblank(Raw!BM7),isnumber(Raw!CS7),Raw!CS7&gt;0),if(isnumber(Raw!BL7),Raw!CS7/Raw!BL7,Raw!BL7),)</f>
        <v>0.25</v>
      </c>
      <c r="AD7" s="130" t="str">
        <f>if(AND(Raw!BK7&gt;0,isblank(Raw!BM7),isnumber(Raw!CS7),Raw!CS7&gt;0),if(isnumber(Raw!BL7),Raw!CS7/Raw!BL7,Raw!BL7),)</f>
        <v/>
      </c>
      <c r="AE7" s="130" t="str">
        <f>if(AND(isblank(Raw!BK7),Raw!BM7&gt;0,isnumber(Raw!CS7),Raw!CS7&gt;0),if(isnumber(Raw!BL7),Raw!CS7/Raw!BL7,Raw!BL7),)</f>
        <v/>
      </c>
      <c r="AF7" s="130" t="str">
        <f>if(AND(Raw!BK7&gt;0,Raw!BM7&gt;0,isnumber(Raw!CS7),Raw!CS7&gt;0),if(isnumber(Raw!BL7),Raw!CS7/Raw!BL7,Raw!BL7),)</f>
        <v/>
      </c>
      <c r="AG7" s="214" t="str">
        <f>if(AND(isblank(Raw!BK7),Raw!BM7&gt;0,isnumber(Raw!CS7),Raw!CS7&gt;0),Raw!BM7,)</f>
        <v/>
      </c>
      <c r="AH7" s="215">
        <f t="shared" si="8"/>
        <v>0.58</v>
      </c>
      <c r="AI7" s="214" t="str">
        <f t="shared" ref="AI7:AK7" si="13">if(AND(AD7&gt;0,isnumber($AB7)),$AB7,)</f>
        <v/>
      </c>
      <c r="AJ7" s="214" t="str">
        <f t="shared" si="13"/>
        <v/>
      </c>
      <c r="AK7" s="214" t="str">
        <f t="shared" si="13"/>
        <v/>
      </c>
      <c r="AL7" s="214" t="str">
        <f>if(AND(Raw!BK7&gt;0,isblank(Raw!BM7),isnumber(Raw!CS7),Raw!CS7&gt;0),Raw!BK7,)</f>
        <v/>
      </c>
      <c r="AM7" s="214" t="str">
        <f>if(AND(Raw!BK7&gt;0,Raw!BM7&gt;0,isnumber(Raw!CS7),Raw!CS7&gt;0),Raw!BM7,)</f>
        <v/>
      </c>
      <c r="AN7" s="214" t="str">
        <f>if(AND(Raw!BK7&gt;0,Raw!BM7&gt;0,isnumber(Raw!CS7),Raw!CS7&gt;0),Raw!BK7,)</f>
        <v/>
      </c>
      <c r="AO7" s="214" t="str">
        <f t="array" ref="AO7">if(Raw!H7="Vinland",max(AO$1:indirect("AO"&amp;(row()-1)))+1,)</f>
        <v/>
      </c>
      <c r="AP7" s="214" t="str">
        <f t="array" ref="AP7">if(Raw!H7="Icelandic",max(AP$1:indirect("AP"&amp;(row()-1)))+1,)</f>
        <v/>
      </c>
      <c r="AQ7" s="214" t="str">
        <f t="array" ref="AQ7">if(Raw!H7="Turf-to-Tools",max(AQ$1:indirect("AQ"&amp;(row()-1)))+1,)</f>
        <v/>
      </c>
      <c r="AR7" s="216">
        <f>IFS(OR(iserror(Raw!BP7),iserror(Raw!BQ7)),"NR",OR(Raw!BP7="?",Raw!BQ7="?"),"?",1,(Raw!BP7+Raw!BQ7)*Raw!BH7/100)</f>
        <v>0.8616</v>
      </c>
      <c r="AS7" s="214"/>
      <c r="AT7" s="214"/>
      <c r="AU7" s="214"/>
      <c r="AV7" s="214"/>
      <c r="AW7" s="214"/>
      <c r="AX7" s="214"/>
      <c r="AY7" s="214"/>
    </row>
    <row r="8">
      <c r="A8" s="126">
        <f>Raw!A8</f>
        <v>7</v>
      </c>
      <c r="B8" s="208">
        <f>if(isnumber(O8),if(isblank(Raw!Z8),O8,concatenate(O8," (E)")),"ERROR")</f>
        <v>526.7</v>
      </c>
      <c r="C8" s="174">
        <f>ifs(Raw!S8="NR","NR",isblank(O8),"ERROR",1,O8*Raw!S8)</f>
        <v>21068</v>
      </c>
      <c r="D8" s="209" t="str">
        <f>ifs(AND(isnumber(Raw!X8),isnumber(Raw!Y8)),Raw!X8-Raw!Y8, AND(isnumber(Raw!U8),isnumber(Raw!V8)),Raw!U8-Raw!V8,1,)</f>
        <v/>
      </c>
      <c r="E8" s="209">
        <f>IFS(isnumber(Raw!X8),Raw!X8/2,isnumber(Raw!U8),Raw!U8/2,1,)</f>
        <v>12.5</v>
      </c>
      <c r="F8" s="209">
        <f t="shared" si="2"/>
        <v>490.9</v>
      </c>
      <c r="G8" s="209" t="str">
        <f>if(and(isnumber(Raw!U8),isnumber(Raw!V8)),round(Raw!U8*Raw!V8,1),)</f>
        <v/>
      </c>
      <c r="H8" s="209" t="str">
        <f>if(and(isnumber(Raw!U8),isnumber(Raw!V8)),round(pi()*Raw!U8/2*Raw!V8/2,1),)</f>
        <v/>
      </c>
      <c r="I8" s="210">
        <f t="shared" si="3"/>
        <v>490.9</v>
      </c>
      <c r="J8" s="209">
        <f t="shared" si="4"/>
        <v>541.3</v>
      </c>
      <c r="K8" s="209">
        <f t="shared" si="5"/>
        <v>526.7</v>
      </c>
      <c r="L8" s="209">
        <f t="shared" si="6"/>
        <v>517.8</v>
      </c>
      <c r="M8" s="209">
        <f t="shared" si="7"/>
        <v>511.8</v>
      </c>
      <c r="N8" s="210" t="str">
        <f>if(and(isnumber(Raw!U8),isnumber(Raw!V8),isnumber(Raw!W8)),0.5*Pi()*(Raw!V8/2)^2+(Raw!W8*(Raw!U8-0.5*Raw!V8))+2*((Raw!V8-Raw!W8)/2*(Raw!U8-0.5*Raw!V8)),)</f>
        <v/>
      </c>
      <c r="O8" s="174">
        <f>ifs(Raw!M8="Rectangle",G8,Raw!M8="Cut-teardrop",N8,Raw!M8="Oval",H8,Raw!M8="Flat Circle",I8,Raw!M8="Oval to Circle",F8,Raw!M8="Circle",F8,AND(Raw!M8="Circle to Oval",isnumber(Raw!X8),isblank(Raw!Z8)),F8,Raw!M8="Hexagon",J8,Raw!M8="Septagon",K8,Raw!M8="Octagon",L8,Raw!M8="Nonagon",M8)</f>
        <v>526.7</v>
      </c>
      <c r="Q8" s="211">
        <f>if(AND(isnumber(Raw!BW8),isnumber(Raw!CJ8)),Raw!BW8+Raw!CJ8,Raw!CE8)</f>
        <v>363</v>
      </c>
      <c r="R8" s="126">
        <f>if(isnumber(Raw!CE8),Raw!CE8,)</f>
        <v>363</v>
      </c>
      <c r="S8" s="144">
        <f>if(isblank(Raw!AT8),Raw!AS8,Raw!AT8)</f>
        <v>815</v>
      </c>
      <c r="T8" s="145"/>
      <c r="U8" s="212">
        <f>ifs(istext(Raw!AT8),Raw!AT8,AND(Raw!AT8&gt;0,isblank(Raw!AS8)),Raw!AT8,1,Raw!AS8)</f>
        <v>815</v>
      </c>
      <c r="V8" s="144"/>
      <c r="W8" s="130"/>
      <c r="Z8" s="125" t="s">
        <v>123</v>
      </c>
      <c r="AA8" s="213" t="str">
        <f>ifs(AND(Raw!BH8=0,Raw!BK8&gt;0),Raw!BK8*Numbers!J$1,OR(iserror(AB8),Raw!BK8="NR"),"?",1,AB8*Raw!BH8+Raw!BK8*Numbers!J$1)</f>
        <v>?</v>
      </c>
      <c r="AB8" s="130" t="str">
        <f>(Raw!AY8*vlookup(Raw!AX8,Ores[],11,FALSE)+if(isblank(Raw!AZ8),0,Raw!BA8*vlookup(Raw!AZ8,Ores[],11,FALSE))+if(isblank(Raw!BB8),0,Raw!BC8*vlookup(Raw!BB8,Ores[],11,FALSE))+if(isblank(Raw!BD8),0,Raw!BE8*vlookup(Raw!BD8,Ores[],11,FALSE))+if(isblank(Raw!BF8),0,Raw!BG8*vlookup(Raw!BF8,Ores[],11,FALSE)))/Raw!BH8</f>
        <v>#VALUE!</v>
      </c>
      <c r="AC8" s="130">
        <f>if(AND(isblank(Raw!BK8),isblank(Raw!BM8),isnumber(Raw!CS8),Raw!CS8&gt;0),if(isnumber(Raw!BL8),Raw!CS8/Raw!BL8,Raw!BL8),)</f>
        <v>0.1858108108</v>
      </c>
      <c r="AD8" s="130" t="str">
        <f>if(AND(Raw!BK8&gt;0,isblank(Raw!BM8),isnumber(Raw!CS8),Raw!CS8&gt;0),if(isnumber(Raw!BL8),Raw!CS8/Raw!BL8,Raw!BL8),)</f>
        <v/>
      </c>
      <c r="AE8" s="130" t="str">
        <f>if(AND(isblank(Raw!BK8),Raw!BM8&gt;0,isnumber(Raw!CS8),Raw!CS8&gt;0),if(isnumber(Raw!BL8),Raw!CS8/Raw!BL8,Raw!BL8),)</f>
        <v/>
      </c>
      <c r="AF8" s="130" t="str">
        <f>if(AND(Raw!BK8&gt;0,Raw!BM8&gt;0,isnumber(Raw!CS8),Raw!CS8&gt;0),if(isnumber(Raw!BL8),Raw!CS8/Raw!BL8,Raw!BL8),)</f>
        <v/>
      </c>
      <c r="AG8" s="214" t="str">
        <f>if(AND(isblank(Raw!BK8),Raw!BM8&gt;0,isnumber(Raw!CS8),Raw!CS8&gt;0),Raw!BM8,)</f>
        <v/>
      </c>
      <c r="AH8" s="214" t="str">
        <f t="shared" si="8"/>
        <v/>
      </c>
      <c r="AI8" s="214" t="str">
        <f t="shared" ref="AI8:AK8" si="14">if(AND(AD8&gt;0,isnumber($AB8)),$AB8,)</f>
        <v/>
      </c>
      <c r="AJ8" s="214" t="str">
        <f t="shared" si="14"/>
        <v/>
      </c>
      <c r="AK8" s="214" t="str">
        <f t="shared" si="14"/>
        <v/>
      </c>
      <c r="AL8" s="214" t="str">
        <f>if(AND(Raw!BK8&gt;0,isblank(Raw!BM8),isnumber(Raw!CS8),Raw!CS8&gt;0),Raw!BK8,)</f>
        <v/>
      </c>
      <c r="AM8" s="214" t="str">
        <f>if(AND(Raw!BK8&gt;0,Raw!BM8&gt;0,isnumber(Raw!CS8),Raw!CS8&gt;0),Raw!BM8,)</f>
        <v/>
      </c>
      <c r="AN8" s="214" t="str">
        <f>if(AND(Raw!BK8&gt;0,Raw!BM8&gt;0,isnumber(Raw!CS8),Raw!CS8&gt;0),Raw!BK8,)</f>
        <v/>
      </c>
      <c r="AO8" s="214" t="str">
        <f t="array" ref="AO8">if(Raw!H8="Vinland",max(AO$1:indirect("AO"&amp;(row()-1)))+1,)</f>
        <v/>
      </c>
      <c r="AP8" s="214" t="str">
        <f t="array" ref="AP8">if(Raw!H8="Icelandic",max(AP$1:indirect("AP"&amp;(row()-1)))+1,)</f>
        <v/>
      </c>
      <c r="AQ8" s="214" t="str">
        <f t="array" ref="AQ8">if(Raw!H8="Turf-to-Tools",max(AQ$1:indirect("AQ"&amp;(row()-1)))+1,)</f>
        <v/>
      </c>
      <c r="AR8" s="216">
        <f>IFS(OR(iserror(Raw!BP8),iserror(Raw!BQ8)),"NR",OR(Raw!BP8="?",Raw!BQ8="?"),"?",1,(Raw!BP8+Raw!BQ8)*Raw!BH8/100)</f>
        <v>3.42486</v>
      </c>
      <c r="AS8" s="214"/>
      <c r="AT8" s="214"/>
      <c r="AU8" s="214"/>
      <c r="AV8" s="214"/>
      <c r="AW8" s="214"/>
      <c r="AX8" s="214"/>
      <c r="AY8" s="214"/>
    </row>
    <row r="9">
      <c r="A9" s="126">
        <f>Raw!A9</f>
        <v>8</v>
      </c>
      <c r="B9" s="208">
        <f>if(isnumber(O9),if(isblank(Raw!Z9),O9,concatenate(O9," (E)")),"ERROR")</f>
        <v>526.7</v>
      </c>
      <c r="C9" s="174">
        <f>ifs(Raw!S9="NR","NR",isblank(O9),"ERROR",1,O9*Raw!S9)</f>
        <v>21068</v>
      </c>
      <c r="D9" s="209" t="str">
        <f>ifs(AND(isnumber(Raw!X9),isnumber(Raw!Y9)),Raw!X9-Raw!Y9, AND(isnumber(Raw!U9),isnumber(Raw!V9)),Raw!U9-Raw!V9,1,)</f>
        <v/>
      </c>
      <c r="E9" s="209">
        <f>IFS(isnumber(Raw!X9),Raw!X9/2,isnumber(Raw!U9),Raw!U9/2,1,)</f>
        <v>12.5</v>
      </c>
      <c r="F9" s="209">
        <f t="shared" si="2"/>
        <v>490.9</v>
      </c>
      <c r="G9" s="209" t="str">
        <f>if(and(isnumber(Raw!U9),isnumber(Raw!V9)),round(Raw!U9*Raw!V9,1),)</f>
        <v/>
      </c>
      <c r="H9" s="209" t="str">
        <f>if(and(isnumber(Raw!U9),isnumber(Raw!V9)),round(pi()*Raw!U9/2*Raw!V9/2,1),)</f>
        <v/>
      </c>
      <c r="I9" s="210">
        <f t="shared" si="3"/>
        <v>490.9</v>
      </c>
      <c r="J9" s="209">
        <f t="shared" si="4"/>
        <v>541.3</v>
      </c>
      <c r="K9" s="209">
        <f t="shared" si="5"/>
        <v>526.7</v>
      </c>
      <c r="L9" s="209">
        <f t="shared" si="6"/>
        <v>517.8</v>
      </c>
      <c r="M9" s="209">
        <f t="shared" si="7"/>
        <v>511.8</v>
      </c>
      <c r="N9" s="210" t="str">
        <f>if(and(isnumber(Raw!U9),isnumber(Raw!V9),isnumber(Raw!W9)),0.5*Pi()*(Raw!V9/2)^2+(Raw!W9*(Raw!U9-0.5*Raw!V9))+2*((Raw!V9-Raw!W9)/2*(Raw!U9-0.5*Raw!V9)),)</f>
        <v/>
      </c>
      <c r="O9" s="174">
        <f>ifs(Raw!M9="Rectangle",G9,Raw!M9="Cut-teardrop",N9,Raw!M9="Oval",H9,Raw!M9="Flat Circle",I9,Raw!M9="Oval to Circle",F9,Raw!M9="Circle",F9,AND(Raw!M9="Circle to Oval",isnumber(Raw!X9),isblank(Raw!Z9)),F9,Raw!M9="Hexagon",J9,Raw!M9="Septagon",K9,Raw!M9="Octagon",L9,Raw!M9="Nonagon",M9)</f>
        <v>526.7</v>
      </c>
      <c r="Q9" s="211">
        <f>if(AND(isnumber(Raw!BW9),isnumber(Raw!CJ9)),Raw!BW9+Raw!CJ9,Raw!CE9)</f>
        <v>369</v>
      </c>
      <c r="R9" s="126">
        <f>if(isnumber(Raw!CE9),Raw!CE9,)</f>
        <v>369</v>
      </c>
      <c r="S9" s="144">
        <f>if(isblank(Raw!AT9),Raw!AS9,Raw!AT9)</f>
        <v>815</v>
      </c>
      <c r="T9" s="145"/>
      <c r="U9" s="212">
        <f>ifs(istext(Raw!AT9),Raw!AT9,AND(Raw!AT9&gt;0,isblank(Raw!AS9)),Raw!AT9,1,Raw!AS9)</f>
        <v>815</v>
      </c>
      <c r="V9" s="144"/>
      <c r="W9" s="130"/>
      <c r="Z9" s="125" t="s">
        <v>123</v>
      </c>
      <c r="AA9" s="213">
        <f>ifs(AND(Raw!BH9=0,Raw!BK9&gt;0),Raw!BK9*Numbers!J$1,OR(iserror(AB9),Raw!BK9="NR"),"?",1,AB9*Raw!BH9+Raw!BK9*Numbers!J$1)</f>
        <v>16.24</v>
      </c>
      <c r="AB9" s="130">
        <f>(Raw!AY9*vlookup(Raw!AX9,Ores[],11,FALSE)+if(isblank(Raw!AZ9),0,Raw!BA9*vlookup(Raw!AZ9,Ores[],11,FALSE))+if(isblank(Raw!BB9),0,Raw!BC9*vlookup(Raw!BB9,Ores[],11,FALSE))+if(isblank(Raw!BD9),0,Raw!BE9*vlookup(Raw!BD9,Ores[],11,FALSE))+if(isblank(Raw!BF9),0,Raw!BG9*vlookup(Raw!BF9,Ores[],11,FALSE)))/Raw!BH9</f>
        <v>0.58</v>
      </c>
      <c r="AC9" s="130">
        <f>if(AND(isblank(Raw!BK9),isblank(Raw!BM9),isnumber(Raw!CS9),Raw!CS9&gt;0),if(isnumber(Raw!BL9),Raw!CS9/Raw!BL9,Raw!BL9),)</f>
        <v>0.2678571429</v>
      </c>
      <c r="AD9" s="130" t="str">
        <f>if(AND(Raw!BK9&gt;0,isblank(Raw!BM9),isnumber(Raw!CS9),Raw!CS9&gt;0),if(isnumber(Raw!BL9),Raw!CS9/Raw!BL9,Raw!BL9),)</f>
        <v/>
      </c>
      <c r="AE9" s="130" t="str">
        <f>if(AND(isblank(Raw!BK9),Raw!BM9&gt;0,isnumber(Raw!CS9),Raw!CS9&gt;0),if(isnumber(Raw!BL9),Raw!CS9/Raw!BL9,Raw!BL9),)</f>
        <v/>
      </c>
      <c r="AF9" s="130" t="str">
        <f>if(AND(Raw!BK9&gt;0,Raw!BM9&gt;0,isnumber(Raw!CS9),Raw!CS9&gt;0),if(isnumber(Raw!BL9),Raw!CS9/Raw!BL9,Raw!BL9),)</f>
        <v/>
      </c>
      <c r="AG9" s="214" t="str">
        <f>if(AND(isblank(Raw!BK9),Raw!BM9&gt;0,isnumber(Raw!CS9),Raw!CS9&gt;0),Raw!BM9,)</f>
        <v/>
      </c>
      <c r="AH9" s="215">
        <f t="shared" si="8"/>
        <v>0.58</v>
      </c>
      <c r="AI9" s="214" t="str">
        <f t="shared" ref="AI9:AK9" si="15">if(AND(AD9&gt;0,isnumber($AB9)),$AB9,)</f>
        <v/>
      </c>
      <c r="AJ9" s="214" t="str">
        <f t="shared" si="15"/>
        <v/>
      </c>
      <c r="AK9" s="214" t="str">
        <f t="shared" si="15"/>
        <v/>
      </c>
      <c r="AL9" s="214" t="str">
        <f>if(AND(Raw!BK9&gt;0,isblank(Raw!BM9),isnumber(Raw!CS9),Raw!CS9&gt;0),Raw!BK9,)</f>
        <v/>
      </c>
      <c r="AM9" s="214" t="str">
        <f>if(AND(Raw!BK9&gt;0,Raw!BM9&gt;0,isnumber(Raw!CS9),Raw!CS9&gt;0),Raw!BM9,)</f>
        <v/>
      </c>
      <c r="AN9" s="214" t="str">
        <f>if(AND(Raw!BK9&gt;0,Raw!BM9&gt;0,isnumber(Raw!CS9),Raw!CS9&gt;0),Raw!BK9,)</f>
        <v/>
      </c>
      <c r="AO9" s="214" t="str">
        <f t="array" ref="AO9">if(Raw!H9="Vinland",max(AO$1:indirect("AO"&amp;(row()-1)))+1,)</f>
        <v/>
      </c>
      <c r="AP9" s="214" t="str">
        <f t="array" ref="AP9">if(Raw!H9="Icelandic",max(AP$1:indirect("AP"&amp;(row()-1)))+1,)</f>
        <v/>
      </c>
      <c r="AQ9" s="214" t="str">
        <f t="array" ref="AQ9">if(Raw!H9="Turf-to-Tools",max(AQ$1:indirect("AQ"&amp;(row()-1)))+1,)</f>
        <v/>
      </c>
      <c r="AR9" s="216">
        <f>IFS(OR(iserror(Raw!BP9),iserror(Raw!BQ9)),"NR",OR(Raw!BP9="?",Raw!BQ9="?"),"?",1,(Raw!BP9+Raw!BQ9)*Raw!BH9/100)</f>
        <v>3.0156</v>
      </c>
      <c r="AS9" s="214"/>
      <c r="AT9" s="214"/>
      <c r="AU9" s="214"/>
      <c r="AV9" s="214"/>
      <c r="AW9" s="214"/>
      <c r="AX9" s="214"/>
      <c r="AY9" s="214"/>
    </row>
    <row r="10">
      <c r="A10" s="126">
        <f>Raw!A10</f>
        <v>9</v>
      </c>
      <c r="B10" s="208">
        <f>if(isnumber(O10),if(isblank(Raw!Z10),O10,concatenate(O10," (E)")),"ERROR")</f>
        <v>517.8</v>
      </c>
      <c r="C10" s="174">
        <f>ifs(Raw!S10="NR","NR",isblank(O10),"ERROR",1,O10*Raw!S10)</f>
        <v>20712</v>
      </c>
      <c r="D10" s="209" t="str">
        <f>ifs(AND(isnumber(Raw!X10),isnumber(Raw!Y10)),Raw!X10-Raw!Y10, AND(isnumber(Raw!U10),isnumber(Raw!V10)),Raw!U10-Raw!V10,1,)</f>
        <v/>
      </c>
      <c r="E10" s="209">
        <f>IFS(isnumber(Raw!X10),Raw!X10/2,isnumber(Raw!U10),Raw!U10/2,1,)</f>
        <v>12.5</v>
      </c>
      <c r="F10" s="209">
        <f t="shared" si="2"/>
        <v>490.9</v>
      </c>
      <c r="G10" s="209" t="str">
        <f>if(and(isnumber(Raw!U10),isnumber(Raw!V10)),round(Raw!U10*Raw!V10,1),)</f>
        <v/>
      </c>
      <c r="H10" s="209" t="str">
        <f>if(and(isnumber(Raw!U10),isnumber(Raw!V10)),round(pi()*Raw!U10/2*Raw!V10/2,1),)</f>
        <v/>
      </c>
      <c r="I10" s="210">
        <f t="shared" si="3"/>
        <v>490.9</v>
      </c>
      <c r="J10" s="209">
        <f t="shared" si="4"/>
        <v>541.3</v>
      </c>
      <c r="K10" s="209">
        <f t="shared" si="5"/>
        <v>526.7</v>
      </c>
      <c r="L10" s="209">
        <f t="shared" si="6"/>
        <v>517.8</v>
      </c>
      <c r="M10" s="209">
        <f t="shared" si="7"/>
        <v>511.8</v>
      </c>
      <c r="N10" s="210" t="str">
        <f>if(and(isnumber(Raw!U10),isnumber(Raw!V10),isnumber(Raw!W10)),0.5*Pi()*(Raw!V10/2)^2+(Raw!W10*(Raw!U10-0.5*Raw!V10))+2*((Raw!V10-Raw!W10)/2*(Raw!U10-0.5*Raw!V10)),)</f>
        <v/>
      </c>
      <c r="O10" s="174">
        <f>ifs(Raw!M10="Rectangle",G10,Raw!M10="Cut-teardrop",N10,Raw!M10="Oval",H10,Raw!M10="Flat Circle",I10,Raw!M10="Oval to Circle",F10,Raw!M10="Circle",F10,AND(Raw!M10="Circle to Oval",isnumber(Raw!X10),isblank(Raw!Z10)),F10,Raw!M10="Hexagon",J10,Raw!M10="Septagon",K10,Raw!M10="Octagon",L10,Raw!M10="Nonagon",M10)</f>
        <v>517.8</v>
      </c>
      <c r="Q10" s="211">
        <f>if(AND(isnumber(Raw!BW10),isnumber(Raw!CJ10)),Raw!BW10+Raw!CJ10,Raw!CE10)</f>
        <v>491</v>
      </c>
      <c r="R10" s="145">
        <f>if(isnumber(Raw!CE10),Raw!CE10,)</f>
        <v>328</v>
      </c>
      <c r="S10" s="144" t="str">
        <f>if(isblank(Raw!AT10),Raw!AS10,Raw!AT10)</f>
        <v>inconsistant</v>
      </c>
      <c r="T10" s="145"/>
      <c r="U10" s="212" t="str">
        <f>ifs(istext(Raw!AT10),Raw!AT10,AND(Raw!AT10&gt;0,isblank(Raw!AS10)),Raw!AT10,1,Raw!AS10)</f>
        <v>inconsistant</v>
      </c>
      <c r="V10" s="144"/>
      <c r="W10" s="130"/>
      <c r="Y10" s="125" t="s">
        <v>123</v>
      </c>
      <c r="Z10" s="125" t="s">
        <v>123</v>
      </c>
      <c r="AA10" s="213">
        <f>ifs(AND(Raw!BH10=0,Raw!BK10&gt;0),Raw!BK10*Numbers!J$1,OR(iserror(AB10),Raw!BK10="NR"),"?",1,AB10*Raw!BH10+Raw!BK10*Numbers!J$1)</f>
        <v>13.92951333</v>
      </c>
      <c r="AB10" s="130">
        <f>(Raw!AY10*vlookup(Raw!AX10,Ores[],11,FALSE)+if(isblank(Raw!AZ10),0,Raw!BA10*vlookup(Raw!AZ10,Ores[],11,FALSE))+if(isblank(Raw!BB10),0,Raw!BC10*vlookup(Raw!BB10,Ores[],11,FALSE))+if(isblank(Raw!BD10),0,Raw!BE10*vlookup(Raw!BD10,Ores[],11,FALSE))+if(isblank(Raw!BF10),0,Raw!BG10*vlookup(Raw!BF10,Ores[],11,FALSE)))/Raw!BH10</f>
        <v>0.6539677619</v>
      </c>
      <c r="AC10" s="130">
        <f>if(AND(isblank(Raw!BK10),isblank(Raw!BM10),isnumber(Raw!CS10),Raw!CS10&gt;0),if(isnumber(Raw!BL10),Raw!CS10/Raw!BL10,Raw!BL10),)</f>
        <v>0.4460093897</v>
      </c>
      <c r="AD10" s="130" t="str">
        <f>if(AND(Raw!BK10&gt;0,isblank(Raw!BM10),isnumber(Raw!CS10),Raw!CS10&gt;0),if(isnumber(Raw!BL10),Raw!CS10/Raw!BL10,Raw!BL10),)</f>
        <v/>
      </c>
      <c r="AE10" s="130" t="str">
        <f>if(AND(isblank(Raw!BK10),Raw!BM10&gt;0,isnumber(Raw!CS10),Raw!CS10&gt;0),if(isnumber(Raw!BL10),Raw!CS10/Raw!BL10,Raw!BL10),)</f>
        <v/>
      </c>
      <c r="AF10" s="130" t="str">
        <f>if(AND(Raw!BK10&gt;0,Raw!BM10&gt;0,isnumber(Raw!CS10),Raw!CS10&gt;0),if(isnumber(Raw!BL10),Raw!CS10/Raw!BL10,Raw!BL10),)</f>
        <v/>
      </c>
      <c r="AG10" s="214" t="str">
        <f>if(AND(isblank(Raw!BK10),Raw!BM10&gt;0,isnumber(Raw!CS10),Raw!CS10&gt;0),Raw!BM10,)</f>
        <v/>
      </c>
      <c r="AH10" s="215">
        <f t="shared" si="8"/>
        <v>0.6539677619</v>
      </c>
      <c r="AI10" s="214" t="str">
        <f t="shared" ref="AI10:AK10" si="16">if(AND(AD10&gt;0,isnumber($AB10)),$AB10,)</f>
        <v/>
      </c>
      <c r="AJ10" s="214" t="str">
        <f t="shared" si="16"/>
        <v/>
      </c>
      <c r="AK10" s="214" t="str">
        <f t="shared" si="16"/>
        <v/>
      </c>
      <c r="AL10" s="214" t="str">
        <f>if(AND(Raw!BK10&gt;0,isblank(Raw!BM10),isnumber(Raw!CS10),Raw!CS10&gt;0),Raw!BK10,)</f>
        <v/>
      </c>
      <c r="AM10" s="214" t="str">
        <f>if(AND(Raw!BK10&gt;0,Raw!BM10&gt;0,isnumber(Raw!CS10),Raw!CS10&gt;0),Raw!BM10,)</f>
        <v/>
      </c>
      <c r="AN10" s="214" t="str">
        <f>if(AND(Raw!BK10&gt;0,Raw!BM10&gt;0,isnumber(Raw!CS10),Raw!CS10&gt;0),Raw!BK10,)</f>
        <v/>
      </c>
      <c r="AO10" s="214" t="str">
        <f t="array" ref="AO10">if(Raw!H10="Vinland",max(AO$1:indirect("AO"&amp;(row()-1)))+1,)</f>
        <v/>
      </c>
      <c r="AP10" s="214" t="str">
        <f t="array" ref="AP10">if(Raw!H10="Icelandic",max(AP$1:indirect("AP"&amp;(row()-1)))+1,)</f>
        <v/>
      </c>
      <c r="AQ10" s="214" t="str">
        <f t="array" ref="AQ10">if(Raw!H10="Turf-to-Tools",max(AQ$1:indirect("AQ"&amp;(row()-1)))+1,)</f>
        <v/>
      </c>
      <c r="AR10" s="216">
        <f>IFS(OR(iserror(Raw!BP10),iserror(Raw!BQ10)),"NR",OR(Raw!BP10="?",Raw!BQ10="?"),"?",1,(Raw!BP10+Raw!BQ10)*Raw!BH10/100)</f>
        <v>1.08417</v>
      </c>
      <c r="AS10" s="214"/>
      <c r="AT10" s="214"/>
      <c r="AU10" s="214"/>
      <c r="AV10" s="214"/>
      <c r="AW10" s="214"/>
      <c r="AX10" s="214"/>
      <c r="AY10" s="214"/>
    </row>
    <row r="11">
      <c r="A11" s="126" t="str">
        <f>Raw!A11</f>
        <v>10 / D5</v>
      </c>
      <c r="B11" s="208">
        <f>if(isnumber(O11),if(isblank(Raw!Z11),O11,concatenate(O11," (E)")),"ERROR")</f>
        <v>490.9</v>
      </c>
      <c r="C11" s="174">
        <f>ifs(Raw!S11="NR","NR",isblank(O11),"ERROR",1,O11*Raw!S11)</f>
        <v>22581.4</v>
      </c>
      <c r="D11" s="209" t="str">
        <f>ifs(AND(isnumber(Raw!X11),isnumber(Raw!Y11)),Raw!X11-Raw!Y11, AND(isnumber(Raw!U11),isnumber(Raw!V11)),Raw!U11-Raw!V11,1,)</f>
        <v/>
      </c>
      <c r="E11" s="209">
        <f>IFS(isnumber(Raw!X11),Raw!X11/2,isnumber(Raw!U11),Raw!U11/2,1,)</f>
        <v>12.5</v>
      </c>
      <c r="F11" s="209">
        <f t="shared" si="2"/>
        <v>490.9</v>
      </c>
      <c r="G11" s="209" t="str">
        <f>if(and(isnumber(Raw!U11),isnumber(Raw!V11)),round(Raw!U11*Raw!V11,1),)</f>
        <v/>
      </c>
      <c r="H11" s="209" t="str">
        <f>if(and(isnumber(Raw!U11),isnumber(Raw!V11)),round(pi()*Raw!U11/2*Raw!V11/2,1),)</f>
        <v/>
      </c>
      <c r="I11" s="210">
        <f t="shared" si="3"/>
        <v>490.9</v>
      </c>
      <c r="J11" s="209">
        <f t="shared" si="4"/>
        <v>541.3</v>
      </c>
      <c r="K11" s="209">
        <f t="shared" si="5"/>
        <v>526.7</v>
      </c>
      <c r="L11" s="209">
        <f t="shared" si="6"/>
        <v>517.8</v>
      </c>
      <c r="M11" s="209">
        <f t="shared" si="7"/>
        <v>511.8</v>
      </c>
      <c r="N11" s="210" t="str">
        <f>if(and(isnumber(Raw!U11),isnumber(Raw!V11),isnumber(Raw!W11)),0.5*Pi()*(Raw!V11/2)^2+(Raw!W11*(Raw!U11-0.5*Raw!V11))+2*((Raw!V11-Raw!W11)/2*(Raw!U11-0.5*Raw!V11)),)</f>
        <v/>
      </c>
      <c r="O11" s="174">
        <f>ifs(Raw!M11="Rectangle",G11,Raw!M11="Cut-teardrop",N11,Raw!M11="Oval",H11,Raw!M11="Flat Circle",I11,Raw!M11="Oval to Circle",F11,Raw!M11="Circle",F11,AND(Raw!M11="Circle to Oval",isnumber(Raw!X11),isblank(Raw!Z11)),F11,Raw!M11="Hexagon",J11,Raw!M11="Septagon",K11,Raw!M11="Octagon",L11,Raw!M11="Nonagon",M11)</f>
        <v>490.9</v>
      </c>
      <c r="Q11" s="211">
        <f>if(AND(isnumber(Raw!BW11),isnumber(Raw!CJ11)),Raw!BW11+Raw!CJ11,Raw!CE11)</f>
        <v>388</v>
      </c>
      <c r="R11" s="145">
        <f>if(isnumber(Raw!CE11),Raw!CE11,)</f>
        <v>217</v>
      </c>
      <c r="S11" s="144">
        <f>if(isblank(Raw!AT11),Raw!AS11,Raw!AT11)</f>
        <v>600</v>
      </c>
      <c r="T11" s="145"/>
      <c r="U11" s="212">
        <f>ifs(istext(Raw!AT11),Raw!AT11,AND(Raw!AT11&gt;0,isblank(Raw!AS11)),Raw!AT11,1,Raw!AS11)</f>
        <v>600</v>
      </c>
      <c r="V11" s="144"/>
      <c r="W11" s="130"/>
      <c r="Y11" s="125" t="s">
        <v>123</v>
      </c>
      <c r="Z11" s="125" t="s">
        <v>123</v>
      </c>
      <c r="AA11" s="213">
        <f>ifs(AND(Raw!BH11=0,Raw!BK11&gt;0),Raw!BK11*Numbers!J$1,OR(iserror(AB11),Raw!BK11="NR"),"?",1,AB11*Raw!BH11+Raw!BK11*Numbers!J$1)</f>
        <v>7.128248605</v>
      </c>
      <c r="AB11" s="130">
        <f>(Raw!AY11*vlookup(Raw!AX11,Ores[],11,FALSE)+if(isblank(Raw!AZ11),0,Raw!BA11*vlookup(Raw!AZ11,Ores[],11,FALSE))+if(isblank(Raw!BB11),0,Raw!BC11*vlookup(Raw!BB11,Ores[],11,FALSE))+if(isblank(Raw!BD11),0,Raw!BE11*vlookup(Raw!BD11,Ores[],11,FALSE))+if(isblank(Raw!BF11),0,Raw!BG11*vlookup(Raw!BF11,Ores[],11,FALSE)))/Raw!BH11</f>
        <v>0.6539677619</v>
      </c>
      <c r="AC11" s="130">
        <f>if(AND(isblank(Raw!BK11),isblank(Raw!BM11),isnumber(Raw!CS11),Raw!CS11&gt;0),if(isnumber(Raw!BL11),Raw!CS11/Raw!BL11,Raw!BL11),)</f>
        <v>0.2935779817</v>
      </c>
      <c r="AD11" s="130" t="str">
        <f>if(AND(Raw!BK11&gt;0,isblank(Raw!BM11),isnumber(Raw!CS11),Raw!CS11&gt;0),if(isnumber(Raw!BL11),Raw!CS11/Raw!BL11,Raw!BL11),)</f>
        <v/>
      </c>
      <c r="AE11" s="130" t="str">
        <f>if(AND(isblank(Raw!BK11),Raw!BM11&gt;0,isnumber(Raw!CS11),Raw!CS11&gt;0),if(isnumber(Raw!BL11),Raw!CS11/Raw!BL11,Raw!BL11),)</f>
        <v/>
      </c>
      <c r="AF11" s="130" t="str">
        <f>if(AND(Raw!BK11&gt;0,Raw!BM11&gt;0,isnumber(Raw!CS11),Raw!CS11&gt;0),if(isnumber(Raw!BL11),Raw!CS11/Raw!BL11,Raw!BL11),)</f>
        <v/>
      </c>
      <c r="AG11" s="214" t="str">
        <f>if(AND(isblank(Raw!BK11),Raw!BM11&gt;0,isnumber(Raw!CS11),Raw!CS11&gt;0),Raw!BM11,)</f>
        <v/>
      </c>
      <c r="AH11" s="215">
        <f t="shared" si="8"/>
        <v>0.6539677619</v>
      </c>
      <c r="AI11" s="214" t="str">
        <f t="shared" ref="AI11:AK11" si="17">if(AND(AD11&gt;0,isnumber($AB11)),$AB11,)</f>
        <v/>
      </c>
      <c r="AJ11" s="214" t="str">
        <f t="shared" si="17"/>
        <v/>
      </c>
      <c r="AK11" s="214" t="str">
        <f t="shared" si="17"/>
        <v/>
      </c>
      <c r="AL11" s="214" t="str">
        <f>if(AND(Raw!BK11&gt;0,isblank(Raw!BM11),isnumber(Raw!CS11),Raw!CS11&gt;0),Raw!BK11,)</f>
        <v/>
      </c>
      <c r="AM11" s="214" t="str">
        <f>if(AND(Raw!BK11&gt;0,Raw!BM11&gt;0,isnumber(Raw!CS11),Raw!CS11&gt;0),Raw!BM11,)</f>
        <v/>
      </c>
      <c r="AN11" s="214" t="str">
        <f>if(AND(Raw!BK11&gt;0,Raw!BM11&gt;0,isnumber(Raw!CS11),Raw!CS11&gt;0),Raw!BK11,)</f>
        <v/>
      </c>
      <c r="AO11" s="214" t="str">
        <f t="array" ref="AO11">if(Raw!H11="Vinland",max(AO$1:indirect("AO"&amp;(row()-1)))+1,)</f>
        <v/>
      </c>
      <c r="AP11" s="214" t="str">
        <f t="array" ref="AP11">if(Raw!H11="Icelandic",max(AP$1:indirect("AP"&amp;(row()-1)))+1,)</f>
        <v/>
      </c>
      <c r="AQ11" s="214" t="str">
        <f t="array" ref="AQ11">if(Raw!H11="Turf-to-Tools",max(AQ$1:indirect("AQ"&amp;(row()-1)))+1,)</f>
        <v/>
      </c>
      <c r="AR11" s="216">
        <f>IFS(OR(iserror(Raw!BP11),iserror(Raw!BQ11)),"NR",OR(Raw!BP11="?",Raw!BQ11="?"),"?",1,(Raw!BP11+Raw!BQ11)*Raw!BH11/100)</f>
        <v>0.55481</v>
      </c>
      <c r="AS11" s="214"/>
      <c r="AT11" s="214"/>
      <c r="AU11" s="214"/>
      <c r="AV11" s="214"/>
      <c r="AW11" s="214"/>
      <c r="AX11" s="214"/>
      <c r="AY11" s="214"/>
    </row>
    <row r="12">
      <c r="A12" s="126" t="str">
        <f>Raw!A12</f>
        <v>11 / D6</v>
      </c>
      <c r="B12" s="208">
        <f>if(isnumber(O12),if(isblank(Raw!Z12),O12,concatenate(O12," (E)")),"ERROR")</f>
        <v>490.9</v>
      </c>
      <c r="C12" s="174">
        <f>ifs(Raw!S12="NR","NR",isblank(O12),"ERROR",1,O12*Raw!S12)</f>
        <v>22581.4</v>
      </c>
      <c r="D12" s="209" t="str">
        <f>ifs(AND(isnumber(Raw!X12),isnumber(Raw!Y12)),Raw!X12-Raw!Y12, AND(isnumber(Raw!U12),isnumber(Raw!V12)),Raw!U12-Raw!V12,1,)</f>
        <v/>
      </c>
      <c r="E12" s="209">
        <f>IFS(isnumber(Raw!X12),Raw!X12/2,isnumber(Raw!U12),Raw!U12/2,1,)</f>
        <v>12.5</v>
      </c>
      <c r="F12" s="209">
        <f t="shared" si="2"/>
        <v>490.9</v>
      </c>
      <c r="G12" s="209" t="str">
        <f>if(and(isnumber(Raw!U12),isnumber(Raw!V12)),round(Raw!U12*Raw!V12,1),)</f>
        <v/>
      </c>
      <c r="H12" s="209" t="str">
        <f>if(and(isnumber(Raw!U12),isnumber(Raw!V12)),round(pi()*Raw!U12/2*Raw!V12/2,1),)</f>
        <v/>
      </c>
      <c r="I12" s="210">
        <f t="shared" si="3"/>
        <v>490.9</v>
      </c>
      <c r="J12" s="209">
        <f t="shared" si="4"/>
        <v>541.3</v>
      </c>
      <c r="K12" s="209">
        <f t="shared" si="5"/>
        <v>526.7</v>
      </c>
      <c r="L12" s="209">
        <f t="shared" si="6"/>
        <v>517.8</v>
      </c>
      <c r="M12" s="209">
        <f t="shared" si="7"/>
        <v>511.8</v>
      </c>
      <c r="N12" s="210" t="str">
        <f>if(and(isnumber(Raw!U12),isnumber(Raw!V12),isnumber(Raw!W12)),0.5*Pi()*(Raw!V12/2)^2+(Raw!W12*(Raw!U12-0.5*Raw!V12))+2*((Raw!V12-Raw!W12)/2*(Raw!U12-0.5*Raw!V12)),)</f>
        <v/>
      </c>
      <c r="O12" s="174">
        <f>ifs(Raw!M12="Rectangle",G12,Raw!M12="Cut-teardrop",N12,Raw!M12="Oval",H12,Raw!M12="Flat Circle",I12,Raw!M12="Oval to Circle",F12,Raw!M12="Circle",F12,AND(Raw!M12="Circle to Oval",isnumber(Raw!X12),isblank(Raw!Z12)),F12,Raw!M12="Hexagon",J12,Raw!M12="Septagon",K12,Raw!M12="Octagon",L12,Raw!M12="Nonagon",M12)</f>
        <v>490.9</v>
      </c>
      <c r="Q12" s="211">
        <f>if(AND(isnumber(Raw!BW12),isnumber(Raw!CJ12)),Raw!BW12+Raw!CJ12,Raw!CE12)</f>
        <v>612</v>
      </c>
      <c r="R12" s="126">
        <f>if(isnumber(Raw!CE12),Raw!CE12,)</f>
        <v>402</v>
      </c>
      <c r="S12" s="144">
        <f>if(isblank(Raw!AT12),Raw!AS12,Raw!AT12)</f>
        <v>600</v>
      </c>
      <c r="T12" s="145"/>
      <c r="U12" s="212">
        <f>ifs(istext(Raw!AT12),Raw!AT12,AND(Raw!AT12&gt;0,isblank(Raw!AS12)),Raw!AT12,1,Raw!AS12)</f>
        <v>600</v>
      </c>
      <c r="V12" s="144"/>
      <c r="W12" s="130"/>
      <c r="Y12" s="125" t="s">
        <v>123</v>
      </c>
      <c r="Z12" s="125" t="s">
        <v>123</v>
      </c>
      <c r="AA12" s="213">
        <f>ifs(AND(Raw!BH12=0,Raw!BK12&gt;0),Raw!BK12*Numbers!J$1,OR(iserror(AB12),Raw!BK12="NR"),"?",1,AB12*Raw!BH12+Raw!BK12*Numbers!J$1)</f>
        <v>7.128248605</v>
      </c>
      <c r="AB12" s="130">
        <f>(Raw!AY12*vlookup(Raw!AX12,Ores[],11,FALSE)+if(isblank(Raw!AZ12),0,Raw!BA12*vlookup(Raw!AZ12,Ores[],11,FALSE))+if(isblank(Raw!BB12),0,Raw!BC12*vlookup(Raw!BB12,Ores[],11,FALSE))+if(isblank(Raw!BD12),0,Raw!BE12*vlookup(Raw!BD12,Ores[],11,FALSE))+if(isblank(Raw!BF12),0,Raw!BG12*vlookup(Raw!BF12,Ores[],11,FALSE)))/Raw!BH12</f>
        <v>0.5359585417</v>
      </c>
      <c r="AC12" s="130">
        <f>if(AND(isblank(Raw!BK12),isblank(Raw!BM12),isnumber(Raw!CS12),Raw!CS12&gt;0),if(isnumber(Raw!BL12),Raw!CS12/Raw!BL12,Raw!BL12),)</f>
        <v>0.1729323308</v>
      </c>
      <c r="AD12" s="130" t="str">
        <f>if(AND(Raw!BK12&gt;0,isblank(Raw!BM12),isnumber(Raw!CS12),Raw!CS12&gt;0),if(isnumber(Raw!BL12),Raw!CS12/Raw!BL12,Raw!BL12),)</f>
        <v/>
      </c>
      <c r="AE12" s="130" t="str">
        <f>if(AND(isblank(Raw!BK12),Raw!BM12&gt;0,isnumber(Raw!CS12),Raw!CS12&gt;0),if(isnumber(Raw!BL12),Raw!CS12/Raw!BL12,Raw!BL12),)</f>
        <v/>
      </c>
      <c r="AF12" s="130" t="str">
        <f>if(AND(Raw!BK12&gt;0,Raw!BM12&gt;0,isnumber(Raw!CS12),Raw!CS12&gt;0),if(isnumber(Raw!BL12),Raw!CS12/Raw!BL12,Raw!BL12),)</f>
        <v/>
      </c>
      <c r="AG12" s="214" t="str">
        <f>if(AND(isblank(Raw!BK12),Raw!BM12&gt;0,isnumber(Raw!CS12),Raw!CS12&gt;0),Raw!BM12,)</f>
        <v/>
      </c>
      <c r="AH12" s="215">
        <f t="shared" si="8"/>
        <v>0.5359585417</v>
      </c>
      <c r="AI12" s="214" t="str">
        <f t="shared" ref="AI12:AK12" si="18">if(AND(AD12&gt;0,isnumber($AB12)),$AB12,)</f>
        <v/>
      </c>
      <c r="AJ12" s="214" t="str">
        <f t="shared" si="18"/>
        <v/>
      </c>
      <c r="AK12" s="214" t="str">
        <f t="shared" si="18"/>
        <v/>
      </c>
      <c r="AL12" s="214" t="str">
        <f>if(AND(Raw!BK12&gt;0,isblank(Raw!BM12),isnumber(Raw!CS12),Raw!CS12&gt;0),Raw!BK12,)</f>
        <v/>
      </c>
      <c r="AM12" s="214" t="str">
        <f>if(AND(Raw!BK12&gt;0,Raw!BM12&gt;0,isnumber(Raw!CS12),Raw!CS12&gt;0),Raw!BM12,)</f>
        <v/>
      </c>
      <c r="AN12" s="214" t="str">
        <f>if(AND(Raw!BK12&gt;0,Raw!BM12&gt;0,isnumber(Raw!CS12),Raw!CS12&gt;0),Raw!BK12,)</f>
        <v/>
      </c>
      <c r="AO12" s="214" t="str">
        <f t="array" ref="AO12">if(Raw!H12="Vinland",max(AO$1:indirect("AO"&amp;(row()-1)))+1,)</f>
        <v/>
      </c>
      <c r="AP12" s="214" t="str">
        <f t="array" ref="AP12">if(Raw!H12="Icelandic",max(AP$1:indirect("AP"&amp;(row()-1)))+1,)</f>
        <v/>
      </c>
      <c r="AQ12" s="214" t="str">
        <f t="array" ref="AQ12">if(Raw!H12="Turf-to-Tools",max(AQ$1:indirect("AQ"&amp;(row()-1)))+1,)</f>
        <v/>
      </c>
      <c r="AR12" s="216">
        <f>IFS(OR(iserror(Raw!BP12),iserror(Raw!BQ12)),"NR",OR(Raw!BP12="?",Raw!BQ12="?"),"?",1,(Raw!BP12+Raw!BQ12)*Raw!BH12/100)</f>
        <v>2.95481</v>
      </c>
      <c r="AS12" s="214"/>
      <c r="AT12" s="214"/>
      <c r="AU12" s="214"/>
      <c r="AV12" s="214"/>
      <c r="AW12" s="214"/>
      <c r="AX12" s="214"/>
      <c r="AY12" s="214"/>
    </row>
    <row r="13">
      <c r="A13" s="126">
        <f>Raw!A13</f>
        <v>12</v>
      </c>
      <c r="B13" s="208">
        <f>if(isnumber(O13),if(isblank(Raw!Z13),O13,concatenate(O13," (E)")),"ERROR")</f>
        <v>625</v>
      </c>
      <c r="C13" s="174">
        <f>ifs(Raw!S13="NR","NR",isblank(O13),"ERROR",1,O13*Raw!S13)</f>
        <v>25000</v>
      </c>
      <c r="D13" s="209">
        <f>ifs(AND(isnumber(Raw!X13),isnumber(Raw!Y13)),Raw!X13-Raw!Y13, AND(isnumber(Raw!U13),isnumber(Raw!V13)),Raw!U13-Raw!V13,1,)</f>
        <v>0</v>
      </c>
      <c r="E13" s="209">
        <f>IFS(isnumber(Raw!X13),Raw!X13/2,isnumber(Raw!U13),Raw!U13/2,1,)</f>
        <v>12.5</v>
      </c>
      <c r="F13" s="209">
        <f t="shared" si="2"/>
        <v>490.9</v>
      </c>
      <c r="G13" s="209">
        <f>if(and(isnumber(Raw!U13),isnumber(Raw!V13)),round(Raw!U13*Raw!V13,1),)</f>
        <v>625</v>
      </c>
      <c r="H13" s="209">
        <f>if(and(isnumber(Raw!U13),isnumber(Raw!V13)),round(pi()*Raw!U13/2*Raw!V13/2,1),)</f>
        <v>490.9</v>
      </c>
      <c r="I13" s="210">
        <f t="shared" si="3"/>
        <v>490.9</v>
      </c>
      <c r="J13" s="209">
        <f t="shared" si="4"/>
        <v>541.3</v>
      </c>
      <c r="K13" s="209">
        <f t="shared" si="5"/>
        <v>526.7</v>
      </c>
      <c r="L13" s="209">
        <f t="shared" si="6"/>
        <v>517.8</v>
      </c>
      <c r="M13" s="209">
        <f t="shared" si="7"/>
        <v>511.8</v>
      </c>
      <c r="N13" s="210" t="str">
        <f>if(and(isnumber(Raw!U13),isnumber(Raw!V13),isnumber(Raw!W13)),0.5*Pi()*(Raw!V13/2)^2+(Raw!W13*(Raw!U13-0.5*Raw!V13))+2*((Raw!V13-Raw!W13)/2*(Raw!U13-0.5*Raw!V13)),)</f>
        <v/>
      </c>
      <c r="O13" s="174">
        <f>ifs(Raw!M13="Rectangle",G13,Raw!M13="Cut-teardrop",N13,Raw!M13="Oval",H13,Raw!M13="Flat Circle",I13,Raw!M13="Oval to Circle",F13,Raw!M13="Circle",F13,AND(Raw!M13="Circle to Oval",isnumber(Raw!X13),isblank(Raw!Z13)),F13,Raw!M13="Hexagon",J13,Raw!M13="Septagon",K13,Raw!M13="Octagon",L13,Raw!M13="Nonagon",M13)</f>
        <v>625</v>
      </c>
      <c r="Q13" s="211">
        <f>if(AND(isnumber(Raw!BW13),isnumber(Raw!CJ13)),Raw!BW13+Raw!CJ13,Raw!CE13)</f>
        <v>337</v>
      </c>
      <c r="R13" s="126">
        <f>if(isnumber(Raw!CE13),Raw!CE13,)</f>
        <v>337</v>
      </c>
      <c r="S13" s="144">
        <f>if(isblank(Raw!AT13),Raw!AS13,Raw!AT13)</f>
        <v>1000</v>
      </c>
      <c r="T13" s="145"/>
      <c r="U13" s="212">
        <f>ifs(istext(Raw!AT13),Raw!AT13,AND(Raw!AT13&gt;0,isblank(Raw!AS13)),Raw!AT13,1,Raw!AS13)</f>
        <v>1000</v>
      </c>
      <c r="V13" s="144"/>
      <c r="W13" s="130"/>
      <c r="Z13" s="125" t="s">
        <v>123</v>
      </c>
      <c r="AA13" s="213">
        <f>ifs(AND(Raw!BH13=0,Raw!BK13&gt;0),Raw!BK13*Numbers!J$1,OR(iserror(AB13),Raw!BK13="NR"),"?",1,AB13*Raw!BH13+Raw!BK13*Numbers!J$1)</f>
        <v>9.222</v>
      </c>
      <c r="AB13" s="130">
        <f>(Raw!AY13*vlookup(Raw!AX13,Ores[],11,FALSE)+if(isblank(Raw!AZ13),0,Raw!BA13*vlookup(Raw!AZ13,Ores[],11,FALSE))+if(isblank(Raw!BB13),0,Raw!BC13*vlookup(Raw!BB13,Ores[],11,FALSE))+if(isblank(Raw!BD13),0,Raw!BE13*vlookup(Raw!BD13,Ores[],11,FALSE))+if(isblank(Raw!BF13),0,Raw!BG13*vlookup(Raw!BF13,Ores[],11,FALSE)))/Raw!BH13</f>
        <v>0.58</v>
      </c>
      <c r="AC13" s="130">
        <f>if(AND(isblank(Raw!BK13),isblank(Raw!BM13),isnumber(Raw!CS13),Raw!CS13&gt;0),if(isnumber(Raw!BL13),Raw!CS13/Raw!BL13,Raw!BL13),)</f>
        <v>0.213836478</v>
      </c>
      <c r="AD13" s="130" t="str">
        <f>if(AND(Raw!BK13&gt;0,isblank(Raw!BM13),isnumber(Raw!CS13),Raw!CS13&gt;0),if(isnumber(Raw!BL13),Raw!CS13/Raw!BL13,Raw!BL13),)</f>
        <v/>
      </c>
      <c r="AE13" s="130" t="str">
        <f>if(AND(isblank(Raw!BK13),Raw!BM13&gt;0,isnumber(Raw!CS13),Raw!CS13&gt;0),if(isnumber(Raw!BL13),Raw!CS13/Raw!BL13,Raw!BL13),)</f>
        <v/>
      </c>
      <c r="AF13" s="130" t="str">
        <f>if(AND(Raw!BK13&gt;0,Raw!BM13&gt;0,isnumber(Raw!CS13),Raw!CS13&gt;0),if(isnumber(Raw!BL13),Raw!CS13/Raw!BL13,Raw!BL13),)</f>
        <v/>
      </c>
      <c r="AG13" s="214" t="str">
        <f>if(AND(isblank(Raw!BK13),Raw!BM13&gt;0,isnumber(Raw!CS13),Raw!CS13&gt;0),Raw!BM13,)</f>
        <v/>
      </c>
      <c r="AH13" s="215">
        <f t="shared" si="8"/>
        <v>0.58</v>
      </c>
      <c r="AI13" s="214" t="str">
        <f t="shared" ref="AI13:AK13" si="19">if(AND(AD13&gt;0,isnumber($AB13)),$AB13,)</f>
        <v/>
      </c>
      <c r="AJ13" s="214" t="str">
        <f t="shared" si="19"/>
        <v/>
      </c>
      <c r="AK13" s="214" t="str">
        <f t="shared" si="19"/>
        <v/>
      </c>
      <c r="AL13" s="214" t="str">
        <f>if(AND(Raw!BK13&gt;0,isblank(Raw!BM13),isnumber(Raw!CS13),Raw!CS13&gt;0),Raw!BK13,)</f>
        <v/>
      </c>
      <c r="AM13" s="214" t="str">
        <f>if(AND(Raw!BK13&gt;0,Raw!BM13&gt;0,isnumber(Raw!CS13),Raw!CS13&gt;0),Raw!BM13,)</f>
        <v/>
      </c>
      <c r="AN13" s="214" t="str">
        <f>if(AND(Raw!BK13&gt;0,Raw!BM13&gt;0,isnumber(Raw!CS13),Raw!CS13&gt;0),Raw!BK13,)</f>
        <v/>
      </c>
      <c r="AO13" s="214" t="str">
        <f t="array" ref="AO13">if(Raw!H13="Vinland",max(AO$1:indirect("AO"&amp;(row()-1)))+1,)</f>
        <v/>
      </c>
      <c r="AP13" s="214" t="str">
        <f t="array" ref="AP13">if(Raw!H13="Icelandic",max(AP$1:indirect("AP"&amp;(row()-1)))+1,)</f>
        <v/>
      </c>
      <c r="AQ13" s="214" t="str">
        <f t="array" ref="AQ13">if(Raw!H13="Turf-to-Tools",max(AQ$1:indirect("AQ"&amp;(row()-1)))+1,)</f>
        <v/>
      </c>
      <c r="AR13" s="216">
        <f>IFS(OR(iserror(Raw!BP13),iserror(Raw!BQ13)),"NR",OR(Raw!BP13="?",Raw!BQ13="?"),"?",1,(Raw!BP13+Raw!BQ13)*Raw!BH13/100)</f>
        <v>1.71243</v>
      </c>
      <c r="AS13" s="214"/>
      <c r="AT13" s="214"/>
      <c r="AU13" s="214"/>
      <c r="AV13" s="214"/>
      <c r="AW13" s="214"/>
      <c r="AX13" s="214"/>
      <c r="AY13" s="214"/>
    </row>
    <row r="14">
      <c r="A14" s="126" t="str">
        <f>Raw!A14</f>
        <v>13 / D7</v>
      </c>
      <c r="B14" s="208">
        <f>if(isnumber(O14),if(isblank(Raw!Z14),O14,concatenate(O14," (E)")),"ERROR")</f>
        <v>490.9</v>
      </c>
      <c r="C14" s="174">
        <f>ifs(Raw!S14="NR","NR",isblank(O14),"ERROR",1,O14*Raw!S14)</f>
        <v>20617.8</v>
      </c>
      <c r="D14" s="209" t="str">
        <f>ifs(AND(isnumber(Raw!X14),isnumber(Raw!Y14)),Raw!X14-Raw!Y14, AND(isnumber(Raw!U14),isnumber(Raw!V14)),Raw!U14-Raw!V14,1,)</f>
        <v/>
      </c>
      <c r="E14" s="209">
        <f>IFS(isnumber(Raw!X14),Raw!X14/2,isnumber(Raw!U14),Raw!U14/2,1,)</f>
        <v>12.5</v>
      </c>
      <c r="F14" s="209">
        <f t="shared" si="2"/>
        <v>490.9</v>
      </c>
      <c r="G14" s="209" t="str">
        <f>if(and(isnumber(Raw!U14),isnumber(Raw!V14)),round(Raw!U14*Raw!V14,1),)</f>
        <v/>
      </c>
      <c r="H14" s="209" t="str">
        <f>if(and(isnumber(Raw!U14),isnumber(Raw!V14)),round(pi()*Raw!U14/2*Raw!V14/2,1),)</f>
        <v/>
      </c>
      <c r="I14" s="210">
        <f t="shared" si="3"/>
        <v>490.9</v>
      </c>
      <c r="J14" s="209">
        <f t="shared" si="4"/>
        <v>541.3</v>
      </c>
      <c r="K14" s="209">
        <f t="shared" si="5"/>
        <v>526.7</v>
      </c>
      <c r="L14" s="209">
        <f t="shared" si="6"/>
        <v>517.8</v>
      </c>
      <c r="M14" s="209">
        <f t="shared" si="7"/>
        <v>511.8</v>
      </c>
      <c r="N14" s="210" t="str">
        <f>if(and(isnumber(Raw!U14),isnumber(Raw!V14),isnumber(Raw!W14)),0.5*Pi()*(Raw!V14/2)^2+(Raw!W14*(Raw!U14-0.5*Raw!V14))+2*((Raw!V14-Raw!W14)/2*(Raw!U14-0.5*Raw!V14)),)</f>
        <v/>
      </c>
      <c r="O14" s="174">
        <f>ifs(Raw!M14="Rectangle",G14,Raw!M14="Cut-teardrop",N14,Raw!M14="Oval",H14,Raw!M14="Flat Circle",I14,Raw!M14="Oval to Circle",F14,Raw!M14="Circle",F14,AND(Raw!M14="Circle to Oval",isnumber(Raw!X14),isblank(Raw!Z14)),F14,Raw!M14="Hexagon",J14,Raw!M14="Septagon",K14,Raw!M14="Octagon",L14,Raw!M14="Nonagon",M14)</f>
        <v>490.9</v>
      </c>
      <c r="Q14" s="211">
        <f>if(AND(isnumber(Raw!BW14),isnumber(Raw!CJ14)),Raw!BW14+Raw!CJ14,Raw!CE14)</f>
        <v>223</v>
      </c>
      <c r="R14" s="126">
        <f>if(isnumber(Raw!CE14),Raw!CE14,)</f>
        <v>223</v>
      </c>
      <c r="S14" s="144">
        <f>if(isblank(Raw!AT14),Raw!AS14,Raw!AT14)</f>
        <v>600</v>
      </c>
      <c r="T14" s="145"/>
      <c r="U14" s="212">
        <f>ifs(istext(Raw!AT14),Raw!AT14,AND(Raw!AT14&gt;0,isblank(Raw!AS14)),Raw!AT14,1,Raw!AS14)</f>
        <v>600</v>
      </c>
      <c r="V14" s="144"/>
      <c r="W14" s="130"/>
      <c r="Y14" s="125" t="s">
        <v>123</v>
      </c>
      <c r="Z14" s="125" t="s">
        <v>123</v>
      </c>
      <c r="AA14" s="213">
        <f>ifs(AND(Raw!BH14=0,Raw!BK14&gt;0),Raw!BK14*Numbers!J$1,OR(iserror(AB14),Raw!BK14="NR"),"?",1,AB14*Raw!BH14+Raw!BK14*Numbers!J$1)</f>
        <v>13.0306615</v>
      </c>
      <c r="AB14" s="130">
        <f>(Raw!AY14*vlookup(Raw!AX14,Ores[],11,FALSE)+if(isblank(Raw!AZ14),0,Raw!BA14*vlookup(Raw!AZ14,Ores[],11,FALSE))+if(isblank(Raw!BB14),0,Raw!BC14*vlookup(Raw!BB14,Ores[],11,FALSE))+if(isblank(Raw!BD14),0,Raw!BE14*vlookup(Raw!BD14,Ores[],11,FALSE))+if(isblank(Raw!BF14),0,Raw!BG14*vlookup(Raw!BF14,Ores[],11,FALSE)))/Raw!BH14</f>
        <v>0.6192253283</v>
      </c>
      <c r="AC14" s="130" t="str">
        <f>if(AND(isblank(Raw!BK14),isblank(Raw!BM14),isnumber(Raw!CS14),Raw!CS14&gt;0),if(isnumber(Raw!BL14),Raw!CS14/Raw!BL14,Raw!BL14),)</f>
        <v/>
      </c>
      <c r="AD14" s="130">
        <f>if(AND(Raw!BK14&gt;0,isblank(Raw!BM14),isnumber(Raw!CS14),Raw!CS14&gt;0),if(isnumber(Raw!BL14),Raw!CS14/Raw!BL14,Raw!BL14),)</f>
        <v>0.2057416268</v>
      </c>
      <c r="AE14" s="130" t="str">
        <f>if(AND(isblank(Raw!BK14),Raw!BM14&gt;0,isnumber(Raw!CS14),Raw!CS14&gt;0),if(isnumber(Raw!BL14),Raw!CS14/Raw!BL14,Raw!BL14),)</f>
        <v/>
      </c>
      <c r="AF14" s="130" t="str">
        <f>if(AND(Raw!BK14&gt;0,Raw!BM14&gt;0,isnumber(Raw!CS14),Raw!CS14&gt;0),if(isnumber(Raw!BL14),Raw!CS14/Raw!BL14,Raw!BL14),)</f>
        <v/>
      </c>
      <c r="AG14" s="214" t="str">
        <f>if(AND(isblank(Raw!BK14),Raw!BM14&gt;0,isnumber(Raw!CS14),Raw!CS14&gt;0),Raw!BM14,)</f>
        <v/>
      </c>
      <c r="AH14" s="214" t="str">
        <f t="shared" si="8"/>
        <v/>
      </c>
      <c r="AI14" s="215">
        <f t="shared" ref="AI14:AK14" si="20">if(AND(AD14&gt;0,isnumber($AB14)),$AB14,)</f>
        <v>0.6192253283</v>
      </c>
      <c r="AJ14" s="214" t="str">
        <f t="shared" si="20"/>
        <v/>
      </c>
      <c r="AK14" s="214" t="str">
        <f t="shared" si="20"/>
        <v/>
      </c>
      <c r="AL14" s="214">
        <f>if(AND(Raw!BK14&gt;0,isblank(Raw!BM14),isnumber(Raw!CS14),Raw!CS14&gt;0),Raw!BK14,)</f>
        <v>1.1</v>
      </c>
      <c r="AM14" s="214" t="str">
        <f>if(AND(Raw!BK14&gt;0,Raw!BM14&gt;0,isnumber(Raw!CS14),Raw!CS14&gt;0),Raw!BM14,)</f>
        <v/>
      </c>
      <c r="AN14" s="214" t="str">
        <f>if(AND(Raw!BK14&gt;0,Raw!BM14&gt;0,isnumber(Raw!CS14),Raw!CS14&gt;0),Raw!BK14,)</f>
        <v/>
      </c>
      <c r="AO14" s="214" t="str">
        <f t="array" ref="AO14">if(Raw!H14="Vinland",max(AO$1:indirect("AO"&amp;(row()-1)))+1,)</f>
        <v/>
      </c>
      <c r="AP14" s="214" t="str">
        <f t="array" ref="AP14">if(Raw!H14="Icelandic",max(AP$1:indirect("AP"&amp;(row()-1)))+1,)</f>
        <v/>
      </c>
      <c r="AQ14" s="214" t="str">
        <f t="array" ref="AQ14">if(Raw!H14="Turf-to-Tools",max(AQ$1:indirect("AQ"&amp;(row()-1)))+1,)</f>
        <v/>
      </c>
      <c r="AR14" s="216">
        <f>IFS(OR(iserror(Raw!BP14),iserror(Raw!BQ14)),"NR",OR(Raw!BP14="?",Raw!BQ14="?"),"?",1,(Raw!BP14+Raw!BQ14)*Raw!BH14/100)</f>
        <v>1.53606</v>
      </c>
      <c r="AS14" s="214"/>
      <c r="AT14" s="214"/>
      <c r="AU14" s="214"/>
      <c r="AV14" s="214"/>
      <c r="AW14" s="214"/>
      <c r="AX14" s="214"/>
      <c r="AY14" s="214"/>
    </row>
    <row r="15">
      <c r="A15" s="126">
        <f>Raw!A15</f>
        <v>14</v>
      </c>
      <c r="B15" s="208">
        <f>if(isnumber(O15),if(isblank(Raw!Z15),O15,concatenate(O15," (E)")),"ERROR")</f>
        <v>517.8</v>
      </c>
      <c r="C15" s="174">
        <f>ifs(Raw!S15="NR","NR",isblank(O15),"ERROR",1,O15*Raw!S15)</f>
        <v>20712</v>
      </c>
      <c r="D15" s="209" t="str">
        <f>ifs(AND(isnumber(Raw!X15),isnumber(Raw!Y15)),Raw!X15-Raw!Y15, AND(isnumber(Raw!U15),isnumber(Raw!V15)),Raw!U15-Raw!V15,1,)</f>
        <v/>
      </c>
      <c r="E15" s="209">
        <f>IFS(isnumber(Raw!X15),Raw!X15/2,isnumber(Raw!U15),Raw!U15/2,1,)</f>
        <v>12.5</v>
      </c>
      <c r="F15" s="209">
        <f t="shared" si="2"/>
        <v>490.9</v>
      </c>
      <c r="G15" s="209" t="str">
        <f>if(and(isnumber(Raw!U15),isnumber(Raw!V15)),round(Raw!U15*Raw!V15,1),)</f>
        <v/>
      </c>
      <c r="H15" s="209" t="str">
        <f>if(and(isnumber(Raw!U15),isnumber(Raw!V15)),round(pi()*Raw!U15/2*Raw!V15/2,1),)</f>
        <v/>
      </c>
      <c r="I15" s="210">
        <f t="shared" si="3"/>
        <v>490.9</v>
      </c>
      <c r="J15" s="209">
        <f t="shared" si="4"/>
        <v>541.3</v>
      </c>
      <c r="K15" s="209">
        <f t="shared" si="5"/>
        <v>526.7</v>
      </c>
      <c r="L15" s="209">
        <f t="shared" si="6"/>
        <v>517.8</v>
      </c>
      <c r="M15" s="209">
        <f t="shared" si="7"/>
        <v>511.8</v>
      </c>
      <c r="N15" s="210" t="str">
        <f>if(and(isnumber(Raw!U15),isnumber(Raw!V15),isnumber(Raw!W15)),0.5*Pi()*(Raw!V15/2)^2+(Raw!W15*(Raw!U15-0.5*Raw!V15))+2*((Raw!V15-Raw!W15)/2*(Raw!U15-0.5*Raw!V15)),)</f>
        <v/>
      </c>
      <c r="O15" s="174">
        <f>ifs(Raw!M15="Rectangle",G15,Raw!M15="Cut-teardrop",N15,Raw!M15="Oval",H15,Raw!M15="Flat Circle",I15,Raw!M15="Oval to Circle",F15,Raw!M15="Circle",F15,AND(Raw!M15="Circle to Oval",isnumber(Raw!X15),isblank(Raw!Z15)),F15,Raw!M15="Hexagon",J15,Raw!M15="Septagon",K15,Raw!M15="Octagon",L15,Raw!M15="Nonagon",M15)</f>
        <v>517.8</v>
      </c>
      <c r="Q15" s="211">
        <f>if(AND(isnumber(Raw!BW15),isnumber(Raw!CJ15)),Raw!BW15+Raw!CJ15,Raw!CE15)</f>
        <v>486</v>
      </c>
      <c r="R15" s="126">
        <f>if(isnumber(Raw!CE15),Raw!CE15,)</f>
        <v>329</v>
      </c>
      <c r="S15" s="144">
        <f>if(isblank(Raw!AT15),Raw!AS15,Raw!AT15)</f>
        <v>800</v>
      </c>
      <c r="T15" s="144"/>
      <c r="U15" s="212">
        <f>ifs(istext(Raw!AT15),Raw!AT15,AND(Raw!AT15&gt;0,isblank(Raw!AS15)),Raw!AT15,1,Raw!AS15)</f>
        <v>800</v>
      </c>
      <c r="V15" s="144"/>
      <c r="W15" s="130"/>
      <c r="Z15" s="125" t="s">
        <v>123</v>
      </c>
      <c r="AA15" s="213">
        <f>ifs(AND(Raw!BH15=0,Raw!BK15&gt;0),Raw!BK15*Numbers!J$1,OR(iserror(AB15),Raw!BK15="NR"),"?",1,AB15*Raw!BH15+Raw!BK15*Numbers!J$1)</f>
        <v>20.59903286</v>
      </c>
      <c r="AB15" s="130">
        <f>(Raw!AY15*vlookup(Raw!AX15,Ores[],11,FALSE)+if(isblank(Raw!AZ15),0,Raw!BA15*vlookup(Raw!AZ15,Ores[],11,FALSE))+if(isblank(Raw!BB15),0,Raw!BC15*vlookup(Raw!BB15,Ores[],11,FALSE))+if(isblank(Raw!BD15),0,Raw!BE15*vlookup(Raw!BD15,Ores[],11,FALSE))+if(isblank(Raw!BF15),0,Raw!BG15*vlookup(Raw!BF15,Ores[],11,FALSE)))/Raw!BH15</f>
        <v>0.6539677619</v>
      </c>
      <c r="AC15" s="130" t="str">
        <f>if(AND(isblank(Raw!BK15),isblank(Raw!BM15),isnumber(Raw!CS15),Raw!CS15&gt;0),if(isnumber(Raw!BL15),Raw!CS15/Raw!BL15,Raw!BL15),)</f>
        <v/>
      </c>
      <c r="AD15" s="130">
        <f>if(AND(Raw!BK15&gt;0,isblank(Raw!BM15),isnumber(Raw!CS15),Raw!CS15&gt;0),if(isnumber(Raw!BL15),Raw!CS15/Raw!BL15,Raw!BL15),)</f>
        <v>0.4299363057</v>
      </c>
      <c r="AE15" s="130" t="str">
        <f>if(AND(isblank(Raw!BK15),Raw!BM15&gt;0,isnumber(Raw!CS15),Raw!CS15&gt;0),if(isnumber(Raw!BL15),Raw!CS15/Raw!BL15,Raw!BL15),)</f>
        <v/>
      </c>
      <c r="AF15" s="130" t="str">
        <f>if(AND(Raw!BK15&gt;0,Raw!BM15&gt;0,isnumber(Raw!CS15),Raw!CS15&gt;0),if(isnumber(Raw!BL15),Raw!CS15/Raw!BL15,Raw!BL15),)</f>
        <v/>
      </c>
      <c r="AG15" s="214" t="str">
        <f>if(AND(isblank(Raw!BK15),Raw!BM15&gt;0,isnumber(Raw!CS15),Raw!CS15&gt;0),Raw!BM15,)</f>
        <v/>
      </c>
      <c r="AH15" s="214" t="str">
        <f t="shared" si="8"/>
        <v/>
      </c>
      <c r="AI15" s="215">
        <f t="shared" ref="AI15:AK15" si="21">if(AND(AD15&gt;0,isnumber($AB15)),$AB15,)</f>
        <v>0.6539677619</v>
      </c>
      <c r="AJ15" s="214" t="str">
        <f t="shared" si="21"/>
        <v/>
      </c>
      <c r="AK15" s="214" t="str">
        <f t="shared" si="21"/>
        <v/>
      </c>
      <c r="AL15" s="214">
        <f>if(AND(Raw!BK15&gt;0,isblank(Raw!BM15),isnumber(Raw!CS15),Raw!CS15&gt;0),Raw!BK15,)</f>
        <v>1.4</v>
      </c>
      <c r="AM15" s="214" t="str">
        <f>if(AND(Raw!BK15&gt;0,Raw!BM15&gt;0,isnumber(Raw!CS15),Raw!CS15&gt;0),Raw!BM15,)</f>
        <v/>
      </c>
      <c r="AN15" s="214" t="str">
        <f>if(AND(Raw!BK15&gt;0,Raw!BM15&gt;0,isnumber(Raw!CS15),Raw!CS15&gt;0),Raw!BK15,)</f>
        <v/>
      </c>
      <c r="AO15" s="214" t="str">
        <f t="array" ref="AO15">if(Raw!H15="Vinland",max(AO$1:indirect("AO"&amp;(row()-1)))+1,)</f>
        <v/>
      </c>
      <c r="AP15" s="214" t="str">
        <f t="array" ref="AP15">if(Raw!H15="Icelandic",max(AP$1:indirect("AP"&amp;(row()-1)))+1,)</f>
        <v/>
      </c>
      <c r="AQ15" s="214" t="str">
        <f t="array" ref="AQ15">if(Raw!H15="Turf-to-Tools",max(AQ$1:indirect("AQ"&amp;(row()-1)))+1,)</f>
        <v/>
      </c>
      <c r="AR15" s="216">
        <f>IFS(OR(iserror(Raw!BP15),iserror(Raw!BQ15)),"NR",OR(Raw!BP15="?",Raw!BQ15="?"),"?",1,(Raw!BP15+Raw!BQ15)*Raw!BH15/100)</f>
        <v>1.527</v>
      </c>
      <c r="AS15" s="214"/>
      <c r="AT15" s="214"/>
      <c r="AU15" s="214"/>
      <c r="AV15" s="214"/>
      <c r="AW15" s="214"/>
      <c r="AX15" s="214"/>
      <c r="AY15" s="214"/>
    </row>
    <row r="16">
      <c r="A16" s="126">
        <f>Raw!A16</f>
        <v>15</v>
      </c>
      <c r="B16" s="208" t="str">
        <f>if(isnumber(O16),if(isblank(Raw!Z16),O16,concatenate(O16," (E)")),"ERROR")</f>
        <v>962.1 (E)</v>
      </c>
      <c r="C16" s="174">
        <f>ifs(Raw!S16="NR","NR",isblank(O16),"ERROR",1,O16*Raw!S16)</f>
        <v>57726</v>
      </c>
      <c r="D16" s="209">
        <f>ifs(AND(isnumber(Raw!X16),isnumber(Raw!Y16)),Raw!X16-Raw!Y16, AND(isnumber(Raw!U16),isnumber(Raw!V16)),Raw!U16-Raw!V16,1,)</f>
        <v>10</v>
      </c>
      <c r="E16" s="209">
        <f>IFS(isnumber(Raw!X16),Raw!X16/2,isnumber(Raw!U16),Raw!U16/2,1,)</f>
        <v>17.5</v>
      </c>
      <c r="F16" s="209">
        <f t="shared" si="2"/>
        <v>962.1</v>
      </c>
      <c r="G16" s="209">
        <f>if(and(isnumber(Raw!U16),isnumber(Raw!V16)),round(Raw!U16*Raw!V16,1),)</f>
        <v>1200</v>
      </c>
      <c r="H16" s="209">
        <f>if(and(isnumber(Raw!U16),isnumber(Raw!V16)),round(pi()*Raw!U16/2*Raw!V16/2,1),)</f>
        <v>942.5</v>
      </c>
      <c r="I16" s="210">
        <f t="shared" si="3"/>
        <v>735.2705444</v>
      </c>
      <c r="J16" s="209">
        <f t="shared" si="4"/>
        <v>1060.9</v>
      </c>
      <c r="K16" s="209">
        <f t="shared" si="5"/>
        <v>1032.4</v>
      </c>
      <c r="L16" s="209">
        <f t="shared" si="6"/>
        <v>1014.8</v>
      </c>
      <c r="M16" s="209">
        <f t="shared" si="7"/>
        <v>1003.2</v>
      </c>
      <c r="N16" s="210" t="str">
        <f>if(and(isnumber(Raw!U16),isnumber(Raw!V16),isnumber(Raw!W16)),0.5*Pi()*(Raw!V16/2)^2+(Raw!W16*(Raw!U16-0.5*Raw!V16))+2*((Raw!V16-Raw!W16)/2*(Raw!U16-0.5*Raw!V16)),)</f>
        <v/>
      </c>
      <c r="O16" s="174">
        <f>ifs(Raw!M16="Rectangle",G16,Raw!M16="Cut-teardrop",N16,Raw!M16="Oval",H16,Raw!M16="Flat Circle",I16,Raw!M16="Oval to Circle",F16,Raw!M16="Circle",F16,AND(Raw!M16="Circle to Oval",isnumber(Raw!X16),isblank(Raw!Z16)),F16,Raw!M16="Hexagon",J16,Raw!M16="Septagon",K16,Raw!M16="Octagon",L16,Raw!M16="Nonagon",M16)</f>
        <v>962.1</v>
      </c>
      <c r="Q16" s="211">
        <f>if(AND(isnumber(Raw!BW16),isnumber(Raw!CJ16)),Raw!BW16+Raw!CJ16,Raw!CE16)</f>
        <v>325</v>
      </c>
      <c r="R16" s="126">
        <f>if(isnumber(Raw!CE16),Raw!CE16,)</f>
        <v>193</v>
      </c>
      <c r="S16" s="144">
        <f>if(isblank(Raw!AT16),Raw!AS16,Raw!AT16)</f>
        <v>970</v>
      </c>
      <c r="T16" s="144"/>
      <c r="U16" s="212">
        <f>ifs(istext(Raw!AT16),Raw!AT16,AND(Raw!AT16&gt;0,isblank(Raw!AS16)),Raw!AT16,1,Raw!AS16)</f>
        <v>970</v>
      </c>
      <c r="V16" s="144"/>
      <c r="W16" s="130"/>
      <c r="Z16" s="125" t="s">
        <v>123</v>
      </c>
      <c r="AA16" s="213">
        <f>ifs(AND(Raw!BH16=0,Raw!BK16&gt;0),Raw!BK16*Numbers!J$1,OR(iserror(AB16),Raw!BK16="NR"),"?",1,AB16*Raw!BH16+Raw!BK16*Numbers!J$1)</f>
        <v>31.24490103</v>
      </c>
      <c r="AB16" s="130">
        <f>(Raw!AY16*vlookup(Raw!AX16,Ores[],11,FALSE)+if(isblank(Raw!AZ16),0,Raw!BA16*vlookup(Raw!AZ16,Ores[],11,FALSE))+if(isblank(Raw!BB16),0,Raw!BC16*vlookup(Raw!BB16,Ores[],11,FALSE))+if(isblank(Raw!BD16),0,Raw!BE16*vlookup(Raw!BD16,Ores[],11,FALSE))+if(isblank(Raw!BF16),0,Raw!BG16*vlookup(Raw!BF16,Ores[],11,FALSE)))/Raw!BH16</f>
        <v>0.6867011216</v>
      </c>
      <c r="AC16" s="130">
        <f>if(AND(isblank(Raw!BK16),isblank(Raw!BM16),isnumber(Raw!CS16),Raw!CS16&gt;0),if(isnumber(Raw!BL16),Raw!CS16/Raw!BL16,Raw!BL16),)</f>
        <v>0.4791208791</v>
      </c>
      <c r="AD16" s="130" t="str">
        <f>if(AND(Raw!BK16&gt;0,isblank(Raw!BM16),isnumber(Raw!CS16),Raw!CS16&gt;0),if(isnumber(Raw!BL16),Raw!CS16/Raw!BL16,Raw!BL16),)</f>
        <v/>
      </c>
      <c r="AE16" s="130" t="str">
        <f>if(AND(isblank(Raw!BK16),Raw!BM16&gt;0,isnumber(Raw!CS16),Raw!CS16&gt;0),if(isnumber(Raw!BL16),Raw!CS16/Raw!BL16,Raw!BL16),)</f>
        <v/>
      </c>
      <c r="AF16" s="130" t="str">
        <f>if(AND(Raw!BK16&gt;0,Raw!BM16&gt;0,isnumber(Raw!CS16),Raw!CS16&gt;0),if(isnumber(Raw!BL16),Raw!CS16/Raw!BL16,Raw!BL16),)</f>
        <v/>
      </c>
      <c r="AG16" s="214" t="str">
        <f>if(AND(isblank(Raw!BK16),Raw!BM16&gt;0,isnumber(Raw!CS16),Raw!CS16&gt;0),Raw!BM16,)</f>
        <v/>
      </c>
      <c r="AH16" s="215">
        <f t="shared" si="8"/>
        <v>0.6867011216</v>
      </c>
      <c r="AI16" s="214" t="str">
        <f t="shared" ref="AI16:AK16" si="22">if(AND(AD16&gt;0,isnumber($AB16)),$AB16,)</f>
        <v/>
      </c>
      <c r="AJ16" s="214" t="str">
        <f t="shared" si="22"/>
        <v/>
      </c>
      <c r="AK16" s="214" t="str">
        <f t="shared" si="22"/>
        <v/>
      </c>
      <c r="AL16" s="214" t="str">
        <f>if(AND(Raw!BK16&gt;0,isblank(Raw!BM16),isnumber(Raw!CS16),Raw!CS16&gt;0),Raw!BK16,)</f>
        <v/>
      </c>
      <c r="AM16" s="214" t="str">
        <f>if(AND(Raw!BK16&gt;0,Raw!BM16&gt;0,isnumber(Raw!CS16),Raw!CS16&gt;0),Raw!BM16,)</f>
        <v/>
      </c>
      <c r="AN16" s="214" t="str">
        <f>if(AND(Raw!BK16&gt;0,Raw!BM16&gt;0,isnumber(Raw!CS16),Raw!CS16&gt;0),Raw!BK16,)</f>
        <v/>
      </c>
      <c r="AO16" s="214" t="str">
        <f t="array" ref="AO16">if(Raw!H16="Vinland",max(AO$1:indirect("AO"&amp;(row()-1)))+1,)</f>
        <v/>
      </c>
      <c r="AP16" s="214" t="str">
        <f t="array" ref="AP16">if(Raw!H16="Icelandic",max(AP$1:indirect("AP"&amp;(row()-1)))+1,)</f>
        <v/>
      </c>
      <c r="AQ16" s="214" t="str">
        <f t="array" ref="AQ16">if(Raw!H16="Turf-to-Tools",max(AQ$1:indirect("AQ"&amp;(row()-1)))+1,)</f>
        <v/>
      </c>
      <c r="AR16" s="216">
        <f>IFS(OR(iserror(Raw!BP16),iserror(Raw!BQ16)),"NR",OR(Raw!BP16="?",Raw!BQ16="?"),"?",1,(Raw!BP16+Raw!BQ16)*Raw!BH16/100)</f>
        <v>0.1547</v>
      </c>
      <c r="AS16" s="214"/>
      <c r="AT16" s="214"/>
      <c r="AU16" s="214"/>
      <c r="AV16" s="214"/>
      <c r="AW16" s="214"/>
      <c r="AX16" s="214"/>
      <c r="AY16" s="214"/>
    </row>
    <row r="17">
      <c r="A17" s="126">
        <f>Raw!A17</f>
        <v>16</v>
      </c>
      <c r="B17" s="208" t="str">
        <f>if(isnumber(O17),if(isblank(Raw!Z17),O17,concatenate(O17," (E)")),"ERROR")</f>
        <v>962.1 (E)</v>
      </c>
      <c r="C17" s="174">
        <f>ifs(Raw!S17="NR","NR",isblank(O17),"ERROR",1,O17*Raw!S17)</f>
        <v>38484</v>
      </c>
      <c r="D17" s="209">
        <f>ifs(AND(isnumber(Raw!X17),isnumber(Raw!Y17)),Raw!X17-Raw!Y17, AND(isnumber(Raw!U17),isnumber(Raw!V17)),Raw!U17-Raw!V17,1,)</f>
        <v>12</v>
      </c>
      <c r="E17" s="209">
        <f>IFS(isnumber(Raw!X17),Raw!X17/2,isnumber(Raw!U17),Raw!U17/2,1,)</f>
        <v>17.5</v>
      </c>
      <c r="F17" s="209">
        <f t="shared" si="2"/>
        <v>962.1</v>
      </c>
      <c r="G17" s="209">
        <f>if(and(isnumber(Raw!U17),isnumber(Raw!V17)),round(Raw!U17*Raw!V17,1),)</f>
        <v>1120</v>
      </c>
      <c r="H17" s="209">
        <f>if(and(isnumber(Raw!U17),isnumber(Raw!V17)),round(pi()*Raw!U17/2*Raw!V17/2,1),)</f>
        <v>879.6</v>
      </c>
      <c r="I17" s="210">
        <f t="shared" si="3"/>
        <v>670.3258829</v>
      </c>
      <c r="J17" s="209">
        <f t="shared" si="4"/>
        <v>1060.9</v>
      </c>
      <c r="K17" s="209">
        <f t="shared" si="5"/>
        <v>1032.4</v>
      </c>
      <c r="L17" s="209">
        <f t="shared" si="6"/>
        <v>1014.8</v>
      </c>
      <c r="M17" s="209">
        <f t="shared" si="7"/>
        <v>1003.2</v>
      </c>
      <c r="N17" s="210" t="str">
        <f>if(and(isnumber(Raw!U17),isnumber(Raw!V17),isnumber(Raw!W17)),0.5*Pi()*(Raw!V17/2)^2+(Raw!W17*(Raw!U17-0.5*Raw!V17))+2*((Raw!V17-Raw!W17)/2*(Raw!U17-0.5*Raw!V17)),)</f>
        <v/>
      </c>
      <c r="O17" s="174">
        <f>ifs(Raw!M17="Rectangle",G17,Raw!M17="Cut-teardrop",N17,Raw!M17="Oval",H17,Raw!M17="Flat Circle",I17,Raw!M17="Oval to Circle",F17,Raw!M17="Circle",F17,AND(Raw!M17="Circle to Oval",isnumber(Raw!X17),isblank(Raw!Z17)),F17,Raw!M17="Hexagon",J17,Raw!M17="Septagon",K17,Raw!M17="Octagon",L17,Raw!M17="Nonagon",M17)</f>
        <v>962.1</v>
      </c>
      <c r="Q17" s="211">
        <f>if(AND(isnumber(Raw!BW17),isnumber(Raw!CJ17)),Raw!BW17+Raw!CJ17,Raw!CE17)</f>
        <v>285</v>
      </c>
      <c r="R17" s="126">
        <f>if(isnumber(Raw!CE17),Raw!CE17,)</f>
        <v>210</v>
      </c>
      <c r="S17" s="144">
        <f>if(isblank(Raw!AT17),Raw!AS17,Raw!AT17)</f>
        <v>970</v>
      </c>
      <c r="T17" s="144"/>
      <c r="U17" s="212">
        <f>ifs(istext(Raw!AT17),Raw!AT17,AND(Raw!AT17&gt;0,isblank(Raw!AS17)),Raw!AT17,1,Raw!AS17)</f>
        <v>970</v>
      </c>
      <c r="V17" s="144"/>
      <c r="W17" s="130"/>
      <c r="Z17" s="125" t="s">
        <v>123</v>
      </c>
      <c r="AA17" s="213">
        <f>ifs(AND(Raw!BH17=0,Raw!BK17&gt;0),Raw!BK17*Numbers!J$1,OR(iserror(AB17),Raw!BK17="NR"),"?",1,AB17*Raw!BH17+Raw!BK17*Numbers!J$1)</f>
        <v>31.24490103</v>
      </c>
      <c r="AB17" s="130">
        <f>(Raw!AY17*vlookup(Raw!AX17,Ores[],11,FALSE)+if(isblank(Raw!AZ17),0,Raw!BA17*vlookup(Raw!AZ17,Ores[],11,FALSE))+if(isblank(Raw!BB17),0,Raw!BC17*vlookup(Raw!BB17,Ores[],11,FALSE))+if(isblank(Raw!BD17),0,Raw!BE17*vlookup(Raw!BD17,Ores[],11,FALSE))+if(isblank(Raw!BF17),0,Raw!BG17*vlookup(Raw!BF17,Ores[],11,FALSE)))/Raw!BH17</f>
        <v>0.6867011216</v>
      </c>
      <c r="AC17" s="130">
        <f>if(AND(isblank(Raw!BK17),isblank(Raw!BM17),isnumber(Raw!CS17),Raw!CS17&gt;0),if(isnumber(Raw!BL17),Raw!CS17/Raw!BL17,Raw!BL17),)</f>
        <v>0.4395604396</v>
      </c>
      <c r="AD17" s="130" t="str">
        <f>if(AND(Raw!BK17&gt;0,isblank(Raw!BM17),isnumber(Raw!CS17),Raw!CS17&gt;0),if(isnumber(Raw!BL17),Raw!CS17/Raw!BL17,Raw!BL17),)</f>
        <v/>
      </c>
      <c r="AE17" s="130" t="str">
        <f>if(AND(isblank(Raw!BK17),Raw!BM17&gt;0,isnumber(Raw!CS17),Raw!CS17&gt;0),if(isnumber(Raw!BL17),Raw!CS17/Raw!BL17,Raw!BL17),)</f>
        <v/>
      </c>
      <c r="AF17" s="130" t="str">
        <f>if(AND(Raw!BK17&gt;0,Raw!BM17&gt;0,isnumber(Raw!CS17),Raw!CS17&gt;0),if(isnumber(Raw!BL17),Raw!CS17/Raw!BL17,Raw!BL17),)</f>
        <v/>
      </c>
      <c r="AG17" s="214" t="str">
        <f>if(AND(isblank(Raw!BK17),Raw!BM17&gt;0,isnumber(Raw!CS17),Raw!CS17&gt;0),Raw!BM17,)</f>
        <v/>
      </c>
      <c r="AH17" s="215">
        <f t="shared" si="8"/>
        <v>0.6867011216</v>
      </c>
      <c r="AI17" s="214" t="str">
        <f t="shared" ref="AI17:AK17" si="23">if(AND(AD17&gt;0,isnumber($AB17)),$AB17,)</f>
        <v/>
      </c>
      <c r="AJ17" s="214" t="str">
        <f t="shared" si="23"/>
        <v/>
      </c>
      <c r="AK17" s="214" t="str">
        <f t="shared" si="23"/>
        <v/>
      </c>
      <c r="AL17" s="214" t="str">
        <f>if(AND(Raw!BK17&gt;0,isblank(Raw!BM17),isnumber(Raw!CS17),Raw!CS17&gt;0),Raw!BK17,)</f>
        <v/>
      </c>
      <c r="AM17" s="214" t="str">
        <f>if(AND(Raw!BK17&gt;0,Raw!BM17&gt;0,isnumber(Raw!CS17),Raw!CS17&gt;0),Raw!BM17,)</f>
        <v/>
      </c>
      <c r="AN17" s="214" t="str">
        <f>if(AND(Raw!BK17&gt;0,Raw!BM17&gt;0,isnumber(Raw!CS17),Raw!CS17&gt;0),Raw!BK17,)</f>
        <v/>
      </c>
      <c r="AO17" s="214" t="str">
        <f t="array" ref="AO17">if(Raw!H17="Vinland",max(AO$1:indirect("AO"&amp;(row()-1)))+1,)</f>
        <v/>
      </c>
      <c r="AP17" s="214" t="str">
        <f t="array" ref="AP17">if(Raw!H17="Icelandic",max(AP$1:indirect("AP"&amp;(row()-1)))+1,)</f>
        <v/>
      </c>
      <c r="AQ17" s="214" t="str">
        <f t="array" ref="AQ17">if(Raw!H17="Turf-to-Tools",max(AQ$1:indirect("AQ"&amp;(row()-1)))+1,)</f>
        <v/>
      </c>
      <c r="AR17" s="216">
        <f>IFS(OR(iserror(Raw!BP17),iserror(Raw!BQ17)),"NR",OR(Raw!BP17="?",Raw!BQ17="?"),"?",1,(Raw!BP17+Raw!BQ17)*Raw!BH17/100)</f>
        <v>0.1547</v>
      </c>
      <c r="AS17" s="214"/>
      <c r="AT17" s="214"/>
      <c r="AU17" s="214"/>
      <c r="AV17" s="214"/>
      <c r="AW17" s="214"/>
      <c r="AX17" s="214"/>
      <c r="AY17" s="214"/>
    </row>
    <row r="18">
      <c r="A18" s="126" t="str">
        <f>Raw!A18</f>
        <v>17 / D8</v>
      </c>
      <c r="B18" s="208">
        <f>if(isnumber(O18),if(isblank(Raw!Z18),O18,concatenate(O18," (E)")),"ERROR")</f>
        <v>415.5</v>
      </c>
      <c r="C18" s="174">
        <f>ifs(Raw!S18="NR","NR",isblank(O18),"ERROR",1,O18*Raw!S18)</f>
        <v>18697.5</v>
      </c>
      <c r="D18" s="209" t="str">
        <f>ifs(AND(isnumber(Raw!X18),isnumber(Raw!Y18)),Raw!X18-Raw!Y18, AND(isnumber(Raw!U18),isnumber(Raw!V18)),Raw!U18-Raw!V18,1,)</f>
        <v/>
      </c>
      <c r="E18" s="209">
        <f>IFS(isnumber(Raw!X18),Raw!X18/2,isnumber(Raw!U18),Raw!U18/2,1,)</f>
        <v>11.5</v>
      </c>
      <c r="F18" s="209">
        <f t="shared" si="2"/>
        <v>415.5</v>
      </c>
      <c r="G18" s="209" t="str">
        <f>if(and(isnumber(Raw!U18),isnumber(Raw!V18)),round(Raw!U18*Raw!V18,1),)</f>
        <v/>
      </c>
      <c r="H18" s="209" t="str">
        <f>if(and(isnumber(Raw!U18),isnumber(Raw!V18)),round(pi()*Raw!U18/2*Raw!V18/2,1),)</f>
        <v/>
      </c>
      <c r="I18" s="210">
        <f t="shared" si="3"/>
        <v>415.5</v>
      </c>
      <c r="J18" s="209">
        <f t="shared" si="4"/>
        <v>458.1</v>
      </c>
      <c r="K18" s="209">
        <f t="shared" si="5"/>
        <v>445.8</v>
      </c>
      <c r="L18" s="209">
        <f t="shared" si="6"/>
        <v>438.2</v>
      </c>
      <c r="M18" s="209">
        <f t="shared" si="7"/>
        <v>433.2</v>
      </c>
      <c r="N18" s="210" t="str">
        <f>if(and(isnumber(Raw!U18),isnumber(Raw!V18),isnumber(Raw!W18)),0.5*Pi()*(Raw!V18/2)^2+(Raw!W18*(Raw!U18-0.5*Raw!V18))+2*((Raw!V18-Raw!W18)/2*(Raw!U18-0.5*Raw!V18)),)</f>
        <v/>
      </c>
      <c r="O18" s="174">
        <f>ifs(Raw!M18="Rectangle",G18,Raw!M18="Cut-teardrop",N18,Raw!M18="Oval",H18,Raw!M18="Flat Circle",I18,Raw!M18="Oval to Circle",F18,Raw!M18="Circle",F18,AND(Raw!M18="Circle to Oval",isnumber(Raw!X18),isblank(Raw!Z18)),F18,Raw!M18="Hexagon",J18,Raw!M18="Septagon",K18,Raw!M18="Octagon",L18,Raw!M18="Nonagon",M18)</f>
        <v>415.5</v>
      </c>
      <c r="Q18" s="211">
        <f>if(AND(isnumber(Raw!BW18),isnumber(Raw!CJ18)),Raw!BW18+Raw!CJ18,Raw!CE18)</f>
        <v>572</v>
      </c>
      <c r="R18" s="126">
        <f>if(isnumber(Raw!CE18),Raw!CE18,)</f>
        <v>381</v>
      </c>
      <c r="S18" s="144">
        <f>if(isblank(Raw!AT18),Raw!AS18,Raw!AT18)</f>
        <v>1060</v>
      </c>
      <c r="T18" s="145"/>
      <c r="U18" s="212">
        <f>ifs(istext(Raw!AT18),Raw!AT18,AND(Raw!AT18&gt;0,isblank(Raw!AS18)),Raw!AT18,1,Raw!AS18)</f>
        <v>1060</v>
      </c>
      <c r="V18" s="144"/>
      <c r="W18" s="130"/>
      <c r="Y18" s="125" t="s">
        <v>123</v>
      </c>
      <c r="Z18" s="125" t="s">
        <v>123</v>
      </c>
      <c r="AA18" s="213">
        <f>ifs(AND(Raw!BH18=0,Raw!BK18&gt;0),Raw!BK18*Numbers!J$1,OR(iserror(AB18),Raw!BK18="NR"),"?",1,AB18*Raw!BH18+Raw!BK18*Numbers!J$1)</f>
        <v>9.353196303</v>
      </c>
      <c r="AB18" s="130">
        <f>(Raw!AY18*vlookup(Raw!AX18,Ores[],11,FALSE)+if(isblank(Raw!AZ18),0,Raw!BA18*vlookup(Raw!AZ18,Ores[],11,FALSE))+if(isblank(Raw!BB18),0,Raw!BC18*vlookup(Raw!BB18,Ores[],11,FALSE))+if(isblank(Raw!BD18),0,Raw!BE18*vlookup(Raw!BD18,Ores[],11,FALSE))+if(isblank(Raw!BF18),0,Raw!BG18*vlookup(Raw!BF18,Ores[],11,FALSE)))/Raw!BH18</f>
        <v>0.4535109057</v>
      </c>
      <c r="AC18" s="130" t="str">
        <f>if(AND(isblank(Raw!BK18),isblank(Raw!BM18),isnumber(Raw!CS18),Raw!CS18&gt;0),if(isnumber(Raw!BL18),Raw!CS18/Raw!BL18,Raw!BL18),)</f>
        <v/>
      </c>
      <c r="AD18" s="130">
        <f>if(AND(Raw!BK18&gt;0,isblank(Raw!BM18),isnumber(Raw!CS18),Raw!CS18&gt;0),if(isnumber(Raw!BL18),Raw!CS18/Raw!BL18,Raw!BL18),)</f>
        <v>0.1421319797</v>
      </c>
      <c r="AE18" s="130" t="str">
        <f>if(AND(isblank(Raw!BK18),Raw!BM18&gt;0,isnumber(Raw!CS18),Raw!CS18&gt;0),if(isnumber(Raw!BL18),Raw!CS18/Raw!BL18,Raw!BL18),)</f>
        <v/>
      </c>
      <c r="AF18" s="130" t="str">
        <f>if(AND(Raw!BK18&gt;0,Raw!BM18&gt;0,isnumber(Raw!CS18),Raw!CS18&gt;0),if(isnumber(Raw!BL18),Raw!CS18/Raw!BL18,Raw!BL18),)</f>
        <v/>
      </c>
      <c r="AG18" s="214" t="str">
        <f>if(AND(isblank(Raw!BK18),Raw!BM18&gt;0,isnumber(Raw!CS18),Raw!CS18&gt;0),Raw!BM18,)</f>
        <v/>
      </c>
      <c r="AH18" s="214" t="str">
        <f t="shared" si="8"/>
        <v/>
      </c>
      <c r="AI18" s="215">
        <f t="shared" ref="AI18:AK18" si="24">if(AND(AD18&gt;0,isnumber($AB18)),$AB18,)</f>
        <v>0.4535109057</v>
      </c>
      <c r="AJ18" s="214" t="str">
        <f t="shared" si="24"/>
        <v/>
      </c>
      <c r="AK18" s="214" t="str">
        <f t="shared" si="24"/>
        <v/>
      </c>
      <c r="AL18" s="214">
        <f>if(AND(Raw!BK18&gt;0,isblank(Raw!BM18),isnumber(Raw!CS18),Raw!CS18&gt;0),Raw!BK18,)</f>
        <v>1.7</v>
      </c>
      <c r="AM18" s="214" t="str">
        <f>if(AND(Raw!BK18&gt;0,Raw!BM18&gt;0,isnumber(Raw!CS18),Raw!CS18&gt;0),Raw!BM18,)</f>
        <v/>
      </c>
      <c r="AN18" s="214" t="str">
        <f>if(AND(Raw!BK18&gt;0,Raw!BM18&gt;0,isnumber(Raw!CS18),Raw!CS18&gt;0),Raw!BK18,)</f>
        <v/>
      </c>
      <c r="AO18" s="214" t="str">
        <f t="array" ref="AO18">if(Raw!H18="Vinland",max(AO$1:indirect("AO"&amp;(row()-1)))+1,)</f>
        <v/>
      </c>
      <c r="AP18" s="214" t="str">
        <f t="array" ref="AP18">if(Raw!H18="Icelandic",max(AP$1:indirect("AP"&amp;(row()-1)))+1,)</f>
        <v/>
      </c>
      <c r="AQ18" s="214" t="str">
        <f t="array" ref="AQ18">if(Raw!H18="Turf-to-Tools",max(AQ$1:indirect("AQ"&amp;(row()-1)))+1,)</f>
        <v/>
      </c>
      <c r="AR18" s="216">
        <f>IFS(OR(iserror(Raw!BP18),iserror(Raw!BQ18)),"NR",OR(Raw!BP18="?",Raw!BQ18="?"),"?",1,(Raw!BP18+Raw!BQ18)*Raw!BH18/100)</f>
        <v>3.5892</v>
      </c>
      <c r="AS18" s="214"/>
      <c r="AT18" s="214"/>
      <c r="AU18" s="214"/>
      <c r="AV18" s="214"/>
      <c r="AW18" s="214"/>
      <c r="AX18" s="214"/>
      <c r="AY18" s="214"/>
    </row>
    <row r="19">
      <c r="A19" s="126" t="str">
        <f>Raw!A19</f>
        <v>18 / D9</v>
      </c>
      <c r="B19" s="208" t="str">
        <f>if(isnumber(O19),if(isblank(Raw!Z19),O19,concatenate(O19," (E)")),"ERROR")</f>
        <v>363.1 (E)</v>
      </c>
      <c r="C19" s="174">
        <f>ifs(Raw!S19="NR","NR",isblank(O19),"ERROR",1,O19*Raw!S19)</f>
        <v>12708.5</v>
      </c>
      <c r="D19" s="209">
        <f>ifs(AND(isnumber(Raw!X19),isnumber(Raw!Y19)),Raw!X19-Raw!Y19, AND(isnumber(Raw!U19),isnumber(Raw!V19)),Raw!U19-Raw!V19,1,)</f>
        <v>3</v>
      </c>
      <c r="E19" s="209">
        <f>IFS(isnumber(Raw!X19),Raw!X19/2,isnumber(Raw!U19),Raw!U19/2,1,)</f>
        <v>10.75</v>
      </c>
      <c r="F19" s="209">
        <f t="shared" si="2"/>
        <v>363.1</v>
      </c>
      <c r="G19" s="209">
        <f>if(and(isnumber(Raw!U19),isnumber(Raw!V19)),round(Raw!U19*Raw!V19,1),)</f>
        <v>550</v>
      </c>
      <c r="H19" s="209">
        <f>if(and(isnumber(Raw!U19),isnumber(Raw!V19)),round(pi()*Raw!U19/2*Raw!V19/2,1),)</f>
        <v>432</v>
      </c>
      <c r="I19" s="210">
        <f t="shared" si="3"/>
        <v>332.3554675</v>
      </c>
      <c r="J19" s="209">
        <f t="shared" si="4"/>
        <v>400.3</v>
      </c>
      <c r="K19" s="209">
        <f t="shared" si="5"/>
        <v>389.6</v>
      </c>
      <c r="L19" s="209">
        <f t="shared" si="6"/>
        <v>382.9</v>
      </c>
      <c r="M19" s="209">
        <f t="shared" si="7"/>
        <v>378.6</v>
      </c>
      <c r="N19" s="210" t="str">
        <f>if(and(isnumber(Raw!U19),isnumber(Raw!V19),isnumber(Raw!W19)),0.5*Pi()*(Raw!V19/2)^2+(Raw!W19*(Raw!U19-0.5*Raw!V19))+2*((Raw!V19-Raw!W19)/2*(Raw!U19-0.5*Raw!V19)),)</f>
        <v/>
      </c>
      <c r="O19" s="174">
        <f>ifs(Raw!M19="Rectangle",G19,Raw!M19="Cut-teardrop",N19,Raw!M19="Oval",H19,Raw!M19="Flat Circle",I19,Raw!M19="Oval to Circle",F19,Raw!M19="Circle",F19,AND(Raw!M19="Circle to Oval",isnumber(Raw!X19),isblank(Raw!Z19)),F19,Raw!M19="Hexagon",J19,Raw!M19="Septagon",K19,Raw!M19="Octagon",L19,Raw!M19="Nonagon",M19)</f>
        <v>363.1</v>
      </c>
      <c r="Q19" s="211">
        <f>if(AND(isnumber(Raw!BW19),isnumber(Raw!CJ19)),Raw!BW19+Raw!CJ19,Raw!CE19)</f>
        <v>367</v>
      </c>
      <c r="R19" s="126">
        <f>if(isnumber(Raw!CE19),Raw!CE19,)</f>
        <v>367</v>
      </c>
      <c r="S19" s="144">
        <f>if(isblank(Raw!AT19),Raw!AS19,Raw!AT19)</f>
        <v>600</v>
      </c>
      <c r="T19" s="145"/>
      <c r="U19" s="212">
        <f>ifs(istext(Raw!AT19),Raw!AT19,AND(Raw!AT19&gt;0,isblank(Raw!AS19)),Raw!AT19,1,Raw!AS19)</f>
        <v>600</v>
      </c>
      <c r="V19" s="144"/>
      <c r="W19" s="130"/>
      <c r="Y19" s="125" t="s">
        <v>123</v>
      </c>
      <c r="Z19" s="125" t="s">
        <v>123</v>
      </c>
      <c r="AA19" s="213">
        <f>ifs(AND(Raw!BH19=0,Raw!BK19&gt;0),Raw!BK19*Numbers!J$1,OR(iserror(AB19),Raw!BK19="NR"),"?",1,AB19*Raw!BH19+Raw!BK19*Numbers!J$1)</f>
        <v>6.09</v>
      </c>
      <c r="AB19" s="130">
        <f>(Raw!AY19*vlookup(Raw!AX19,Ores[],11,FALSE)+if(isblank(Raw!AZ19),0,Raw!BA19*vlookup(Raw!AZ19,Ores[],11,FALSE))+if(isblank(Raw!BB19),0,Raw!BC19*vlookup(Raw!BB19,Ores[],11,FALSE))+if(isblank(Raw!BD19),0,Raw!BE19*vlookup(Raw!BD19,Ores[],11,FALSE))+if(isblank(Raw!BF19),0,Raw!BG19*vlookup(Raw!BF19,Ores[],11,FALSE)))/Raw!BH19</f>
        <v>0.58</v>
      </c>
      <c r="AC19" s="130">
        <f>if(AND(isblank(Raw!BK19),isblank(Raw!BM19),isnumber(Raw!CS19),Raw!CS19&gt;0),if(isnumber(Raw!BL19),Raw!CS19/Raw!BL19,Raw!BL19),)</f>
        <v>0.1428571429</v>
      </c>
      <c r="AD19" s="130" t="str">
        <f>if(AND(Raw!BK19&gt;0,isblank(Raw!BM19),isnumber(Raw!CS19),Raw!CS19&gt;0),if(isnumber(Raw!BL19),Raw!CS19/Raw!BL19,Raw!BL19),)</f>
        <v/>
      </c>
      <c r="AE19" s="130" t="str">
        <f>if(AND(isblank(Raw!BK19),Raw!BM19&gt;0,isnumber(Raw!CS19),Raw!CS19&gt;0),if(isnumber(Raw!BL19),Raw!CS19/Raw!BL19,Raw!BL19),)</f>
        <v/>
      </c>
      <c r="AF19" s="130" t="str">
        <f>if(AND(Raw!BK19&gt;0,Raw!BM19&gt;0,isnumber(Raw!CS19),Raw!CS19&gt;0),if(isnumber(Raw!BL19),Raw!CS19/Raw!BL19,Raw!BL19),)</f>
        <v/>
      </c>
      <c r="AG19" s="214" t="str">
        <f>if(AND(isblank(Raw!BK19),Raw!BM19&gt;0,isnumber(Raw!CS19),Raw!CS19&gt;0),Raw!BM19,)</f>
        <v/>
      </c>
      <c r="AH19" s="215">
        <f t="shared" si="8"/>
        <v>0.58</v>
      </c>
      <c r="AI19" s="214" t="str">
        <f t="shared" ref="AI19:AK19" si="25">if(AND(AD19&gt;0,isnumber($AB19)),$AB19,)</f>
        <v/>
      </c>
      <c r="AJ19" s="214" t="str">
        <f t="shared" si="25"/>
        <v/>
      </c>
      <c r="AK19" s="214" t="str">
        <f t="shared" si="25"/>
        <v/>
      </c>
      <c r="AL19" s="214" t="str">
        <f>if(AND(Raw!BK19&gt;0,isblank(Raw!BM19),isnumber(Raw!CS19),Raw!CS19&gt;0),Raw!BK19,)</f>
        <v/>
      </c>
      <c r="AM19" s="214" t="str">
        <f>if(AND(Raw!BK19&gt;0,Raw!BM19&gt;0,isnumber(Raw!CS19),Raw!CS19&gt;0),Raw!BM19,)</f>
        <v/>
      </c>
      <c r="AN19" s="214" t="str">
        <f>if(AND(Raw!BK19&gt;0,Raw!BM19&gt;0,isnumber(Raw!CS19),Raw!CS19&gt;0),Raw!BK19,)</f>
        <v/>
      </c>
      <c r="AO19" s="214" t="str">
        <f t="array" ref="AO19">if(Raw!H19="Vinland",max(AO$1:indirect("AO"&amp;(row()-1)))+1,)</f>
        <v/>
      </c>
      <c r="AP19" s="214" t="str">
        <f t="array" ref="AP19">if(Raw!H19="Icelandic",max(AP$1:indirect("AP"&amp;(row()-1)))+1,)</f>
        <v/>
      </c>
      <c r="AQ19" s="214" t="str">
        <f t="array" ref="AQ19">if(Raw!H19="Turf-to-Tools",max(AQ$1:indirect("AQ"&amp;(row()-1)))+1,)</f>
        <v/>
      </c>
      <c r="AR19" s="216">
        <f>IFS(OR(iserror(Raw!BP19),iserror(Raw!BQ19)),"NR",OR(Raw!BP19="?",Raw!BQ19="?"),"?",1,(Raw!BP19+Raw!BQ19)*Raw!BH19/100)</f>
        <v>1.13085</v>
      </c>
      <c r="AS19" s="214"/>
      <c r="AT19" s="214"/>
      <c r="AU19" s="214"/>
      <c r="AV19" s="214"/>
      <c r="AW19" s="214"/>
      <c r="AX19" s="214"/>
      <c r="AY19" s="214"/>
    </row>
    <row r="20">
      <c r="A20" s="126">
        <f>Raw!A20</f>
        <v>19</v>
      </c>
      <c r="B20" s="208">
        <f>if(isnumber(O20),if(isblank(Raw!Z20),O20,concatenate(O20," (E)")),"ERROR")</f>
        <v>314.2</v>
      </c>
      <c r="C20" s="174">
        <f>ifs(Raw!S20="NR","NR",isblank(O20),"ERROR",1,O20*Raw!S20)</f>
        <v>15710</v>
      </c>
      <c r="D20" s="209" t="str">
        <f>ifs(AND(isnumber(Raw!X20),isnumber(Raw!Y20)),Raw!X20-Raw!Y20, AND(isnumber(Raw!U20),isnumber(Raw!V20)),Raw!U20-Raw!V20,1,)</f>
        <v/>
      </c>
      <c r="E20" s="209">
        <f>IFS(isnumber(Raw!X20),Raw!X20/2,isnumber(Raw!U20),Raw!U20/2,1,)</f>
        <v>10</v>
      </c>
      <c r="F20" s="209">
        <f t="shared" si="2"/>
        <v>314.2</v>
      </c>
      <c r="G20" s="209" t="str">
        <f>if(and(isnumber(Raw!U20),isnumber(Raw!V20)),round(Raw!U20*Raw!V20,1),)</f>
        <v/>
      </c>
      <c r="H20" s="209" t="str">
        <f>if(and(isnumber(Raw!U20),isnumber(Raw!V20)),round(pi()*Raw!U20/2*Raw!V20/2,1),)</f>
        <v/>
      </c>
      <c r="I20" s="210">
        <f t="shared" si="3"/>
        <v>314.2</v>
      </c>
      <c r="J20" s="209">
        <f t="shared" si="4"/>
        <v>346.4</v>
      </c>
      <c r="K20" s="209">
        <f t="shared" si="5"/>
        <v>337.1</v>
      </c>
      <c r="L20" s="209">
        <f t="shared" si="6"/>
        <v>331.4</v>
      </c>
      <c r="M20" s="209">
        <f t="shared" si="7"/>
        <v>327.6</v>
      </c>
      <c r="N20" s="210" t="str">
        <f>if(and(isnumber(Raw!U20),isnumber(Raw!V20),isnumber(Raw!W20)),0.5*Pi()*(Raw!V20/2)^2+(Raw!W20*(Raw!U20-0.5*Raw!V20))+2*((Raw!V20-Raw!W20)/2*(Raw!U20-0.5*Raw!V20)),)</f>
        <v/>
      </c>
      <c r="O20" s="174">
        <f>ifs(Raw!M20="Rectangle",G20,Raw!M20="Cut-teardrop",N20,Raw!M20="Oval",H20,Raw!M20="Flat Circle",I20,Raw!M20="Oval to Circle",F20,Raw!M20="Circle",F20,AND(Raw!M20="Circle to Oval",isnumber(Raw!X20),isblank(Raw!Z20)),F20,Raw!M20="Hexagon",J20,Raw!M20="Septagon",K20,Raw!M20="Octagon",L20,Raw!M20="Nonagon",M20)</f>
        <v>314.2</v>
      </c>
      <c r="Q20" s="211">
        <f>if(AND(isnumber(Raw!BW20),isnumber(Raw!CJ20)),Raw!BW20+Raw!CJ20,Raw!CE20)</f>
        <v>176</v>
      </c>
      <c r="R20" s="126">
        <f>if(isnumber(Raw!CE20),Raw!CE20,)</f>
        <v>176</v>
      </c>
      <c r="S20" s="144">
        <f>if(isblank(Raw!AT20),Raw!AS20,Raw!AT20)</f>
        <v>700</v>
      </c>
      <c r="T20" s="145"/>
      <c r="U20" s="212">
        <f>ifs(istext(Raw!AT20),Raw!AT20,AND(Raw!AT20&gt;0,isblank(Raw!AS20)),Raw!AT20,1,Raw!AS20)</f>
        <v>700</v>
      </c>
      <c r="V20" s="144"/>
      <c r="W20" s="130"/>
      <c r="Z20" s="125" t="s">
        <v>123</v>
      </c>
      <c r="AA20" s="213">
        <f>ifs(AND(Raw!BH20=0,Raw!BK20&gt;0),Raw!BK20*Numbers!J$1,OR(iserror(AB20),Raw!BK20="NR"),"?",1,AB20*Raw!BH20+Raw!BK20*Numbers!J$1)</f>
        <v>3.746542839</v>
      </c>
      <c r="AB20" s="130">
        <f>(Raw!AY20*vlookup(Raw!AX20,Ores[],11,FALSE)+if(isblank(Raw!AZ20),0,Raw!BA20*vlookup(Raw!AZ20,Ores[],11,FALSE))+if(isblank(Raw!BB20),0,Raw!BC20*vlookup(Raw!BB20,Ores[],11,FALSE))+if(isblank(Raw!BD20),0,Raw!BE20*vlookup(Raw!BD20,Ores[],11,FALSE))+if(isblank(Raw!BF20),0,Raw!BG20*vlookup(Raw!BF20,Ores[],11,FALSE)))/Raw!BH20</f>
        <v>0.4257435045</v>
      </c>
      <c r="AC20" s="130">
        <f>if(AND(isblank(Raw!BK20),isblank(Raw!BM20),isnumber(Raw!CS20),Raw!CS20&gt;0),if(isnumber(Raw!BL20),Raw!CS20/Raw!BL20,Raw!BL20),)</f>
        <v>0.07954545455</v>
      </c>
      <c r="AD20" s="130" t="str">
        <f>if(AND(Raw!BK20&gt;0,isblank(Raw!BM20),isnumber(Raw!CS20),Raw!CS20&gt;0),if(isnumber(Raw!BL20),Raw!CS20/Raw!BL20,Raw!BL20),)</f>
        <v/>
      </c>
      <c r="AE20" s="130" t="str">
        <f>if(AND(isblank(Raw!BK20),Raw!BM20&gt;0,isnumber(Raw!CS20),Raw!CS20&gt;0),if(isnumber(Raw!BL20),Raw!CS20/Raw!BL20,Raw!BL20),)</f>
        <v/>
      </c>
      <c r="AF20" s="130" t="str">
        <f>if(AND(Raw!BK20&gt;0,Raw!BM20&gt;0,isnumber(Raw!CS20),Raw!CS20&gt;0),if(isnumber(Raw!BL20),Raw!CS20/Raw!BL20,Raw!BL20),)</f>
        <v/>
      </c>
      <c r="AG20" s="214" t="str">
        <f>if(AND(isblank(Raw!BK20),Raw!BM20&gt;0,isnumber(Raw!CS20),Raw!CS20&gt;0),Raw!BM20,)</f>
        <v/>
      </c>
      <c r="AH20" s="215">
        <f t="shared" si="8"/>
        <v>0.4257435045</v>
      </c>
      <c r="AI20" s="214" t="str">
        <f t="shared" ref="AI20:AK20" si="26">if(AND(AD20&gt;0,isnumber($AB20)),$AB20,)</f>
        <v/>
      </c>
      <c r="AJ20" s="214" t="str">
        <f t="shared" si="26"/>
        <v/>
      </c>
      <c r="AK20" s="214" t="str">
        <f t="shared" si="26"/>
        <v/>
      </c>
      <c r="AL20" s="214" t="str">
        <f>if(AND(Raw!BK20&gt;0,isblank(Raw!BM20),isnumber(Raw!CS20),Raw!CS20&gt;0),Raw!BK20,)</f>
        <v/>
      </c>
      <c r="AM20" s="214" t="str">
        <f>if(AND(Raw!BK20&gt;0,Raw!BM20&gt;0,isnumber(Raw!CS20),Raw!CS20&gt;0),Raw!BM20,)</f>
        <v/>
      </c>
      <c r="AN20" s="214" t="str">
        <f>if(AND(Raw!BK20&gt;0,Raw!BM20&gt;0,isnumber(Raw!CS20),Raw!CS20&gt;0),Raw!BK20,)</f>
        <v/>
      </c>
      <c r="AO20" s="214" t="str">
        <f t="array" ref="AO20">if(Raw!H20="Vinland",max(AO$1:indirect("AO"&amp;(row()-1)))+1,)</f>
        <v/>
      </c>
      <c r="AP20" s="214" t="str">
        <f t="array" ref="AP20">if(Raw!H20="Icelandic",max(AP$1:indirect("AP"&amp;(row()-1)))+1,)</f>
        <v/>
      </c>
      <c r="AQ20" s="214" t="str">
        <f t="array" ref="AQ20">if(Raw!H20="Turf-to-Tools",max(AQ$1:indirect("AQ"&amp;(row()-1)))+1,)</f>
        <v/>
      </c>
      <c r="AR20" s="216">
        <f>IFS(OR(iserror(Raw!BP20),iserror(Raw!BQ20)),"NR",OR(Raw!BP20="?",Raw!BQ20="?"),"?",1,(Raw!BP20+Raw!BQ20)*Raw!BH20/100)</f>
        <v>2.65144</v>
      </c>
      <c r="AS20" s="214"/>
      <c r="AT20" s="214"/>
      <c r="AU20" s="214"/>
      <c r="AV20" s="214"/>
      <c r="AW20" s="214"/>
      <c r="AX20" s="214"/>
      <c r="AY20" s="214"/>
    </row>
    <row r="21">
      <c r="A21" s="126">
        <f>Raw!A21</f>
        <v>20</v>
      </c>
      <c r="B21" s="208">
        <f>if(isnumber(O21),if(isblank(Raw!Z21),O21,concatenate(O21," (E)")),"ERROR")</f>
        <v>625</v>
      </c>
      <c r="C21" s="174">
        <f>ifs(Raw!S21="NR","NR",isblank(O21),"ERROR",1,O21*Raw!S21)</f>
        <v>25000</v>
      </c>
      <c r="D21" s="209">
        <f>ifs(AND(isnumber(Raw!X21),isnumber(Raw!Y21)),Raw!X21-Raw!Y21, AND(isnumber(Raw!U21),isnumber(Raw!V21)),Raw!U21-Raw!V21,1,)</f>
        <v>0</v>
      </c>
      <c r="E21" s="209">
        <f>IFS(isnumber(Raw!X21),Raw!X21/2,isnumber(Raw!U21),Raw!U21/2,1,)</f>
        <v>12.5</v>
      </c>
      <c r="F21" s="209">
        <f t="shared" si="2"/>
        <v>490.9</v>
      </c>
      <c r="G21" s="209">
        <f>if(and(isnumber(Raw!U21),isnumber(Raw!V21)),round(Raw!U21*Raw!V21,1),)</f>
        <v>625</v>
      </c>
      <c r="H21" s="209">
        <f>if(and(isnumber(Raw!U21),isnumber(Raw!V21)),round(pi()*Raw!U21/2*Raw!V21/2,1),)</f>
        <v>490.9</v>
      </c>
      <c r="I21" s="210">
        <f t="shared" si="3"/>
        <v>490.9</v>
      </c>
      <c r="J21" s="209">
        <f t="shared" si="4"/>
        <v>541.3</v>
      </c>
      <c r="K21" s="209">
        <f t="shared" si="5"/>
        <v>526.7</v>
      </c>
      <c r="L21" s="209">
        <f t="shared" si="6"/>
        <v>517.8</v>
      </c>
      <c r="M21" s="209">
        <f t="shared" si="7"/>
        <v>511.8</v>
      </c>
      <c r="N21" s="210" t="str">
        <f>if(and(isnumber(Raw!U21),isnumber(Raw!V21),isnumber(Raw!W21)),0.5*Pi()*(Raw!V21/2)^2+(Raw!W21*(Raw!U21-0.5*Raw!V21))+2*((Raw!V21-Raw!W21)/2*(Raw!U21-0.5*Raw!V21)),)</f>
        <v/>
      </c>
      <c r="O21" s="174">
        <f>ifs(Raw!M21="Rectangle",G21,Raw!M21="Cut-teardrop",N21,Raw!M21="Oval",H21,Raw!M21="Flat Circle",I21,Raw!M21="Oval to Circle",F21,Raw!M21="Circle",F21,AND(Raw!M21="Circle to Oval",isnumber(Raw!X21),isblank(Raw!Z21)),F21,Raw!M21="Hexagon",J21,Raw!M21="Septagon",K21,Raw!M21="Octagon",L21,Raw!M21="Nonagon",M21)</f>
        <v>625</v>
      </c>
      <c r="Q21" s="211">
        <f>if(AND(isnumber(Raw!BW21),isnumber(Raw!CJ21)),Raw!BW21+Raw!CJ21,Raw!CE21)</f>
        <v>196</v>
      </c>
      <c r="R21" s="126">
        <f>if(isnumber(Raw!CE21),Raw!CE21,)</f>
        <v>196</v>
      </c>
      <c r="S21" s="144">
        <f>if(isblank(Raw!AT21),Raw!AS21,Raw!AT21)</f>
        <v>1000</v>
      </c>
      <c r="T21" s="145"/>
      <c r="U21" s="212">
        <f>ifs(istext(Raw!AT21),Raw!AT21,AND(Raw!AT21&gt;0,isblank(Raw!AS21)),Raw!AT21,1,Raw!AS21)</f>
        <v>1000</v>
      </c>
      <c r="V21" s="144"/>
      <c r="W21" s="130"/>
      <c r="Z21" s="125" t="s">
        <v>123</v>
      </c>
      <c r="AA21" s="213">
        <f>ifs(AND(Raw!BH21=0,Raw!BK21&gt;0),Raw!BK21*Numbers!J$1,OR(iserror(AB21),Raw!BK21="NR"),"?",1,AB21*Raw!BH21+Raw!BK21*Numbers!J$1)</f>
        <v>26.39</v>
      </c>
      <c r="AB21" s="130">
        <f>(Raw!AY21*vlookup(Raw!AX21,Ores[],11,FALSE)+if(isblank(Raw!AZ21),0,Raw!BA21*vlookup(Raw!AZ21,Ores[],11,FALSE))+if(isblank(Raw!BB21),0,Raw!BC21*vlookup(Raw!BB21,Ores[],11,FALSE))+if(isblank(Raw!BD21),0,Raw!BE21*vlookup(Raw!BD21,Ores[],11,FALSE))+if(isblank(Raw!BF21),0,Raw!BG21*vlookup(Raw!BF21,Ores[],11,FALSE)))/Raw!BH21</f>
        <v>0.58</v>
      </c>
      <c r="AC21" s="130" t="str">
        <f>if(AND(isblank(Raw!BK21),isblank(Raw!BM21),isnumber(Raw!CS21),Raw!CS21&gt;0),if(isnumber(Raw!BL21),Raw!CS21/Raw!BL21,Raw!BL21),)</f>
        <v/>
      </c>
      <c r="AD21" s="130" t="str">
        <f>if(AND(Raw!BK21&gt;0,isblank(Raw!BM21),isnumber(Raw!CS21),Raw!CS21&gt;0),if(isnumber(Raw!BL21),Raw!CS21/Raw!BL21,Raw!BL21),)</f>
        <v/>
      </c>
      <c r="AE21" s="130" t="str">
        <f>if(AND(isblank(Raw!BK21),Raw!BM21&gt;0,isnumber(Raw!CS21),Raw!CS21&gt;0),if(isnumber(Raw!BL21),Raw!CS21/Raw!BL21,Raw!BL21),)</f>
        <v/>
      </c>
      <c r="AF21" s="130" t="str">
        <f>if(AND(Raw!BK21&gt;0,Raw!BM21&gt;0,isnumber(Raw!CS21),Raw!CS21&gt;0),if(isnumber(Raw!BL21),Raw!CS21/Raw!BL21,Raw!BL21),)</f>
        <v/>
      </c>
      <c r="AG21" s="214" t="str">
        <f>if(AND(isblank(Raw!BK21),Raw!BM21&gt;0,isnumber(Raw!CS21),Raw!CS21&gt;0),Raw!BM21,)</f>
        <v/>
      </c>
      <c r="AH21" s="214" t="str">
        <f t="shared" si="8"/>
        <v/>
      </c>
      <c r="AI21" s="214" t="str">
        <f t="shared" ref="AI21:AK21" si="27">if(AND(AD21&gt;0,isnumber($AB21)),$AB21,)</f>
        <v/>
      </c>
      <c r="AJ21" s="214" t="str">
        <f t="shared" si="27"/>
        <v/>
      </c>
      <c r="AK21" s="214" t="str">
        <f t="shared" si="27"/>
        <v/>
      </c>
      <c r="AL21" s="214" t="str">
        <f>if(AND(Raw!BK21&gt;0,isblank(Raw!BM21),isnumber(Raw!CS21),Raw!CS21&gt;0),Raw!BK21,)</f>
        <v/>
      </c>
      <c r="AM21" s="214" t="str">
        <f>if(AND(Raw!BK21&gt;0,Raw!BM21&gt;0,isnumber(Raw!CS21),Raw!CS21&gt;0),Raw!BM21,)</f>
        <v/>
      </c>
      <c r="AN21" s="214" t="str">
        <f>if(AND(Raw!BK21&gt;0,Raw!BM21&gt;0,isnumber(Raw!CS21),Raw!CS21&gt;0),Raw!BK21,)</f>
        <v/>
      </c>
      <c r="AO21" s="214" t="str">
        <f t="array" ref="AO21">if(Raw!H21="Vinland",max(AO$1:indirect("AO"&amp;(row()-1)))+1,)</f>
        <v/>
      </c>
      <c r="AP21" s="214" t="str">
        <f t="array" ref="AP21">if(Raw!H21="Icelandic",max(AP$1:indirect("AP"&amp;(row()-1)))+1,)</f>
        <v/>
      </c>
      <c r="AQ21" s="214" t="str">
        <f t="array" ref="AQ21">if(Raw!H21="Turf-to-Tools",max(AQ$1:indirect("AQ"&amp;(row()-1)))+1,)</f>
        <v/>
      </c>
      <c r="AR21" s="216">
        <f>IFS(OR(iserror(Raw!BP21),iserror(Raw!BQ21)),"NR",OR(Raw!BP21="?",Raw!BQ21="?"),"?",1,(Raw!BP21+Raw!BQ21)*Raw!BH21/100)</f>
        <v>4.90035</v>
      </c>
      <c r="AS21" s="214"/>
      <c r="AT21" s="214"/>
      <c r="AU21" s="214"/>
      <c r="AV21" s="214"/>
      <c r="AW21" s="214"/>
      <c r="AX21" s="214"/>
      <c r="AY21" s="214"/>
    </row>
    <row r="22">
      <c r="A22" s="126" t="str">
        <f>Raw!A22</f>
        <v>21 / D10</v>
      </c>
      <c r="B22" s="208">
        <f>if(isnumber(O22),if(isblank(Raw!Z22),O22,concatenate(O22," (E)")),"ERROR")</f>
        <v>415.5</v>
      </c>
      <c r="C22" s="174">
        <f>ifs(Raw!S22="NR","NR",isblank(O22),"ERROR",1,O22*Raw!S22)</f>
        <v>31162.5</v>
      </c>
      <c r="D22" s="209" t="str">
        <f>ifs(AND(isnumber(Raw!X22),isnumber(Raw!Y22)),Raw!X22-Raw!Y22, AND(isnumber(Raw!U22),isnumber(Raw!V22)),Raw!U22-Raw!V22,1,)</f>
        <v/>
      </c>
      <c r="E22" s="209">
        <f>IFS(isnumber(Raw!X22),Raw!X22/2,isnumber(Raw!U22),Raw!U22/2,1,)</f>
        <v>11.5</v>
      </c>
      <c r="F22" s="209">
        <f t="shared" si="2"/>
        <v>415.5</v>
      </c>
      <c r="G22" s="209" t="str">
        <f>if(and(isnumber(Raw!U22),isnumber(Raw!V22)),round(Raw!U22*Raw!V22,1),)</f>
        <v/>
      </c>
      <c r="H22" s="209" t="str">
        <f>if(and(isnumber(Raw!U22),isnumber(Raw!V22)),round(pi()*Raw!U22/2*Raw!V22/2,1),)</f>
        <v/>
      </c>
      <c r="I22" s="210">
        <f t="shared" si="3"/>
        <v>415.5</v>
      </c>
      <c r="J22" s="209">
        <f t="shared" si="4"/>
        <v>458.1</v>
      </c>
      <c r="K22" s="209">
        <f t="shared" si="5"/>
        <v>445.8</v>
      </c>
      <c r="L22" s="209">
        <f t="shared" si="6"/>
        <v>438.2</v>
      </c>
      <c r="M22" s="209">
        <f t="shared" si="7"/>
        <v>433.2</v>
      </c>
      <c r="N22" s="210" t="str">
        <f>if(and(isnumber(Raw!U22),isnumber(Raw!V22),isnumber(Raw!W22)),0.5*Pi()*(Raw!V22/2)^2+(Raw!W22*(Raw!U22-0.5*Raw!V22))+2*((Raw!V22-Raw!W22)/2*(Raw!U22-0.5*Raw!V22)),)</f>
        <v/>
      </c>
      <c r="O22" s="174">
        <f>ifs(Raw!M22="Rectangle",G22,Raw!M22="Cut-teardrop",N22,Raw!M22="Oval",H22,Raw!M22="Flat Circle",I22,Raw!M22="Oval to Circle",F22,Raw!M22="Circle",F22,AND(Raw!M22="Circle to Oval",isnumber(Raw!X22),isblank(Raw!Z22)),F22,Raw!M22="Hexagon",J22,Raw!M22="Septagon",K22,Raw!M22="Octagon",L22,Raw!M22="Nonagon",M22)</f>
        <v>415.5</v>
      </c>
      <c r="Q22" s="211">
        <f>if(AND(isnumber(Raw!BW22),isnumber(Raw!CJ22)),Raw!BW22+Raw!CJ22,Raw!CE22)</f>
        <v>199</v>
      </c>
      <c r="R22" s="126">
        <f>if(isnumber(Raw!CE22),Raw!CE22,)</f>
        <v>70</v>
      </c>
      <c r="S22" s="144">
        <f>if(isblank(Raw!AT22),Raw!AS22,Raw!AT22)</f>
        <v>1060</v>
      </c>
      <c r="T22" s="145"/>
      <c r="U22" s="212">
        <f>ifs(istext(Raw!AT22),Raw!AT22,AND(Raw!AT22&gt;0,isblank(Raw!AS22)),Raw!AT22,1,Raw!AS22)</f>
        <v>1060</v>
      </c>
      <c r="V22" s="144"/>
      <c r="W22" s="130"/>
      <c r="Y22" s="125" t="s">
        <v>123</v>
      </c>
      <c r="Z22" s="125" t="s">
        <v>123</v>
      </c>
      <c r="AA22" s="213">
        <f>ifs(AND(Raw!BH22=0,Raw!BK22&gt;0),Raw!BK22*Numbers!J$1,OR(iserror(AB22),Raw!BK22="NR"),"?",1,AB22*Raw!BH22+Raw!BK22*Numbers!J$1)</f>
        <v>13.63</v>
      </c>
      <c r="AB22" s="130">
        <f>(Raw!AY22*vlookup(Raw!AX22,Ores[],11,FALSE)+if(isblank(Raw!AZ22),0,Raw!BA22*vlookup(Raw!AZ22,Ores[],11,FALSE))+if(isblank(Raw!BB22),0,Raw!BC22*vlookup(Raw!BB22,Ores[],11,FALSE))+if(isblank(Raw!BD22),0,Raw!BE22*vlookup(Raw!BD22,Ores[],11,FALSE))+if(isblank(Raw!BF22),0,Raw!BG22*vlookup(Raw!BF22,Ores[],11,FALSE)))/Raw!BH22</f>
        <v>0.58</v>
      </c>
      <c r="AC22" s="130" t="str">
        <f>if(AND(isblank(Raw!BK22),isblank(Raw!BM22),isnumber(Raw!CS22),Raw!CS22&gt;0),if(isnumber(Raw!BL22),Raw!CS22/Raw!BL22,Raw!BL22),)</f>
        <v/>
      </c>
      <c r="AD22" s="130" t="str">
        <f>if(AND(Raw!BK22&gt;0,isblank(Raw!BM22),isnumber(Raw!CS22),Raw!CS22&gt;0),if(isnumber(Raw!BL22),Raw!CS22/Raw!BL22,Raw!BL22),)</f>
        <v/>
      </c>
      <c r="AE22" s="130" t="str">
        <f>if(AND(isblank(Raw!BK22),Raw!BM22&gt;0,isnumber(Raw!CS22),Raw!CS22&gt;0),if(isnumber(Raw!BL22),Raw!CS22/Raw!BL22,Raw!BL22),)</f>
        <v/>
      </c>
      <c r="AF22" s="130" t="str">
        <f>if(AND(Raw!BK22&gt;0,Raw!BM22&gt;0,isnumber(Raw!CS22),Raw!CS22&gt;0),if(isnumber(Raw!BL22),Raw!CS22/Raw!BL22,Raw!BL22),)</f>
        <v/>
      </c>
      <c r="AG22" s="214" t="str">
        <f>if(AND(isblank(Raw!BK22),Raw!BM22&gt;0,isnumber(Raw!CS22),Raw!CS22&gt;0),Raw!BM22,)</f>
        <v/>
      </c>
      <c r="AH22" s="214" t="str">
        <f t="shared" si="8"/>
        <v/>
      </c>
      <c r="AI22" s="214" t="str">
        <f t="shared" ref="AI22:AK22" si="28">if(AND(AD22&gt;0,isnumber($AB22)),$AB22,)</f>
        <v/>
      </c>
      <c r="AJ22" s="214" t="str">
        <f t="shared" si="28"/>
        <v/>
      </c>
      <c r="AK22" s="214" t="str">
        <f t="shared" si="28"/>
        <v/>
      </c>
      <c r="AL22" s="214" t="str">
        <f>if(AND(Raw!BK22&gt;0,isblank(Raw!BM22),isnumber(Raw!CS22),Raw!CS22&gt;0),Raw!BK22,)</f>
        <v/>
      </c>
      <c r="AM22" s="214" t="str">
        <f>if(AND(Raw!BK22&gt;0,Raw!BM22&gt;0,isnumber(Raw!CS22),Raw!CS22&gt;0),Raw!BM22,)</f>
        <v/>
      </c>
      <c r="AN22" s="214" t="str">
        <f>if(AND(Raw!BK22&gt;0,Raw!BM22&gt;0,isnumber(Raw!CS22),Raw!CS22&gt;0),Raw!BK22,)</f>
        <v/>
      </c>
      <c r="AO22" s="214" t="str">
        <f t="array" ref="AO22">if(Raw!H22="Vinland",max(AO$1:indirect("AO"&amp;(row()-1)))+1,)</f>
        <v/>
      </c>
      <c r="AP22" s="214" t="str">
        <f t="array" ref="AP22">if(Raw!H22="Icelandic",max(AP$1:indirect("AP"&amp;(row()-1)))+1,)</f>
        <v/>
      </c>
      <c r="AQ22" s="214" t="str">
        <f t="array" ref="AQ22">if(Raw!H22="Turf-to-Tools",max(AQ$1:indirect("AQ"&amp;(row()-1)))+1,)</f>
        <v/>
      </c>
      <c r="AR22" s="216">
        <f>IFS(OR(iserror(Raw!BP22),iserror(Raw!BQ22)),"NR",OR(Raw!BP22="?",Raw!BQ22="?"),"?",1,(Raw!BP22+Raw!BQ22)*Raw!BH22/100)</f>
        <v>2.53095</v>
      </c>
      <c r="AS22" s="214"/>
      <c r="AT22" s="214"/>
      <c r="AU22" s="214"/>
      <c r="AV22" s="214"/>
      <c r="AW22" s="214"/>
      <c r="AX22" s="214"/>
      <c r="AY22" s="214"/>
    </row>
    <row r="23">
      <c r="A23" s="126">
        <f>Raw!A23</f>
        <v>22</v>
      </c>
      <c r="B23" s="208">
        <f>if(isnumber(O23),if(isblank(Raw!Z23),O23,concatenate(O23," (E)")),"ERROR")</f>
        <v>415.5</v>
      </c>
      <c r="C23" s="174">
        <f>ifs(Raw!S23="NR","NR",isblank(O23),"ERROR",1,O23*Raw!S23)</f>
        <v>31162.5</v>
      </c>
      <c r="D23" s="209" t="str">
        <f>ifs(AND(isnumber(Raw!X23),isnumber(Raw!Y23)),Raw!X23-Raw!Y23, AND(isnumber(Raw!U23),isnumber(Raw!V23)),Raw!U23-Raw!V23,1,)</f>
        <v/>
      </c>
      <c r="E23" s="209">
        <f>IFS(isnumber(Raw!X23),Raw!X23/2,isnumber(Raw!U23),Raw!U23/2,1,)</f>
        <v>11.5</v>
      </c>
      <c r="F23" s="209">
        <f t="shared" si="2"/>
        <v>415.5</v>
      </c>
      <c r="G23" s="209" t="str">
        <f>if(and(isnumber(Raw!U23),isnumber(Raw!V23)),round(Raw!U23*Raw!V23,1),)</f>
        <v/>
      </c>
      <c r="H23" s="209" t="str">
        <f>if(and(isnumber(Raw!U23),isnumber(Raw!V23)),round(pi()*Raw!U23/2*Raw!V23/2,1),)</f>
        <v/>
      </c>
      <c r="I23" s="210">
        <f t="shared" si="3"/>
        <v>415.5</v>
      </c>
      <c r="J23" s="209">
        <f t="shared" si="4"/>
        <v>458.1</v>
      </c>
      <c r="K23" s="209">
        <f t="shared" si="5"/>
        <v>445.8</v>
      </c>
      <c r="L23" s="209">
        <f t="shared" si="6"/>
        <v>438.2</v>
      </c>
      <c r="M23" s="209">
        <f t="shared" si="7"/>
        <v>433.2</v>
      </c>
      <c r="N23" s="210" t="str">
        <f>if(and(isnumber(Raw!U23),isnumber(Raw!V23),isnumber(Raw!W23)),0.5*Pi()*(Raw!V23/2)^2+(Raw!W23*(Raw!U23-0.5*Raw!V23))+2*((Raw!V23-Raw!W23)/2*(Raw!U23-0.5*Raw!V23)),)</f>
        <v/>
      </c>
      <c r="O23" s="174">
        <f>ifs(Raw!M23="Rectangle",G23,Raw!M23="Cut-teardrop",N23,Raw!M23="Oval",H23,Raw!M23="Flat Circle",I23,Raw!M23="Oval to Circle",F23,Raw!M23="Circle",F23,AND(Raw!M23="Circle to Oval",isnumber(Raw!X23),isblank(Raw!Z23)),F23,Raw!M23="Hexagon",J23,Raw!M23="Septagon",K23,Raw!M23="Octagon",L23,Raw!M23="Nonagon",M23)</f>
        <v>415.5</v>
      </c>
      <c r="Q23" s="211">
        <f>if(AND(isnumber(Raw!BW23),isnumber(Raw!CJ23)),Raw!BW23+Raw!CJ23,Raw!CE23)</f>
        <v>249</v>
      </c>
      <c r="R23" s="126">
        <f>if(isnumber(Raw!CE23),Raw!CE23,)</f>
        <v>125</v>
      </c>
      <c r="S23" s="144">
        <f>if(isblank(Raw!AT23),Raw!AS23,Raw!AT23)</f>
        <v>1060</v>
      </c>
      <c r="T23" s="145"/>
      <c r="U23" s="212">
        <f>ifs(istext(Raw!AT23),Raw!AT23,AND(Raw!AT23&gt;0,isblank(Raw!AS23)),Raw!AT23,1,Raw!AS23)</f>
        <v>1060</v>
      </c>
      <c r="V23" s="144"/>
      <c r="W23" s="130"/>
      <c r="Z23" s="125" t="s">
        <v>123</v>
      </c>
      <c r="AA23" s="213">
        <f>ifs(AND(Raw!BH23=0,Raw!BK23&gt;0),Raw!BK23*Numbers!J$1,OR(iserror(AB23),Raw!BK23="NR"),"?",1,AB23*Raw!BH23+Raw!BK23*Numbers!J$1)</f>
        <v>11.17624706</v>
      </c>
      <c r="AB23" s="130">
        <f>(Raw!AY23*vlookup(Raw!AX23,Ores[],11,FALSE)+if(isblank(Raw!AZ23),0,Raw!BA23*vlookup(Raw!AZ23,Ores[],11,FALSE))+if(isblank(Raw!BB23),0,Raw!BC23*vlookup(Raw!BB23,Ores[],11,FALSE))+if(isblank(Raw!BD23),0,Raw!BE23*vlookup(Raw!BD23,Ores[],11,FALSE))+if(isblank(Raw!BF23),0,Raw!BG23*vlookup(Raw!BF23,Ores[],11,FALSE)))/Raw!BH23</f>
        <v>0.4535109057</v>
      </c>
      <c r="AC23" s="130" t="str">
        <f>if(AND(isblank(Raw!BK23),isblank(Raw!BM23),isnumber(Raw!CS23),Raw!CS23&gt;0),if(isnumber(Raw!BL23),Raw!CS23/Raw!BL23,Raw!BL23),)</f>
        <v/>
      </c>
      <c r="AD23" s="130">
        <f>if(AND(Raw!BK23&gt;0,isblank(Raw!BM23),isnumber(Raw!CS23),Raw!CS23&gt;0),if(isnumber(Raw!BL23),Raw!CS23/Raw!BL23,Raw!BL23),)</f>
        <v>0.3560209424</v>
      </c>
      <c r="AE23" s="130" t="str">
        <f>if(AND(isblank(Raw!BK23),Raw!BM23&gt;0,isnumber(Raw!CS23),Raw!CS23&gt;0),if(isnumber(Raw!BL23),Raw!CS23/Raw!BL23,Raw!BL23),)</f>
        <v/>
      </c>
      <c r="AF23" s="130" t="str">
        <f>if(AND(Raw!BK23&gt;0,Raw!BM23&gt;0,isnumber(Raw!CS23),Raw!CS23&gt;0),if(isnumber(Raw!BL23),Raw!CS23/Raw!BL23,Raw!BL23),)</f>
        <v/>
      </c>
      <c r="AG23" s="214" t="str">
        <f>if(AND(isblank(Raw!BK23),Raw!BM23&gt;0,isnumber(Raw!CS23),Raw!CS23&gt;0),Raw!BM23,)</f>
        <v/>
      </c>
      <c r="AH23" s="214" t="str">
        <f t="shared" si="8"/>
        <v/>
      </c>
      <c r="AI23" s="215">
        <f t="shared" ref="AI23:AK23" si="29">if(AND(AD23&gt;0,isnumber($AB23)),$AB23,)</f>
        <v>0.4535109057</v>
      </c>
      <c r="AJ23" s="214" t="str">
        <f t="shared" si="29"/>
        <v/>
      </c>
      <c r="AK23" s="214" t="str">
        <f t="shared" si="29"/>
        <v/>
      </c>
      <c r="AL23" s="214">
        <f>if(AND(Raw!BK23&gt;0,isblank(Raw!BM23),isnumber(Raw!CS23),Raw!CS23&gt;0),Raw!BK23,)</f>
        <v>10.2</v>
      </c>
      <c r="AM23" s="214" t="str">
        <f>if(AND(Raw!BK23&gt;0,Raw!BM23&gt;0,isnumber(Raw!CS23),Raw!CS23&gt;0),Raw!BM23,)</f>
        <v/>
      </c>
      <c r="AN23" s="214" t="str">
        <f>if(AND(Raw!BK23&gt;0,Raw!BM23&gt;0,isnumber(Raw!CS23),Raw!CS23&gt;0),Raw!BK23,)</f>
        <v/>
      </c>
      <c r="AO23" s="214" t="str">
        <f t="array" ref="AO23">if(Raw!H23="Vinland",max(AO$1:indirect("AO"&amp;(row()-1)))+1,)</f>
        <v/>
      </c>
      <c r="AP23" s="214" t="str">
        <f t="array" ref="AP23">if(Raw!H23="Icelandic",max(AP$1:indirect("AP"&amp;(row()-1)))+1,)</f>
        <v/>
      </c>
      <c r="AQ23" s="214" t="str">
        <f t="array" ref="AQ23">if(Raw!H23="Turf-to-Tools",max(AQ$1:indirect("AQ"&amp;(row()-1)))+1,)</f>
        <v/>
      </c>
      <c r="AR23" s="216">
        <f>IFS(OR(iserror(Raw!BP23),iserror(Raw!BQ23)),"NR",OR(Raw!BP23="?",Raw!BQ23="?"),"?",1,(Raw!BP23+Raw!BQ23)*Raw!BH23/100)</f>
        <v>1.77466</v>
      </c>
      <c r="AS23" s="214"/>
      <c r="AT23" s="214"/>
      <c r="AU23" s="214"/>
      <c r="AV23" s="214"/>
      <c r="AW23" s="214"/>
      <c r="AX23" s="214"/>
      <c r="AY23" s="214"/>
    </row>
    <row r="24">
      <c r="A24" s="126">
        <f>Raw!A24</f>
        <v>23</v>
      </c>
      <c r="B24" s="208">
        <f>if(isnumber(O24),if(isblank(Raw!Z24),O24,concatenate(O24," (E)")),"ERROR")</f>
        <v>541.3</v>
      </c>
      <c r="C24" s="174">
        <f>ifs(Raw!S24="NR","NR",isblank(O24),"ERROR",1,O24*Raw!S24)</f>
        <v>21652</v>
      </c>
      <c r="D24" s="209" t="str">
        <f>ifs(AND(isnumber(Raw!X24),isnumber(Raw!Y24)),Raw!X24-Raw!Y24, AND(isnumber(Raw!U24),isnumber(Raw!V24)),Raw!U24-Raw!V24,1,)</f>
        <v/>
      </c>
      <c r="E24" s="209">
        <f>IFS(isnumber(Raw!X24),Raw!X24/2,isnumber(Raw!U24),Raw!U24/2,1,)</f>
        <v>12.5</v>
      </c>
      <c r="F24" s="209">
        <f t="shared" si="2"/>
        <v>490.9</v>
      </c>
      <c r="G24" s="209" t="str">
        <f>if(and(isnumber(Raw!U24),isnumber(Raw!V24)),round(Raw!U24*Raw!V24,1),)</f>
        <v/>
      </c>
      <c r="H24" s="209" t="str">
        <f>if(and(isnumber(Raw!U24),isnumber(Raw!V24)),round(pi()*Raw!U24/2*Raw!V24/2,1),)</f>
        <v/>
      </c>
      <c r="I24" s="210">
        <f t="shared" si="3"/>
        <v>490.9</v>
      </c>
      <c r="J24" s="209">
        <f t="shared" si="4"/>
        <v>541.3</v>
      </c>
      <c r="K24" s="209">
        <f t="shared" si="5"/>
        <v>526.7</v>
      </c>
      <c r="L24" s="209">
        <f t="shared" si="6"/>
        <v>517.8</v>
      </c>
      <c r="M24" s="209">
        <f t="shared" si="7"/>
        <v>511.8</v>
      </c>
      <c r="N24" s="210" t="str">
        <f>if(and(isnumber(Raw!U24),isnumber(Raw!V24),isnumber(Raw!W24)),0.5*Pi()*(Raw!V24/2)^2+(Raw!W24*(Raw!U24-0.5*Raw!V24))+2*((Raw!V24-Raw!W24)/2*(Raw!U24-0.5*Raw!V24)),)</f>
        <v/>
      </c>
      <c r="O24" s="174">
        <f>ifs(Raw!M24="Rectangle",G24,Raw!M24="Cut-teardrop",N24,Raw!M24="Oval",H24,Raw!M24="Flat Circle",I24,Raw!M24="Oval to Circle",F24,Raw!M24="Circle",F24,AND(Raw!M24="Circle to Oval",isnumber(Raw!X24),isblank(Raw!Z24)),F24,Raw!M24="Hexagon",J24,Raw!M24="Septagon",K24,Raw!M24="Octagon",L24,Raw!M24="Nonagon",M24)</f>
        <v>541.3</v>
      </c>
      <c r="Q24" s="211">
        <f>if(AND(isnumber(Raw!BW24),isnumber(Raw!CJ24)),Raw!BW24+Raw!CJ24,Raw!CE24)</f>
        <v>186</v>
      </c>
      <c r="R24" s="126">
        <f>if(isnumber(Raw!CE24),Raw!CE24,)</f>
        <v>186</v>
      </c>
      <c r="S24" s="144">
        <f>if(isblank(Raw!AT24),Raw!AS24,Raw!AT24)</f>
        <v>800</v>
      </c>
      <c r="T24" s="145"/>
      <c r="U24" s="212">
        <f>ifs(istext(Raw!AT24),Raw!AT24,AND(Raw!AT24&gt;0,isblank(Raw!AS24)),Raw!AT24,1,Raw!AS24)</f>
        <v>800</v>
      </c>
      <c r="V24" s="144"/>
      <c r="W24" s="130"/>
      <c r="Z24" s="125" t="s">
        <v>123</v>
      </c>
      <c r="AA24" s="213">
        <f>ifs(AND(Raw!BH24=0,Raw!BK24&gt;0),Raw!BK24*Numbers!J$1,OR(iserror(AB24),Raw!BK24="NR"),"?",1,AB24*Raw!BH24+Raw!BK24*Numbers!J$1)</f>
        <v>15.31343501</v>
      </c>
      <c r="AB24" s="130">
        <f>(Raw!AY24*vlookup(Raw!AX24,Ores[],11,FALSE)+if(isblank(Raw!AZ24),0,Raw!BA24*vlookup(Raw!AZ24,Ores[],11,FALSE))+if(isblank(Raw!BB24),0,Raw!BC24*vlookup(Raw!BB24,Ores[],11,FALSE))+if(isblank(Raw!BD24),0,Raw!BE24*vlookup(Raw!BD24,Ores[],11,FALSE))+if(isblank(Raw!BF24),0,Raw!BG24*vlookup(Raw!BF24,Ores[],11,FALSE)))/Raw!BH24</f>
        <v>0.6867011216</v>
      </c>
      <c r="AC24" s="130">
        <f>if(AND(isblank(Raw!BK24),isblank(Raw!BM24),isnumber(Raw!CS24),Raw!CS24&gt;0),if(isnumber(Raw!BL24),Raw!CS24/Raw!BL24,Raw!BL24),)</f>
        <v>0.5695067265</v>
      </c>
      <c r="AD24" s="130" t="str">
        <f>if(AND(Raw!BK24&gt;0,isblank(Raw!BM24),isnumber(Raw!CS24),Raw!CS24&gt;0),if(isnumber(Raw!BL24),Raw!CS24/Raw!BL24,Raw!BL24),)</f>
        <v/>
      </c>
      <c r="AE24" s="130" t="str">
        <f>if(AND(isblank(Raw!BK24),Raw!BM24&gt;0,isnumber(Raw!CS24),Raw!CS24&gt;0),if(isnumber(Raw!BL24),Raw!CS24/Raw!BL24,Raw!BL24),)</f>
        <v/>
      </c>
      <c r="AF24" s="130" t="str">
        <f>if(AND(Raw!BK24&gt;0,Raw!BM24&gt;0,isnumber(Raw!CS24),Raw!CS24&gt;0),if(isnumber(Raw!BL24),Raw!CS24/Raw!BL24,Raw!BL24),)</f>
        <v/>
      </c>
      <c r="AG24" s="214" t="str">
        <f>if(AND(isblank(Raw!BK24),Raw!BM24&gt;0,isnumber(Raw!CS24),Raw!CS24&gt;0),Raw!BM24,)</f>
        <v/>
      </c>
      <c r="AH24" s="215">
        <f t="shared" si="8"/>
        <v>0.6867011216</v>
      </c>
      <c r="AI24" s="214" t="str">
        <f t="shared" ref="AI24:AK24" si="30">if(AND(AD24&gt;0,isnumber($AB24)),$AB24,)</f>
        <v/>
      </c>
      <c r="AJ24" s="214" t="str">
        <f t="shared" si="30"/>
        <v/>
      </c>
      <c r="AK24" s="214" t="str">
        <f t="shared" si="30"/>
        <v/>
      </c>
      <c r="AL24" s="214" t="str">
        <f>if(AND(Raw!BK24&gt;0,isblank(Raw!BM24),isnumber(Raw!CS24),Raw!CS24&gt;0),Raw!BK24,)</f>
        <v/>
      </c>
      <c r="AM24" s="214" t="str">
        <f>if(AND(Raw!BK24&gt;0,Raw!BM24&gt;0,isnumber(Raw!CS24),Raw!CS24&gt;0),Raw!BM24,)</f>
        <v/>
      </c>
      <c r="AN24" s="214" t="str">
        <f>if(AND(Raw!BK24&gt;0,Raw!BM24&gt;0,isnumber(Raw!CS24),Raw!CS24&gt;0),Raw!BK24,)</f>
        <v/>
      </c>
      <c r="AO24" s="214" t="str">
        <f t="array" ref="AO24">if(Raw!H24="Vinland",max(AO$1:indirect("AO"&amp;(row()-1)))+1,)</f>
        <v/>
      </c>
      <c r="AP24" s="214" t="str">
        <f t="array" ref="AP24">if(Raw!H24="Icelandic",max(AP$1:indirect("AP"&amp;(row()-1)))+1,)</f>
        <v/>
      </c>
      <c r="AQ24" s="214" t="str">
        <f t="array" ref="AQ24">if(Raw!H24="Turf-to-Tools",max(AQ$1:indirect("AQ"&amp;(row()-1)))+1,)</f>
        <v/>
      </c>
      <c r="AR24" s="216">
        <f>IFS(OR(iserror(Raw!BP24),iserror(Raw!BQ24)),"NR",OR(Raw!BP24="?",Raw!BQ24="?"),"?",1,(Raw!BP24+Raw!BQ24)*Raw!BH24/100)</f>
        <v>0.07582</v>
      </c>
      <c r="AS24" s="214"/>
      <c r="AT24" s="214"/>
      <c r="AU24" s="214"/>
      <c r="AV24" s="214"/>
      <c r="AW24" s="214"/>
      <c r="AX24" s="214"/>
      <c r="AY24" s="214"/>
    </row>
    <row r="25">
      <c r="A25" s="126" t="str">
        <f>Raw!A25</f>
        <v>24 / D11</v>
      </c>
      <c r="B25" s="208">
        <f>if(isnumber(O25),if(isblank(Raw!Z25),O25,concatenate(O25," (E)")),"ERROR")</f>
        <v>415.5</v>
      </c>
      <c r="C25" s="174">
        <f>ifs(Raw!S25="NR","NR",isblank(O25),"ERROR",1,O25*Raw!S25)</f>
        <v>31162.5</v>
      </c>
      <c r="D25" s="209" t="str">
        <f>ifs(AND(isnumber(Raw!X25),isnumber(Raw!Y25)),Raw!X25-Raw!Y25, AND(isnumber(Raw!U25),isnumber(Raw!V25)),Raw!U25-Raw!V25,1,)</f>
        <v/>
      </c>
      <c r="E25" s="209">
        <f>IFS(isnumber(Raw!X25),Raw!X25/2,isnumber(Raw!U25),Raw!U25/2,1,)</f>
        <v>11.5</v>
      </c>
      <c r="F25" s="209">
        <f t="shared" si="2"/>
        <v>415.5</v>
      </c>
      <c r="G25" s="209" t="str">
        <f>if(and(isnumber(Raw!U25),isnumber(Raw!V25)),round(Raw!U25*Raw!V25,1),)</f>
        <v/>
      </c>
      <c r="H25" s="209" t="str">
        <f>if(and(isnumber(Raw!U25),isnumber(Raw!V25)),round(pi()*Raw!U25/2*Raw!V25/2,1),)</f>
        <v/>
      </c>
      <c r="I25" s="210">
        <f t="shared" si="3"/>
        <v>415.5</v>
      </c>
      <c r="J25" s="209">
        <f t="shared" si="4"/>
        <v>458.1</v>
      </c>
      <c r="K25" s="209">
        <f t="shared" si="5"/>
        <v>445.8</v>
      </c>
      <c r="L25" s="209">
        <f t="shared" si="6"/>
        <v>438.2</v>
      </c>
      <c r="M25" s="209">
        <f t="shared" si="7"/>
        <v>433.2</v>
      </c>
      <c r="N25" s="210" t="str">
        <f>if(and(isnumber(Raw!U25),isnumber(Raw!V25),isnumber(Raw!W25)),0.5*Pi()*(Raw!V25/2)^2+(Raw!W25*(Raw!U25-0.5*Raw!V25))+2*((Raw!V25-Raw!W25)/2*(Raw!U25-0.5*Raw!V25)),)</f>
        <v/>
      </c>
      <c r="O25" s="174">
        <f>ifs(Raw!M25="Rectangle",G25,Raw!M25="Cut-teardrop",N25,Raw!M25="Oval",H25,Raw!M25="Flat Circle",I25,Raw!M25="Oval to Circle",F25,Raw!M25="Circle",F25,AND(Raw!M25="Circle to Oval",isnumber(Raw!X25),isblank(Raw!Z25)),F25,Raw!M25="Hexagon",J25,Raw!M25="Septagon",K25,Raw!M25="Octagon",L25,Raw!M25="Nonagon",M25)</f>
        <v>415.5</v>
      </c>
      <c r="Q25" s="211">
        <f>if(AND(isnumber(Raw!BW25),isnumber(Raw!CJ25)),Raw!BW25+Raw!CJ25,Raw!CE25)</f>
        <v>346</v>
      </c>
      <c r="R25" s="126">
        <f>if(isnumber(Raw!CE25),Raw!CE25,)</f>
        <v>229</v>
      </c>
      <c r="S25" s="144">
        <f>if(isblank(Raw!AT25),Raw!AS25,Raw!AT25)</f>
        <v>900</v>
      </c>
      <c r="T25" s="145"/>
      <c r="U25" s="212">
        <f>ifs(istext(Raw!AT25),Raw!AT25,AND(Raw!AT25&gt;0,isblank(Raw!AS25)),Raw!AT25,1,Raw!AS25)</f>
        <v>900</v>
      </c>
      <c r="V25" s="144"/>
      <c r="W25" s="130"/>
      <c r="Y25" s="125" t="s">
        <v>123</v>
      </c>
      <c r="Z25" s="125" t="s">
        <v>123</v>
      </c>
      <c r="AA25" s="213">
        <f>ifs(AND(Raw!BH25=0,Raw!BK25&gt;0),Raw!BK25*Numbers!J$1,OR(iserror(AB25),Raw!BK25="NR"),"?",1,AB25*Raw!BH25+Raw!BK25*Numbers!J$1)</f>
        <v>9.070218114</v>
      </c>
      <c r="AB25" s="130">
        <f>(Raw!AY25*vlookup(Raw!AX25,Ores[],11,FALSE)+if(isblank(Raw!AZ25),0,Raw!BA25*vlookup(Raw!AZ25,Ores[],11,FALSE))+if(isblank(Raw!BB25),0,Raw!BC25*vlookup(Raw!BB25,Ores[],11,FALSE))+if(isblank(Raw!BD25),0,Raw!BE25*vlookup(Raw!BD25,Ores[],11,FALSE))+if(isblank(Raw!BF25),0,Raw!BG25*vlookup(Raw!BF25,Ores[],11,FALSE)))/Raw!BH25</f>
        <v>0.4535109057</v>
      </c>
      <c r="AC25" s="130">
        <f>if(AND(isblank(Raw!BK25),isblank(Raw!BM25),isnumber(Raw!CS25),Raw!CS25&gt;0),if(isnumber(Raw!BL25),Raw!CS25/Raw!BL25,Raw!BL25),)</f>
        <v>0.045</v>
      </c>
      <c r="AD25" s="130" t="str">
        <f>if(AND(Raw!BK25&gt;0,isblank(Raw!BM25),isnumber(Raw!CS25),Raw!CS25&gt;0),if(isnumber(Raw!BL25),Raw!CS25/Raw!BL25,Raw!BL25),)</f>
        <v/>
      </c>
      <c r="AE25" s="130" t="str">
        <f>if(AND(isblank(Raw!BK25),Raw!BM25&gt;0,isnumber(Raw!CS25),Raw!CS25&gt;0),if(isnumber(Raw!BL25),Raw!CS25/Raw!BL25,Raw!BL25),)</f>
        <v/>
      </c>
      <c r="AF25" s="130" t="str">
        <f>if(AND(Raw!BK25&gt;0,Raw!BM25&gt;0,isnumber(Raw!CS25),Raw!CS25&gt;0),if(isnumber(Raw!BL25),Raw!CS25/Raw!BL25,Raw!BL25),)</f>
        <v/>
      </c>
      <c r="AG25" s="214" t="str">
        <f>if(AND(isblank(Raw!BK25),Raw!BM25&gt;0,isnumber(Raw!CS25),Raw!CS25&gt;0),Raw!BM25,)</f>
        <v/>
      </c>
      <c r="AH25" s="215">
        <f t="shared" si="8"/>
        <v>0.4535109057</v>
      </c>
      <c r="AI25" s="214" t="str">
        <f t="shared" ref="AI25:AK25" si="31">if(AND(AD25&gt;0,isnumber($AB25)),$AB25,)</f>
        <v/>
      </c>
      <c r="AJ25" s="214" t="str">
        <f t="shared" si="31"/>
        <v/>
      </c>
      <c r="AK25" s="214" t="str">
        <f t="shared" si="31"/>
        <v/>
      </c>
      <c r="AL25" s="214" t="str">
        <f>if(AND(Raw!BK25&gt;0,isblank(Raw!BM25),isnumber(Raw!CS25),Raw!CS25&gt;0),Raw!BK25,)</f>
        <v/>
      </c>
      <c r="AM25" s="214" t="str">
        <f>if(AND(Raw!BK25&gt;0,Raw!BM25&gt;0,isnumber(Raw!CS25),Raw!CS25&gt;0),Raw!BM25,)</f>
        <v/>
      </c>
      <c r="AN25" s="214" t="str">
        <f>if(AND(Raw!BK25&gt;0,Raw!BM25&gt;0,isnumber(Raw!CS25),Raw!CS25&gt;0),Raw!BK25,)</f>
        <v/>
      </c>
      <c r="AO25" s="214" t="str">
        <f t="array" ref="AO25">if(Raw!H25="Vinland",max(AO$1:indirect("AO"&amp;(row()-1)))+1,)</f>
        <v/>
      </c>
      <c r="AP25" s="214" t="str">
        <f t="array" ref="AP25">if(Raw!H25="Icelandic",max(AP$1:indirect("AP"&amp;(row()-1)))+1,)</f>
        <v/>
      </c>
      <c r="AQ25" s="214" t="str">
        <f t="array" ref="AQ25">if(Raw!H25="Turf-to-Tools",max(AQ$1:indirect("AQ"&amp;(row()-1)))+1,)</f>
        <v/>
      </c>
      <c r="AR25" s="216">
        <f>IFS(OR(iserror(Raw!BP25),iserror(Raw!BQ25)),"NR",OR(Raw!BP25="?",Raw!BQ25="?"),"?",1,(Raw!BP25+Raw!BQ25)*Raw!BH25/100)</f>
        <v>3.988</v>
      </c>
      <c r="AS25" s="214"/>
      <c r="AT25" s="214"/>
      <c r="AU25" s="214"/>
      <c r="AV25" s="214"/>
      <c r="AW25" s="214"/>
      <c r="AX25" s="214"/>
      <c r="AY25" s="214"/>
    </row>
    <row r="26">
      <c r="A26" s="126" t="str">
        <f>Raw!A26</f>
        <v>25 / D12</v>
      </c>
      <c r="B26" s="208">
        <f>if(isnumber(O26),if(isblank(Raw!Z26),O26,concatenate(O26," (E)")),"ERROR")</f>
        <v>415.5</v>
      </c>
      <c r="C26" s="174">
        <f>ifs(Raw!S26="NR","NR",isblank(O26),"ERROR",1,O26*Raw!S26)</f>
        <v>31162.5</v>
      </c>
      <c r="D26" s="209" t="str">
        <f>ifs(AND(isnumber(Raw!X26),isnumber(Raw!Y26)),Raw!X26-Raw!Y26, AND(isnumber(Raw!U26),isnumber(Raw!V26)),Raw!U26-Raw!V26,1,)</f>
        <v/>
      </c>
      <c r="E26" s="209">
        <f>IFS(isnumber(Raw!X26),Raw!X26/2,isnumber(Raw!U26),Raw!U26/2,1,)</f>
        <v>11.5</v>
      </c>
      <c r="F26" s="209">
        <f t="shared" si="2"/>
        <v>415.5</v>
      </c>
      <c r="G26" s="209" t="str">
        <f>if(and(isnumber(Raw!U26),isnumber(Raw!V26)),round(Raw!U26*Raw!V26,1),)</f>
        <v/>
      </c>
      <c r="H26" s="209" t="str">
        <f>if(and(isnumber(Raw!U26),isnumber(Raw!V26)),round(pi()*Raw!U26/2*Raw!V26/2,1),)</f>
        <v/>
      </c>
      <c r="I26" s="210">
        <f t="shared" si="3"/>
        <v>415.5</v>
      </c>
      <c r="J26" s="209">
        <f t="shared" si="4"/>
        <v>458.1</v>
      </c>
      <c r="K26" s="209">
        <f t="shared" si="5"/>
        <v>445.8</v>
      </c>
      <c r="L26" s="209">
        <f t="shared" si="6"/>
        <v>438.2</v>
      </c>
      <c r="M26" s="209">
        <f t="shared" si="7"/>
        <v>433.2</v>
      </c>
      <c r="N26" s="210" t="str">
        <f>if(and(isnumber(Raw!U26),isnumber(Raw!V26),isnumber(Raw!W26)),0.5*Pi()*(Raw!V26/2)^2+(Raw!W26*(Raw!U26-0.5*Raw!V26))+2*((Raw!V26-Raw!W26)/2*(Raw!U26-0.5*Raw!V26)),)</f>
        <v/>
      </c>
      <c r="O26" s="174">
        <f>ifs(Raw!M26="Rectangle",G26,Raw!M26="Cut-teardrop",N26,Raw!M26="Oval",H26,Raw!M26="Flat Circle",I26,Raw!M26="Oval to Circle",F26,Raw!M26="Circle",F26,AND(Raw!M26="Circle to Oval",isnumber(Raw!X26),isblank(Raw!Z26)),F26,Raw!M26="Hexagon",J26,Raw!M26="Septagon",K26,Raw!M26="Octagon",L26,Raw!M26="Nonagon",M26)</f>
        <v>415.5</v>
      </c>
      <c r="Q26" s="211">
        <f>if(AND(isnumber(Raw!BW26),isnumber(Raw!CJ26)),Raw!BW26+Raw!CJ26,Raw!CE26)</f>
        <v>141</v>
      </c>
      <c r="R26" s="126">
        <f>if(isnumber(Raw!CE26),Raw!CE26,)</f>
        <v>141</v>
      </c>
      <c r="S26" s="144">
        <f>if(isblank(Raw!AT26),Raw!AS26,Raw!AT26)</f>
        <v>900</v>
      </c>
      <c r="T26" s="145"/>
      <c r="U26" s="212">
        <f>ifs(istext(Raw!AT26),Raw!AT26,AND(Raw!AT26&gt;0,isblank(Raw!AS26)),Raw!AT26,1,Raw!AS26)</f>
        <v>900</v>
      </c>
      <c r="V26" s="144"/>
      <c r="W26" s="130"/>
      <c r="Y26" s="125" t="s">
        <v>123</v>
      </c>
      <c r="Z26" s="125" t="s">
        <v>123</v>
      </c>
      <c r="AA26" s="213" t="str">
        <f>ifs(AND(Raw!BH26=0,Raw!BK26&gt;0),Raw!BK26*Numbers!J$1,OR(iserror(AB26),Raw!BK26="NR"),"?",1,AB26*Raw!BH26+Raw!BK26*Numbers!J$1)</f>
        <v>?</v>
      </c>
      <c r="AB26" s="130">
        <f>(Raw!AY26*vlookup(Raw!AX26,Ores[],11,FALSE)+if(isblank(Raw!AZ26),0,Raw!BA26*vlookup(Raw!AZ26,Ores[],11,FALSE))+if(isblank(Raw!BB26),0,Raw!BC26*vlookup(Raw!BB26,Ores[],11,FALSE))+if(isblank(Raw!BD26),0,Raw!BE26*vlookup(Raw!BD26,Ores[],11,FALSE))+if(isblank(Raw!BF26),0,Raw!BG26*vlookup(Raw!BF26,Ores[],11,FALSE)))/Raw!BH26</f>
        <v>0.569618168</v>
      </c>
      <c r="AC26" s="130" t="str">
        <f>if(AND(isblank(Raw!BK26),isblank(Raw!BM26),isnumber(Raw!CS26),Raw!CS26&gt;0),if(isnumber(Raw!BL26),Raw!CS26/Raw!BL26,Raw!BL26),)</f>
        <v/>
      </c>
      <c r="AD26" s="130" t="str">
        <f>if(AND(Raw!BK26&gt;0,isblank(Raw!BM26),isnumber(Raw!CS26),Raw!CS26&gt;0),if(isnumber(Raw!BL26),Raw!CS26/Raw!BL26,Raw!BL26),)</f>
        <v>NR</v>
      </c>
      <c r="AE26" s="130" t="str">
        <f>if(AND(isblank(Raw!BK26),Raw!BM26&gt;0,isnumber(Raw!CS26),Raw!CS26&gt;0),if(isnumber(Raw!BL26),Raw!CS26/Raw!BL26,Raw!BL26),)</f>
        <v/>
      </c>
      <c r="AF26" s="130" t="str">
        <f>if(AND(Raw!BK26&gt;0,Raw!BM26&gt;0,isnumber(Raw!CS26),Raw!CS26&gt;0),if(isnumber(Raw!BL26),Raw!CS26/Raw!BL26,Raw!BL26),)</f>
        <v/>
      </c>
      <c r="AG26" s="214" t="str">
        <f>if(AND(isblank(Raw!BK26),Raw!BM26&gt;0,isnumber(Raw!CS26),Raw!CS26&gt;0),Raw!BM26,)</f>
        <v/>
      </c>
      <c r="AH26" s="214" t="str">
        <f t="shared" si="8"/>
        <v/>
      </c>
      <c r="AI26" s="215">
        <f t="shared" ref="AI26:AK26" si="32">if(AND(AD26&gt;0,isnumber($AB26)),$AB26,)</f>
        <v>0.569618168</v>
      </c>
      <c r="AJ26" s="214" t="str">
        <f t="shared" si="32"/>
        <v/>
      </c>
      <c r="AK26" s="214" t="str">
        <f t="shared" si="32"/>
        <v/>
      </c>
      <c r="AL26" s="214" t="str">
        <f>if(AND(Raw!BK26&gt;0,isblank(Raw!BM26),isnumber(Raw!CS26),Raw!CS26&gt;0),Raw!BK26,)</f>
        <v>NR</v>
      </c>
      <c r="AM26" s="214" t="str">
        <f>if(AND(Raw!BK26&gt;0,Raw!BM26&gt;0,isnumber(Raw!CS26),Raw!CS26&gt;0),Raw!BM26,)</f>
        <v/>
      </c>
      <c r="AN26" s="214" t="str">
        <f>if(AND(Raw!BK26&gt;0,Raw!BM26&gt;0,isnumber(Raw!CS26),Raw!CS26&gt;0),Raw!BK26,)</f>
        <v/>
      </c>
      <c r="AO26" s="214" t="str">
        <f t="array" ref="AO26">if(Raw!H26="Vinland",max(AO$1:indirect("AO"&amp;(row()-1)))+1,)</f>
        <v/>
      </c>
      <c r="AP26" s="214" t="str">
        <f t="array" ref="AP26">if(Raw!H26="Icelandic",max(AP$1:indirect("AP"&amp;(row()-1)))+1,)</f>
        <v/>
      </c>
      <c r="AQ26" s="214" t="str">
        <f t="array" ref="AQ26">if(Raw!H26="Turf-to-Tools",max(AQ$1:indirect("AQ"&amp;(row()-1)))+1,)</f>
        <v/>
      </c>
      <c r="AR26" s="216">
        <f>IFS(OR(iserror(Raw!BP26),iserror(Raw!BQ26)),"NR",OR(Raw!BP26="?",Raw!BQ26="?"),"?",1,(Raw!BP26+Raw!BQ26)*Raw!BH26/100)</f>
        <v>2.43326</v>
      </c>
      <c r="AS26" s="214"/>
      <c r="AT26" s="214"/>
      <c r="AU26" s="214"/>
      <c r="AV26" s="214"/>
      <c r="AW26" s="214"/>
      <c r="AX26" s="214"/>
      <c r="AY26" s="214"/>
    </row>
    <row r="27">
      <c r="A27" s="126">
        <f>Raw!A27</f>
        <v>26</v>
      </c>
      <c r="B27" s="208">
        <f>if(isnumber(O27),if(isblank(Raw!Z27),O27,concatenate(O27," (E)")),"ERROR")</f>
        <v>519.7069702</v>
      </c>
      <c r="C27" s="174">
        <f>ifs(Raw!S27="NR","NR",isblank(O27),"ERROR",1,O27*Raw!S27)</f>
        <v>27804.32291</v>
      </c>
      <c r="D27" s="209">
        <f>ifs(AND(isnumber(Raw!X27),isnumber(Raw!Y27)),Raw!X27-Raw!Y27, AND(isnumber(Raw!U27),isnumber(Raw!V27)),Raw!U27-Raw!V27,1,)</f>
        <v>4</v>
      </c>
      <c r="E27" s="209">
        <f>IFS(isnumber(Raw!X27),Raw!X27/2,isnumber(Raw!U27),Raw!U27/2,1,)</f>
        <v>13.5</v>
      </c>
      <c r="F27" s="209">
        <f t="shared" si="2"/>
        <v>572.6</v>
      </c>
      <c r="G27" s="209">
        <f>if(and(isnumber(Raw!U27),isnumber(Raw!V27)),round(Raw!U27*Raw!V27,1),)</f>
        <v>621</v>
      </c>
      <c r="H27" s="209">
        <f>if(and(isnumber(Raw!U27),isnumber(Raw!V27)),round(pi()*Raw!U27/2*Raw!V27/2,1),)</f>
        <v>487.7</v>
      </c>
      <c r="I27" s="210">
        <f t="shared" si="3"/>
        <v>519.7069702</v>
      </c>
      <c r="J27" s="209">
        <f t="shared" si="4"/>
        <v>631.3</v>
      </c>
      <c r="K27" s="209">
        <f t="shared" si="5"/>
        <v>614.4</v>
      </c>
      <c r="L27" s="209">
        <f t="shared" si="6"/>
        <v>603.9</v>
      </c>
      <c r="M27" s="209">
        <f t="shared" si="7"/>
        <v>597</v>
      </c>
      <c r="N27" s="210" t="str">
        <f>if(and(isnumber(Raw!U27),isnumber(Raw!V27),isnumber(Raw!W27)),0.5*Pi()*(Raw!V27/2)^2+(Raw!W27*(Raw!U27-0.5*Raw!V27))+2*((Raw!V27-Raw!W27)/2*(Raw!U27-0.5*Raw!V27)),)</f>
        <v/>
      </c>
      <c r="O27" s="174">
        <f>ifs(Raw!M27="Rectangle",G27,Raw!M27="Cut-teardrop",N27,Raw!M27="Oval",H27,Raw!M27="Flat Circle",I27,Raw!M27="Oval to Circle",F27,Raw!M27="Circle",F27,AND(Raw!M27="Circle to Oval",isnumber(Raw!X27),isblank(Raw!Z27)),F27,Raw!M27="Hexagon",J27,Raw!M27="Septagon",K27,Raw!M27="Octagon",L27,Raw!M27="Nonagon",M27)</f>
        <v>519.7069702</v>
      </c>
      <c r="Q27" s="211">
        <f>if(AND(isnumber(Raw!BW27),isnumber(Raw!CJ27)),Raw!BW27+Raw!CJ27,Raw!CE27)</f>
        <v>372</v>
      </c>
      <c r="R27" s="126">
        <f>if(isnumber(Raw!CE27),Raw!CE27,)</f>
        <v>113</v>
      </c>
      <c r="S27" s="144">
        <f>if(isblank(Raw!AT27),Raw!AS27,Raw!AT27)</f>
        <v>800</v>
      </c>
      <c r="T27" s="145"/>
      <c r="U27" s="212">
        <f>ifs(istext(Raw!AT27),Raw!AT27,AND(Raw!AT27&gt;0,isblank(Raw!AS27)),Raw!AT27,1,Raw!AS27)</f>
        <v>800</v>
      </c>
      <c r="V27" s="144"/>
      <c r="W27" s="130"/>
      <c r="Y27" s="125" t="s">
        <v>123</v>
      </c>
      <c r="Z27" s="125" t="s">
        <v>123</v>
      </c>
      <c r="AA27" s="213">
        <f>ifs(AND(Raw!BH27=0,Raw!BK27&gt;0),Raw!BK27*Numbers!J$1,OR(iserror(AB27),Raw!BK27="NR"),"?",1,AB27*Raw!BH27+Raw!BK27*Numbers!J$1)</f>
        <v>8.446423795</v>
      </c>
      <c r="AB27" s="130">
        <f>(Raw!AY27*vlookup(Raw!AX27,Ores[],11,FALSE)+if(isblank(Raw!AZ27),0,Raw!BA27*vlookup(Raw!AZ27,Ores[],11,FALSE))+if(isblank(Raw!BB27),0,Raw!BC27*vlookup(Raw!BB27,Ores[],11,FALSE))+if(isblank(Raw!BD27),0,Raw!BE27*vlookup(Raw!BD27,Ores[],11,FALSE))+if(isblank(Raw!BF27),0,Raw!BG27*vlookup(Raw!BF27,Ores[],11,FALSE)))/Raw!BH27</f>
        <v>0.6867011216</v>
      </c>
      <c r="AC27" s="130">
        <f>if(AND(isblank(Raw!BK27),isblank(Raw!BM27),isnumber(Raw!CS27),Raw!CS27&gt;0),if(isnumber(Raw!BL27),Raw!CS27/Raw!BL27,Raw!BL27),)</f>
        <v>0.487804878</v>
      </c>
      <c r="AD27" s="130" t="str">
        <f>if(AND(Raw!BK27&gt;0,isblank(Raw!BM27),isnumber(Raw!CS27),Raw!CS27&gt;0),if(isnumber(Raw!BL27),Raw!CS27/Raw!BL27,Raw!BL27),)</f>
        <v/>
      </c>
      <c r="AE27" s="130" t="str">
        <f>if(AND(isblank(Raw!BK27),Raw!BM27&gt;0,isnumber(Raw!CS27),Raw!CS27&gt;0),if(isnumber(Raw!BL27),Raw!CS27/Raw!BL27,Raw!BL27),)</f>
        <v/>
      </c>
      <c r="AF27" s="130" t="str">
        <f>if(AND(Raw!BK27&gt;0,Raw!BM27&gt;0,isnumber(Raw!CS27),Raw!CS27&gt;0),if(isnumber(Raw!BL27),Raw!CS27/Raw!BL27,Raw!BL27),)</f>
        <v/>
      </c>
      <c r="AG27" s="214" t="str">
        <f>if(AND(isblank(Raw!BK27),Raw!BM27&gt;0,isnumber(Raw!CS27),Raw!CS27&gt;0),Raw!BM27,)</f>
        <v/>
      </c>
      <c r="AH27" s="215">
        <f t="shared" si="8"/>
        <v>0.6867011216</v>
      </c>
      <c r="AI27" s="214" t="str">
        <f t="shared" ref="AI27:AK27" si="33">if(AND(AD27&gt;0,isnumber($AB27)),$AB27,)</f>
        <v/>
      </c>
      <c r="AJ27" s="214" t="str">
        <f t="shared" si="33"/>
        <v/>
      </c>
      <c r="AK27" s="214" t="str">
        <f t="shared" si="33"/>
        <v/>
      </c>
      <c r="AL27" s="214" t="str">
        <f>if(AND(Raw!BK27&gt;0,isblank(Raw!BM27),isnumber(Raw!CS27),Raw!CS27&gt;0),Raw!BK27,)</f>
        <v/>
      </c>
      <c r="AM27" s="214" t="str">
        <f>if(AND(Raw!BK27&gt;0,Raw!BM27&gt;0,isnumber(Raw!CS27),Raw!CS27&gt;0),Raw!BM27,)</f>
        <v/>
      </c>
      <c r="AN27" s="214" t="str">
        <f>if(AND(Raw!BK27&gt;0,Raw!BM27&gt;0,isnumber(Raw!CS27),Raw!CS27&gt;0),Raw!BK27,)</f>
        <v/>
      </c>
      <c r="AO27" s="214" t="str">
        <f t="array" ref="AO27">if(Raw!H27="Vinland",max(AO$1:indirect("AO"&amp;(row()-1)))+1,)</f>
        <v/>
      </c>
      <c r="AP27" s="214">
        <f t="array" ref="AP27">if(Raw!H27="Icelandic",max(AP$1:indirect("AP"&amp;(row()-1)))+1,)</f>
        <v>1</v>
      </c>
      <c r="AQ27" s="214" t="str">
        <f t="array" ref="AQ27">if(Raw!H27="Turf-to-Tools",max(AQ$1:indirect("AQ"&amp;(row()-1)))+1,)</f>
        <v/>
      </c>
      <c r="AR27" s="216">
        <f>IFS(OR(iserror(Raw!BP27),iserror(Raw!BQ27)),"NR",OR(Raw!BP27="?",Raw!BQ27="?"),"?",1,(Raw!BP27+Raw!BQ27)*Raw!BH27/100)</f>
        <v>0.04182</v>
      </c>
      <c r="AS27" s="214"/>
      <c r="AT27" s="214"/>
      <c r="AU27" s="214"/>
      <c r="AV27" s="214"/>
      <c r="AW27" s="214"/>
      <c r="AX27" s="214"/>
      <c r="AY27" s="214"/>
    </row>
    <row r="28">
      <c r="A28" s="126" t="str">
        <f>Raw!A28</f>
        <v>27 / D13</v>
      </c>
      <c r="B28" s="208">
        <f>if(isnumber(O28),if(isblank(Raw!Z28),O28,concatenate(O28," (E)")),"ERROR")</f>
        <v>875</v>
      </c>
      <c r="C28" s="174">
        <f>ifs(Raw!S28="NR","NR",isblank(O28),"ERROR",1,O28*Raw!S28)</f>
        <v>39375</v>
      </c>
      <c r="D28" s="209">
        <f>ifs(AND(isnumber(Raw!X28),isnumber(Raw!Y28)),Raw!X28-Raw!Y28, AND(isnumber(Raw!U28),isnumber(Raw!V28)),Raw!U28-Raw!V28,1,)</f>
        <v>10</v>
      </c>
      <c r="E28" s="209">
        <f>IFS(isnumber(Raw!X28),Raw!X28/2,isnumber(Raw!U28),Raw!U28/2,1,)</f>
        <v>17.5</v>
      </c>
      <c r="F28" s="209">
        <f t="shared" si="2"/>
        <v>962.1</v>
      </c>
      <c r="G28" s="209">
        <f>if(and(isnumber(Raw!U28),isnumber(Raw!V28)),round(Raw!U28*Raw!V28,1),)</f>
        <v>875</v>
      </c>
      <c r="H28" s="209">
        <f>if(and(isnumber(Raw!U28),isnumber(Raw!V28)),round(pi()*Raw!U28/2*Raw!V28/2,1),)</f>
        <v>687.2</v>
      </c>
      <c r="I28" s="210">
        <f t="shared" si="3"/>
        <v>735.2705444</v>
      </c>
      <c r="J28" s="209">
        <f t="shared" si="4"/>
        <v>1060.9</v>
      </c>
      <c r="K28" s="209">
        <f t="shared" si="5"/>
        <v>1032.4</v>
      </c>
      <c r="L28" s="209">
        <f t="shared" si="6"/>
        <v>1014.8</v>
      </c>
      <c r="M28" s="209">
        <f t="shared" si="7"/>
        <v>1003.2</v>
      </c>
      <c r="N28" s="210" t="str">
        <f>if(and(isnumber(Raw!U28),isnumber(Raw!V28),isnumber(Raw!W28)),0.5*Pi()*(Raw!V28/2)^2+(Raw!W28*(Raw!U28-0.5*Raw!V28))+2*((Raw!V28-Raw!W28)/2*(Raw!U28-0.5*Raw!V28)),)</f>
        <v/>
      </c>
      <c r="O28" s="174">
        <f>ifs(Raw!M28="Rectangle",G28,Raw!M28="Cut-teardrop",N28,Raw!M28="Oval",H28,Raw!M28="Flat Circle",I28,Raw!M28="Oval to Circle",F28,Raw!M28="Circle",F28,AND(Raw!M28="Circle to Oval",isnumber(Raw!X28),isblank(Raw!Z28)),F28,Raw!M28="Hexagon",J28,Raw!M28="Septagon",K28,Raw!M28="Octagon",L28,Raw!M28="Nonagon",M28)</f>
        <v>875</v>
      </c>
      <c r="Q28" s="211">
        <f>if(AND(isnumber(Raw!BW28),isnumber(Raw!CJ28)),Raw!BW28+Raw!CJ28,Raw!CE28)</f>
        <v>259</v>
      </c>
      <c r="R28" s="126">
        <f>if(isnumber(Raw!CE28),Raw!CE28,)</f>
        <v>259</v>
      </c>
      <c r="S28" s="144">
        <f>if(isblank(Raw!AT28),Raw!AS28,Raw!AT28)</f>
        <v>410</v>
      </c>
      <c r="T28" s="145"/>
      <c r="U28" s="212">
        <f>ifs(istext(Raw!AT28),Raw!AT28,AND(Raw!AT28&gt;0,isblank(Raw!AS28)),Raw!AT28,1,Raw!AS28)</f>
        <v>410</v>
      </c>
      <c r="V28" s="144"/>
      <c r="W28" s="130"/>
      <c r="Y28" s="125" t="s">
        <v>123</v>
      </c>
      <c r="Z28" s="125" t="s">
        <v>123</v>
      </c>
      <c r="AA28" s="213">
        <f>ifs(AND(Raw!BH28=0,Raw!BK28&gt;0),Raw!BK28*Numbers!J$1,OR(iserror(AB28),Raw!BK28="NR"),"?",1,AB28*Raw!BH28+Raw!BK28*Numbers!J$1)</f>
        <v>7.910086299</v>
      </c>
      <c r="AB28" s="130">
        <f>(Raw!AY28*vlookup(Raw!AX28,Ores[],11,FALSE)+if(isblank(Raw!AZ28),0,Raw!BA28*vlookup(Raw!AZ28,Ores[],11,FALSE))+if(isblank(Raw!BB28),0,Raw!BC28*vlookup(Raw!BB28,Ores[],11,FALSE))+if(isblank(Raw!BD28),0,Raw!BE28*vlookup(Raw!BD28,Ores[],11,FALSE))+if(isblank(Raw!BF28),0,Raw!BG28*vlookup(Raw!BF28,Ores[],11,FALSE)))/Raw!BH28</f>
        <v>0.6430964471</v>
      </c>
      <c r="AC28" s="130">
        <f>if(AND(isblank(Raw!BK28),isblank(Raw!BM28),isnumber(Raw!CS28),Raw!CS28&gt;0),if(isnumber(Raw!BL28),Raw!CS28/Raw!BL28,Raw!BL28),)</f>
        <v>0.162601626</v>
      </c>
      <c r="AD28" s="130" t="str">
        <f>if(AND(Raw!BK28&gt;0,isblank(Raw!BM28),isnumber(Raw!CS28),Raw!CS28&gt;0),if(isnumber(Raw!BL28),Raw!CS28/Raw!BL28,Raw!BL28),)</f>
        <v/>
      </c>
      <c r="AE28" s="130" t="str">
        <f>if(AND(isblank(Raw!BK28),Raw!BM28&gt;0,isnumber(Raw!CS28),Raw!CS28&gt;0),if(isnumber(Raw!BL28),Raw!CS28/Raw!BL28,Raw!BL28),)</f>
        <v/>
      </c>
      <c r="AF28" s="130" t="str">
        <f>if(AND(Raw!BK28&gt;0,Raw!BM28&gt;0,isnumber(Raw!CS28),Raw!CS28&gt;0),if(isnumber(Raw!BL28),Raw!CS28/Raw!BL28,Raw!BL28),)</f>
        <v/>
      </c>
      <c r="AG28" s="214" t="str">
        <f>if(AND(isblank(Raw!BK28),Raw!BM28&gt;0,isnumber(Raw!CS28),Raw!CS28&gt;0),Raw!BM28,)</f>
        <v/>
      </c>
      <c r="AH28" s="215">
        <f t="shared" si="8"/>
        <v>0.6430964471</v>
      </c>
      <c r="AI28" s="214" t="str">
        <f t="shared" ref="AI28:AK28" si="34">if(AND(AD28&gt;0,isnumber($AB28)),$AB28,)</f>
        <v/>
      </c>
      <c r="AJ28" s="214" t="str">
        <f t="shared" si="34"/>
        <v/>
      </c>
      <c r="AK28" s="214" t="str">
        <f t="shared" si="34"/>
        <v/>
      </c>
      <c r="AL28" s="214" t="str">
        <f>if(AND(Raw!BK28&gt;0,isblank(Raw!BM28),isnumber(Raw!CS28),Raw!CS28&gt;0),Raw!BK28,)</f>
        <v/>
      </c>
      <c r="AM28" s="214" t="str">
        <f>if(AND(Raw!BK28&gt;0,Raw!BM28&gt;0,isnumber(Raw!CS28),Raw!CS28&gt;0),Raw!BM28,)</f>
        <v/>
      </c>
      <c r="AN28" s="214" t="str">
        <f>if(AND(Raw!BK28&gt;0,Raw!BM28&gt;0,isnumber(Raw!CS28),Raw!CS28&gt;0),Raw!BK28,)</f>
        <v/>
      </c>
      <c r="AO28" s="214" t="str">
        <f t="array" ref="AO28">if(Raw!H28="Vinland",max(AO$1:indirect("AO"&amp;(row()-1)))+1,)</f>
        <v/>
      </c>
      <c r="AP28" s="214">
        <f t="array" ref="AP28">if(Raw!H28="Icelandic",max(AP$1:indirect("AP"&amp;(row()-1)))+1,)</f>
        <v>2</v>
      </c>
      <c r="AQ28" s="214" t="str">
        <f t="array" ref="AQ28">if(Raw!H28="Turf-to-Tools",max(AQ$1:indirect("AQ"&amp;(row()-1)))+1,)</f>
        <v/>
      </c>
      <c r="AR28" s="216">
        <f>IFS(OR(iserror(Raw!BP28),iserror(Raw!BQ28)),"NR",OR(Raw!BP28="?",Raw!BQ28="?"),"?",1,(Raw!BP28+Raw!BQ28)*Raw!BH28/100)</f>
        <v>0.49262</v>
      </c>
      <c r="AS28" s="214"/>
      <c r="AT28" s="214"/>
      <c r="AU28" s="214"/>
      <c r="AV28" s="214"/>
      <c r="AW28" s="214"/>
      <c r="AX28" s="214"/>
      <c r="AY28" s="214"/>
    </row>
    <row r="29">
      <c r="A29" s="126">
        <f>Raw!A29</f>
        <v>28</v>
      </c>
      <c r="B29" s="208">
        <f>if(isnumber(O29),if(isblank(Raw!Z29),O29,concatenate(O29," (E)")),"ERROR")</f>
        <v>490.9</v>
      </c>
      <c r="C29" s="174">
        <f>ifs(Raw!S29="NR","NR",isblank(O29),"ERROR",1,O29*Raw!S29)</f>
        <v>24545</v>
      </c>
      <c r="D29" s="209" t="str">
        <f>ifs(AND(isnumber(Raw!X29),isnumber(Raw!Y29)),Raw!X29-Raw!Y29, AND(isnumber(Raw!U29),isnumber(Raw!V29)),Raw!U29-Raw!V29,1,)</f>
        <v/>
      </c>
      <c r="E29" s="209">
        <f>IFS(isnumber(Raw!X29),Raw!X29/2,isnumber(Raw!U29),Raw!U29/2,1,)</f>
        <v>12.5</v>
      </c>
      <c r="F29" s="209">
        <f t="shared" si="2"/>
        <v>490.9</v>
      </c>
      <c r="G29" s="209" t="str">
        <f>if(and(isnumber(Raw!U29),isnumber(Raw!V29)),round(Raw!U29*Raw!V29,1),)</f>
        <v/>
      </c>
      <c r="H29" s="209" t="str">
        <f>if(and(isnumber(Raw!U29),isnumber(Raw!V29)),round(pi()*Raw!U29/2*Raw!V29/2,1),)</f>
        <v/>
      </c>
      <c r="I29" s="210">
        <f t="shared" si="3"/>
        <v>490.9</v>
      </c>
      <c r="J29" s="209">
        <f t="shared" si="4"/>
        <v>541.3</v>
      </c>
      <c r="K29" s="209">
        <f t="shared" si="5"/>
        <v>526.7</v>
      </c>
      <c r="L29" s="209">
        <f t="shared" si="6"/>
        <v>517.8</v>
      </c>
      <c r="M29" s="209">
        <f t="shared" si="7"/>
        <v>511.8</v>
      </c>
      <c r="N29" s="210" t="str">
        <f>if(and(isnumber(Raw!U29),isnumber(Raw!V29),isnumber(Raw!W29)),0.5*Pi()*(Raw!V29/2)^2+(Raw!W29*(Raw!U29-0.5*Raw!V29))+2*((Raw!V29-Raw!W29)/2*(Raw!U29-0.5*Raw!V29)),)</f>
        <v/>
      </c>
      <c r="O29" s="174">
        <f>ifs(Raw!M29="Rectangle",G29,Raw!M29="Cut-teardrop",N29,Raw!M29="Oval",H29,Raw!M29="Flat Circle",I29,Raw!M29="Oval to Circle",F29,Raw!M29="Circle",F29,AND(Raw!M29="Circle to Oval",isnumber(Raw!X29),isblank(Raw!Z29)),F29,Raw!M29="Hexagon",J29,Raw!M29="Septagon",K29,Raw!M29="Octagon",L29,Raw!M29="Nonagon",M29)</f>
        <v>490.9</v>
      </c>
      <c r="Q29" s="211">
        <f>if(AND(isnumber(Raw!BW29),isnumber(Raw!CJ29)),Raw!BW29+Raw!CJ29,Raw!CE29)</f>
        <v>380</v>
      </c>
      <c r="R29" s="126">
        <f>if(isnumber(Raw!CE29),Raw!CE29,)</f>
        <v>177</v>
      </c>
      <c r="S29" s="144">
        <f>if(isblank(Raw!AT29),Raw!AS29,Raw!AT29)</f>
        <v>770</v>
      </c>
      <c r="T29" s="145"/>
      <c r="U29" s="212">
        <f>ifs(istext(Raw!AT29),Raw!AT29,AND(Raw!AT29&gt;0,isblank(Raw!AS29)),Raw!AT29,1,Raw!AS29)</f>
        <v>770</v>
      </c>
      <c r="V29" s="144"/>
      <c r="W29" s="130"/>
      <c r="Z29" s="125" t="s">
        <v>123</v>
      </c>
      <c r="AA29" s="213">
        <f>ifs(AND(Raw!BH29=0,Raw!BK29&gt;0),Raw!BK29*Numbers!J$1,OR(iserror(AB29),Raw!BK29="NR"),"?",1,AB29*Raw!BH29+Raw!BK29*Numbers!J$1)</f>
        <v>11.41059737</v>
      </c>
      <c r="AB29" s="130">
        <f>(Raw!AY29*vlookup(Raw!AX29,Ores[],11,FALSE)+if(isblank(Raw!AZ29),0,Raw!BA29*vlookup(Raw!AZ29,Ores[],11,FALSE))+if(isblank(Raw!BB29),0,Raw!BC29*vlookup(Raw!BB29,Ores[],11,FALSE))+if(isblank(Raw!BD29),0,Raw!BE29*vlookup(Raw!BD29,Ores[],11,FALSE))+if(isblank(Raw!BF29),0,Raw!BG29*vlookup(Raw!BF29,Ores[],11,FALSE)))/Raw!BH29</f>
        <v>0.6339220763</v>
      </c>
      <c r="AC29" s="130">
        <f>if(AND(isblank(Raw!BK29),isblank(Raw!BM29),isnumber(Raw!CS29),Raw!CS29&gt;0),if(isnumber(Raw!BL29),Raw!CS29/Raw!BL29,Raw!BL29),)</f>
        <v>0.3055555556</v>
      </c>
      <c r="AD29" s="130" t="str">
        <f>if(AND(Raw!BK29&gt;0,isblank(Raw!BM29),isnumber(Raw!CS29),Raw!CS29&gt;0),if(isnumber(Raw!BL29),Raw!CS29/Raw!BL29,Raw!BL29),)</f>
        <v/>
      </c>
      <c r="AE29" s="130" t="str">
        <f>if(AND(isblank(Raw!BK29),Raw!BM29&gt;0,isnumber(Raw!CS29),Raw!CS29&gt;0),if(isnumber(Raw!BL29),Raw!CS29/Raw!BL29,Raw!BL29),)</f>
        <v/>
      </c>
      <c r="AF29" s="130" t="str">
        <f>if(AND(Raw!BK29&gt;0,Raw!BM29&gt;0,isnumber(Raw!CS29),Raw!CS29&gt;0),if(isnumber(Raw!BL29),Raw!CS29/Raw!BL29,Raw!BL29),)</f>
        <v/>
      </c>
      <c r="AG29" s="214" t="str">
        <f>if(AND(isblank(Raw!BK29),Raw!BM29&gt;0,isnumber(Raw!CS29),Raw!CS29&gt;0),Raw!BM29,)</f>
        <v/>
      </c>
      <c r="AH29" s="215">
        <f t="shared" si="8"/>
        <v>0.6339220763</v>
      </c>
      <c r="AI29" s="214" t="str">
        <f t="shared" ref="AI29:AK29" si="35">if(AND(AD29&gt;0,isnumber($AB29)),$AB29,)</f>
        <v/>
      </c>
      <c r="AJ29" s="214" t="str">
        <f t="shared" si="35"/>
        <v/>
      </c>
      <c r="AK29" s="214" t="str">
        <f t="shared" si="35"/>
        <v/>
      </c>
      <c r="AL29" s="214" t="str">
        <f>if(AND(Raw!BK29&gt;0,isblank(Raw!BM29),isnumber(Raw!CS29),Raw!CS29&gt;0),Raw!BK29,)</f>
        <v/>
      </c>
      <c r="AM29" s="214" t="str">
        <f>if(AND(Raw!BK29&gt;0,Raw!BM29&gt;0,isnumber(Raw!CS29),Raw!CS29&gt;0),Raw!BM29,)</f>
        <v/>
      </c>
      <c r="AN29" s="214" t="str">
        <f>if(AND(Raw!BK29&gt;0,Raw!BM29&gt;0,isnumber(Raw!CS29),Raw!CS29&gt;0),Raw!BK29,)</f>
        <v/>
      </c>
      <c r="AO29" s="214" t="str">
        <f t="array" ref="AO29">if(Raw!H29="Vinland",max(AO$1:indirect("AO"&amp;(row()-1)))+1,)</f>
        <v/>
      </c>
      <c r="AP29" s="214" t="str">
        <f t="array" ref="AP29">if(Raw!H29="Icelandic",max(AP$1:indirect("AP"&amp;(row()-1)))+1,)</f>
        <v/>
      </c>
      <c r="AQ29" s="214" t="str">
        <f t="array" ref="AQ29">if(Raw!H29="Turf-to-Tools",max(AQ$1:indirect("AQ"&amp;(row()-1)))+1,)</f>
        <v/>
      </c>
      <c r="AR29" s="216">
        <f>IFS(OR(iserror(Raw!BP29),iserror(Raw!BQ29)),"NR",OR(Raw!BP29="?",Raw!BQ29="?"),"?",1,(Raw!BP29+Raw!BQ29)*Raw!BH29/100)</f>
        <v>1.1835</v>
      </c>
      <c r="AS29" s="214"/>
      <c r="AT29" s="214"/>
      <c r="AU29" s="214"/>
      <c r="AV29" s="214"/>
      <c r="AW29" s="214"/>
      <c r="AX29" s="214"/>
      <c r="AY29" s="214"/>
    </row>
    <row r="30">
      <c r="A30" s="126">
        <f>Raw!A30</f>
        <v>29</v>
      </c>
      <c r="B30" s="208">
        <f>if(isnumber(O30),if(isblank(Raw!Z30),O30,concatenate(O30," (E)")),"ERROR")</f>
        <v>706.9</v>
      </c>
      <c r="C30" s="174">
        <f>ifs(Raw!S30="NR","NR",isblank(O30),"ERROR",1,O30*Raw!S30)</f>
        <v>42414</v>
      </c>
      <c r="D30" s="209" t="str">
        <f>ifs(AND(isnumber(Raw!X30),isnumber(Raw!Y30)),Raw!X30-Raw!Y30, AND(isnumber(Raw!U30),isnumber(Raw!V30)),Raw!U30-Raw!V30,1,)</f>
        <v/>
      </c>
      <c r="E30" s="209">
        <f>IFS(isnumber(Raw!X30),Raw!X30/2,isnumber(Raw!U30),Raw!U30/2,1,)</f>
        <v>15</v>
      </c>
      <c r="F30" s="209">
        <f t="shared" si="2"/>
        <v>706.9</v>
      </c>
      <c r="G30" s="209" t="str">
        <f>if(and(isnumber(Raw!U30),isnumber(Raw!V30)),round(Raw!U30*Raw!V30,1),)</f>
        <v/>
      </c>
      <c r="H30" s="209" t="str">
        <f>if(and(isnumber(Raw!U30),isnumber(Raw!V30)),round(pi()*Raw!U30/2*Raw!V30/2,1),)</f>
        <v/>
      </c>
      <c r="I30" s="210">
        <f t="shared" si="3"/>
        <v>706.9</v>
      </c>
      <c r="J30" s="209">
        <f t="shared" si="4"/>
        <v>779.4</v>
      </c>
      <c r="K30" s="209">
        <f t="shared" si="5"/>
        <v>758.5</v>
      </c>
      <c r="L30" s="209">
        <f t="shared" si="6"/>
        <v>745.6</v>
      </c>
      <c r="M30" s="209">
        <f t="shared" si="7"/>
        <v>737</v>
      </c>
      <c r="N30" s="210" t="str">
        <f>if(and(isnumber(Raw!U30),isnumber(Raw!V30),isnumber(Raw!W30)),0.5*Pi()*(Raw!V30/2)^2+(Raw!W30*(Raw!U30-0.5*Raw!V30))+2*((Raw!V30-Raw!W30)/2*(Raw!U30-0.5*Raw!V30)),)</f>
        <v/>
      </c>
      <c r="O30" s="174">
        <f>ifs(Raw!M30="Rectangle",G30,Raw!M30="Cut-teardrop",N30,Raw!M30="Oval",H30,Raw!M30="Flat Circle",I30,Raw!M30="Oval to Circle",F30,Raw!M30="Circle",F30,AND(Raw!M30="Circle to Oval",isnumber(Raw!X30),isblank(Raw!Z30)),F30,Raw!M30="Hexagon",J30,Raw!M30="Septagon",K30,Raw!M30="Octagon",L30,Raw!M30="Nonagon",M30)</f>
        <v>706.9</v>
      </c>
      <c r="Q30" s="211">
        <f>if(AND(isnumber(Raw!BW30),isnumber(Raw!CJ30)),Raw!BW30+Raw!CJ30,Raw!CE30)</f>
        <v>397</v>
      </c>
      <c r="R30" s="126">
        <f>if(isnumber(Raw!CE30),Raw!CE30,)</f>
        <v>218</v>
      </c>
      <c r="S30" s="144" t="str">
        <f>if(isblank(Raw!AT30),Raw!AS30,Raw!AT30)</f>
        <v>NR</v>
      </c>
      <c r="T30" s="145"/>
      <c r="U30" s="212" t="str">
        <f>ifs(istext(Raw!AT30),Raw!AT30,AND(Raw!AT30&gt;0,isblank(Raw!AS30)),Raw!AT30,1,Raw!AS30)</f>
        <v>NR</v>
      </c>
      <c r="V30" s="144"/>
      <c r="W30" s="130"/>
      <c r="Z30" s="125" t="s">
        <v>123</v>
      </c>
      <c r="AA30" s="213">
        <f>ifs(AND(Raw!BH30=0,Raw!BK30&gt;0),Raw!BK30*Numbers!J$1,OR(iserror(AB30),Raw!BK30="NR"),"?",1,AB30*Raw!BH30+Raw!BK30*Numbers!J$1)</f>
        <v>13.34</v>
      </c>
      <c r="AB30" s="130">
        <f>(Raw!AY30*vlookup(Raw!AX30,Ores[],11,FALSE)+if(isblank(Raw!AZ30),0,Raw!BA30*vlookup(Raw!AZ30,Ores[],11,FALSE))+if(isblank(Raw!BB30),0,Raw!BC30*vlookup(Raw!BB30,Ores[],11,FALSE))+if(isblank(Raw!BD30),0,Raw!BE30*vlookup(Raw!BD30,Ores[],11,FALSE))+if(isblank(Raw!BF30),0,Raw!BG30*vlookup(Raw!BF30,Ores[],11,FALSE)))/Raw!BH30</f>
        <v>0.58</v>
      </c>
      <c r="AC30" s="130">
        <f>if(AND(isblank(Raw!BK30),isblank(Raw!BM30),isnumber(Raw!CS30),Raw!CS30&gt;0),if(isnumber(Raw!BL30),Raw!CS30/Raw!BL30,Raw!BL30),)</f>
        <v>0.2391304348</v>
      </c>
      <c r="AD30" s="130" t="str">
        <f>if(AND(Raw!BK30&gt;0,isblank(Raw!BM30),isnumber(Raw!CS30),Raw!CS30&gt;0),if(isnumber(Raw!BL30),Raw!CS30/Raw!BL30,Raw!BL30),)</f>
        <v/>
      </c>
      <c r="AE30" s="130" t="str">
        <f>if(AND(isblank(Raw!BK30),Raw!BM30&gt;0,isnumber(Raw!CS30),Raw!CS30&gt;0),if(isnumber(Raw!BL30),Raw!CS30/Raw!BL30,Raw!BL30),)</f>
        <v/>
      </c>
      <c r="AF30" s="130" t="str">
        <f>if(AND(Raw!BK30&gt;0,Raw!BM30&gt;0,isnumber(Raw!CS30),Raw!CS30&gt;0),if(isnumber(Raw!BL30),Raw!CS30/Raw!BL30,Raw!BL30),)</f>
        <v/>
      </c>
      <c r="AG30" s="214" t="str">
        <f>if(AND(isblank(Raw!BK30),Raw!BM30&gt;0,isnumber(Raw!CS30),Raw!CS30&gt;0),Raw!BM30,)</f>
        <v/>
      </c>
      <c r="AH30" s="215">
        <f t="shared" si="8"/>
        <v>0.58</v>
      </c>
      <c r="AI30" s="214" t="str">
        <f t="shared" ref="AI30:AK30" si="36">if(AND(AD30&gt;0,isnumber($AB30)),$AB30,)</f>
        <v/>
      </c>
      <c r="AJ30" s="214" t="str">
        <f t="shared" si="36"/>
        <v/>
      </c>
      <c r="AK30" s="214" t="str">
        <f t="shared" si="36"/>
        <v/>
      </c>
      <c r="AL30" s="214" t="str">
        <f>if(AND(Raw!BK30&gt;0,isblank(Raw!BM30),isnumber(Raw!CS30),Raw!CS30&gt;0),Raw!BK30,)</f>
        <v/>
      </c>
      <c r="AM30" s="214" t="str">
        <f>if(AND(Raw!BK30&gt;0,Raw!BM30&gt;0,isnumber(Raw!CS30),Raw!CS30&gt;0),Raw!BM30,)</f>
        <v/>
      </c>
      <c r="AN30" s="214" t="str">
        <f>if(AND(Raw!BK30&gt;0,Raw!BM30&gt;0,isnumber(Raw!CS30),Raw!CS30&gt;0),Raw!BK30,)</f>
        <v/>
      </c>
      <c r="AO30" s="214" t="str">
        <f t="array" ref="AO30">if(Raw!H30="Vinland",max(AO$1:indirect("AO"&amp;(row()-1)))+1,)</f>
        <v/>
      </c>
      <c r="AP30" s="214" t="str">
        <f t="array" ref="AP30">if(Raw!H30="Icelandic",max(AP$1:indirect("AP"&amp;(row()-1)))+1,)</f>
        <v/>
      </c>
      <c r="AQ30" s="214" t="str">
        <f t="array" ref="AQ30">if(Raw!H30="Turf-to-Tools",max(AQ$1:indirect("AQ"&amp;(row()-1)))+1,)</f>
        <v/>
      </c>
      <c r="AR30" s="216">
        <f>IFS(OR(iserror(Raw!BP30),iserror(Raw!BQ30)),"NR",OR(Raw!BP30="?",Raw!BQ30="?"),"?",1,(Raw!BP30+Raw!BQ30)*Raw!BH30/100)</f>
        <v>2.4771</v>
      </c>
      <c r="AS30" s="214"/>
      <c r="AT30" s="214"/>
      <c r="AU30" s="214"/>
      <c r="AV30" s="214"/>
      <c r="AW30" s="214"/>
      <c r="AX30" s="214"/>
      <c r="AY30" s="214"/>
    </row>
    <row r="31">
      <c r="A31" s="126">
        <f>Raw!A31</f>
        <v>30</v>
      </c>
      <c r="B31" s="208">
        <f>if(isnumber(O31),if(isblank(Raw!Z31),O31,concatenate(O31," (E)")),"ERROR")</f>
        <v>706.9</v>
      </c>
      <c r="C31" s="174">
        <f>ifs(Raw!S31="NR","NR",isblank(O31),"ERROR",1,O31*Raw!S31)</f>
        <v>42414</v>
      </c>
      <c r="D31" s="209" t="str">
        <f>ifs(AND(isnumber(Raw!X31),isnumber(Raw!Y31)),Raw!X31-Raw!Y31, AND(isnumber(Raw!U31),isnumber(Raw!V31)),Raw!U31-Raw!V31,1,)</f>
        <v/>
      </c>
      <c r="E31" s="209">
        <f>IFS(isnumber(Raw!X31),Raw!X31/2,isnumber(Raw!U31),Raw!U31/2,1,)</f>
        <v>15</v>
      </c>
      <c r="F31" s="209">
        <f t="shared" si="2"/>
        <v>706.9</v>
      </c>
      <c r="G31" s="209" t="str">
        <f>if(and(isnumber(Raw!U31),isnumber(Raw!V31)),round(Raw!U31*Raw!V31,1),)</f>
        <v/>
      </c>
      <c r="H31" s="209" t="str">
        <f>if(and(isnumber(Raw!U31),isnumber(Raw!V31)),round(pi()*Raw!U31/2*Raw!V31/2,1),)</f>
        <v/>
      </c>
      <c r="I31" s="210">
        <f t="shared" si="3"/>
        <v>706.9</v>
      </c>
      <c r="J31" s="209">
        <f t="shared" si="4"/>
        <v>779.4</v>
      </c>
      <c r="K31" s="209">
        <f t="shared" si="5"/>
        <v>758.5</v>
      </c>
      <c r="L31" s="209">
        <f t="shared" si="6"/>
        <v>745.6</v>
      </c>
      <c r="M31" s="209">
        <f t="shared" si="7"/>
        <v>737</v>
      </c>
      <c r="N31" s="210" t="str">
        <f>if(and(isnumber(Raw!U31),isnumber(Raw!V31),isnumber(Raw!W31)),0.5*Pi()*(Raw!V31/2)^2+(Raw!W31*(Raw!U31-0.5*Raw!V31))+2*((Raw!V31-Raw!W31)/2*(Raw!U31-0.5*Raw!V31)),)</f>
        <v/>
      </c>
      <c r="O31" s="174">
        <f>ifs(Raw!M31="Rectangle",G31,Raw!M31="Cut-teardrop",N31,Raw!M31="Oval",H31,Raw!M31="Flat Circle",I31,Raw!M31="Oval to Circle",F31,Raw!M31="Circle",F31,AND(Raw!M31="Circle to Oval",isnumber(Raw!X31),isblank(Raw!Z31)),F31,Raw!M31="Hexagon",J31,Raw!M31="Septagon",K31,Raw!M31="Octagon",L31,Raw!M31="Nonagon",M31)</f>
        <v>706.9</v>
      </c>
      <c r="Q31" s="211">
        <f>if(AND(isnumber(Raw!BW31),isnumber(Raw!CJ31)),Raw!BW31+Raw!CJ31,Raw!CE31)</f>
        <v>276</v>
      </c>
      <c r="R31" s="126">
        <f>if(isnumber(Raw!CE31),Raw!CE31,)</f>
        <v>276</v>
      </c>
      <c r="S31" s="144" t="str">
        <f>if(isblank(Raw!AT31),Raw!AS31,Raw!AT31)</f>
        <v>NR</v>
      </c>
      <c r="T31" s="145"/>
      <c r="U31" s="212" t="str">
        <f>ifs(istext(Raw!AT31),Raw!AT31,AND(Raw!AT31&gt;0,isblank(Raw!AS31)),Raw!AT31,1,Raw!AS31)</f>
        <v>NR</v>
      </c>
      <c r="V31" s="144"/>
      <c r="W31" s="130"/>
      <c r="Z31" s="125" t="s">
        <v>123</v>
      </c>
      <c r="AA31" s="213">
        <f>ifs(AND(Raw!BH31=0,Raw!BK31&gt;0),Raw!BK31*Numbers!J$1,OR(iserror(AB31),Raw!BK31="NR"),"?",1,AB31*Raw!BH31+Raw!BK31*Numbers!J$1)</f>
        <v>15.0523243</v>
      </c>
      <c r="AB31" s="130">
        <f>(Raw!AY31*vlookup(Raw!AX31,Ores[],11,FALSE)+if(isblank(Raw!AZ31),0,Raw!BA31*vlookup(Raw!AZ31,Ores[],11,FALSE))+if(isblank(Raw!BB31),0,Raw!BC31*vlookup(Raw!BB31,Ores[],11,FALSE))+if(isblank(Raw!BD31),0,Raw!BE31*vlookup(Raw!BD31,Ores[],11,FALSE))+if(isblank(Raw!BF31),0,Raw!BG31*vlookup(Raw!BF31,Ores[],11,FALSE)))/Raw!BH31</f>
        <v>0.4984213344</v>
      </c>
      <c r="AC31" s="130">
        <f>if(AND(isblank(Raw!BK31),isblank(Raw!BM31),isnumber(Raw!CS31),Raw!CS31&gt;0),if(isnumber(Raw!BL31),Raw!CS31/Raw!BL31,Raw!BL31),)</f>
        <v>0.05629139073</v>
      </c>
      <c r="AD31" s="130" t="str">
        <f>if(AND(Raw!BK31&gt;0,isblank(Raw!BM31),isnumber(Raw!CS31),Raw!CS31&gt;0),if(isnumber(Raw!BL31),Raw!CS31/Raw!BL31,Raw!BL31),)</f>
        <v/>
      </c>
      <c r="AE31" s="130" t="str">
        <f>if(AND(isblank(Raw!BK31),Raw!BM31&gt;0,isnumber(Raw!CS31),Raw!CS31&gt;0),if(isnumber(Raw!BL31),Raw!CS31/Raw!BL31,Raw!BL31),)</f>
        <v/>
      </c>
      <c r="AF31" s="130" t="str">
        <f>if(AND(Raw!BK31&gt;0,Raw!BM31&gt;0,isnumber(Raw!CS31),Raw!CS31&gt;0),if(isnumber(Raw!BL31),Raw!CS31/Raw!BL31,Raw!BL31),)</f>
        <v/>
      </c>
      <c r="AG31" s="214" t="str">
        <f>if(AND(isblank(Raw!BK31),Raw!BM31&gt;0,isnumber(Raw!CS31),Raw!CS31&gt;0),Raw!BM31,)</f>
        <v/>
      </c>
      <c r="AH31" s="215">
        <f t="shared" si="8"/>
        <v>0.4984213344</v>
      </c>
      <c r="AI31" s="214" t="str">
        <f t="shared" ref="AI31:AK31" si="37">if(AND(AD31&gt;0,isnumber($AB31)),$AB31,)</f>
        <v/>
      </c>
      <c r="AJ31" s="214" t="str">
        <f t="shared" si="37"/>
        <v/>
      </c>
      <c r="AK31" s="214" t="str">
        <f t="shared" si="37"/>
        <v/>
      </c>
      <c r="AL31" s="214" t="str">
        <f>if(AND(Raw!BK31&gt;0,isblank(Raw!BM31),isnumber(Raw!CS31),Raw!CS31&gt;0),Raw!BK31,)</f>
        <v/>
      </c>
      <c r="AM31" s="214" t="str">
        <f>if(AND(Raw!BK31&gt;0,Raw!BM31&gt;0,isnumber(Raw!CS31),Raw!CS31&gt;0),Raw!BM31,)</f>
        <v/>
      </c>
      <c r="AN31" s="214" t="str">
        <f>if(AND(Raw!BK31&gt;0,Raw!BM31&gt;0,isnumber(Raw!CS31),Raw!CS31&gt;0),Raw!BK31,)</f>
        <v/>
      </c>
      <c r="AO31" s="214" t="str">
        <f t="array" ref="AO31">if(Raw!H31="Vinland",max(AO$1:indirect("AO"&amp;(row()-1)))+1,)</f>
        <v/>
      </c>
      <c r="AP31" s="214" t="str">
        <f t="array" ref="AP31">if(Raw!H31="Icelandic",max(AP$1:indirect("AP"&amp;(row()-1)))+1,)</f>
        <v/>
      </c>
      <c r="AQ31" s="214" t="str">
        <f t="array" ref="AQ31">if(Raw!H31="Turf-to-Tools",max(AQ$1:indirect("AQ"&amp;(row()-1)))+1,)</f>
        <v/>
      </c>
      <c r="AR31" s="216">
        <f>IFS(OR(iserror(Raw!BP31),iserror(Raw!BQ31)),"NR",OR(Raw!BP31="?",Raw!BQ31="?"),"?",1,(Raw!BP31+Raw!BQ31)*Raw!BH31/100)</f>
        <v>4.764692082</v>
      </c>
      <c r="AS31" s="214"/>
      <c r="AT31" s="214"/>
      <c r="AU31" s="214"/>
      <c r="AV31" s="214"/>
      <c r="AW31" s="214"/>
      <c r="AX31" s="214"/>
      <c r="AY31" s="214"/>
    </row>
    <row r="32">
      <c r="A32" s="126">
        <f>Raw!A32</f>
        <v>31</v>
      </c>
      <c r="B32" s="208">
        <f>if(isnumber(O32),if(isblank(Raw!Z32),O32,concatenate(O32," (E)")),"ERROR")</f>
        <v>706.9</v>
      </c>
      <c r="C32" s="174">
        <f>ifs(Raw!S32="NR","NR",isblank(O32),"ERROR",1,O32*Raw!S32)</f>
        <v>41000.2</v>
      </c>
      <c r="D32" s="209" t="str">
        <f>ifs(AND(isnumber(Raw!X32),isnumber(Raw!Y32)),Raw!X32-Raw!Y32, AND(isnumber(Raw!U32),isnumber(Raw!V32)),Raw!U32-Raw!V32,1,)</f>
        <v/>
      </c>
      <c r="E32" s="209">
        <f>IFS(isnumber(Raw!X32),Raw!X32/2,isnumber(Raw!U32),Raw!U32/2,1,)</f>
        <v>15</v>
      </c>
      <c r="F32" s="209">
        <f t="shared" si="2"/>
        <v>706.9</v>
      </c>
      <c r="G32" s="209" t="str">
        <f>if(and(isnumber(Raw!U32),isnumber(Raw!V32)),round(Raw!U32*Raw!V32,1),)</f>
        <v/>
      </c>
      <c r="H32" s="209" t="str">
        <f>if(and(isnumber(Raw!U32),isnumber(Raw!V32)),round(pi()*Raw!U32/2*Raw!V32/2,1),)</f>
        <v/>
      </c>
      <c r="I32" s="210">
        <f t="shared" si="3"/>
        <v>706.9</v>
      </c>
      <c r="J32" s="209">
        <f t="shared" si="4"/>
        <v>779.4</v>
      </c>
      <c r="K32" s="209">
        <f t="shared" si="5"/>
        <v>758.5</v>
      </c>
      <c r="L32" s="209">
        <f t="shared" si="6"/>
        <v>745.6</v>
      </c>
      <c r="M32" s="209">
        <f t="shared" si="7"/>
        <v>737</v>
      </c>
      <c r="N32" s="210" t="str">
        <f>if(and(isnumber(Raw!U32),isnumber(Raw!V32),isnumber(Raw!W32)),0.5*Pi()*(Raw!V32/2)^2+(Raw!W32*(Raw!U32-0.5*Raw!V32))+2*((Raw!V32-Raw!W32)/2*(Raw!U32-0.5*Raw!V32)),)</f>
        <v/>
      </c>
      <c r="O32" s="174">
        <f>ifs(Raw!M32="Rectangle",G32,Raw!M32="Cut-teardrop",N32,Raw!M32="Oval",H32,Raw!M32="Flat Circle",I32,Raw!M32="Oval to Circle",F32,Raw!M32="Circle",F32,AND(Raw!M32="Circle to Oval",isnumber(Raw!X32),isblank(Raw!Z32)),F32,Raw!M32="Hexagon",J32,Raw!M32="Septagon",K32,Raw!M32="Octagon",L32,Raw!M32="Nonagon",M32)</f>
        <v>706.9</v>
      </c>
      <c r="Q32" s="217">
        <f>if(AND(isnumber(Raw!BW32),isnumber(Raw!CJ32)),Raw!BW32+Raw!CJ32,Raw!CE32)</f>
        <v>498</v>
      </c>
      <c r="R32" s="126">
        <f>if(isnumber(Raw!CE32),Raw!CE32,)</f>
        <v>319</v>
      </c>
      <c r="S32" s="144" t="str">
        <f>if(isblank(Raw!AT32),Raw!AS32,Raw!AT32)</f>
        <v>NR</v>
      </c>
      <c r="T32" s="145"/>
      <c r="U32" s="212" t="str">
        <f>ifs(istext(Raw!AT32),Raw!AT32,AND(Raw!AT32&gt;0,isblank(Raw!AS32)),Raw!AT32,1,Raw!AS32)</f>
        <v>NR</v>
      </c>
      <c r="V32" s="144"/>
      <c r="W32" s="130"/>
      <c r="Z32" s="125" t="s">
        <v>123</v>
      </c>
      <c r="AA32" s="213">
        <f>ifs(AND(Raw!BH32=0,Raw!BK32&gt;0),Raw!BK32*Numbers!J$1,OR(iserror(AB32),Raw!BK32="NR"),"?",1,AB32*Raw!BH32+Raw!BK32*Numbers!J$1)</f>
        <v>26.98389889</v>
      </c>
      <c r="AB32" s="130">
        <f>(Raw!AY32*vlookup(Raw!AX32,Ores[],11,FALSE)+if(isblank(Raw!AZ32),0,Raw!BA32*vlookup(Raw!AZ32,Ores[],11,FALSE))+if(isblank(Raw!BB32),0,Raw!BC32*vlookup(Raw!BB32,Ores[],11,FALSE))+if(isblank(Raw!BD32),0,Raw!BE32*vlookup(Raw!BD32,Ores[],11,FALSE))+if(isblank(Raw!BF32),0,Raw!BG32*vlookup(Raw!BF32,Ores[],11,FALSE)))/Raw!BH32</f>
        <v>0.4535109057</v>
      </c>
      <c r="AC32" s="130">
        <f>if(AND(isblank(Raw!BK32),isblank(Raw!BM32),isnumber(Raw!CS32),Raw!CS32&gt;0),if(isnumber(Raw!BL32),Raw!CS32/Raw!BL32,Raw!BL32),)</f>
        <v>0.1294117647</v>
      </c>
      <c r="AD32" s="130" t="str">
        <f>if(AND(Raw!BK32&gt;0,isblank(Raw!BM32),isnumber(Raw!CS32),Raw!CS32&gt;0),if(isnumber(Raw!BL32),Raw!CS32/Raw!BL32,Raw!BL32),)</f>
        <v/>
      </c>
      <c r="AE32" s="130" t="str">
        <f>if(AND(isblank(Raw!BK32),Raw!BM32&gt;0,isnumber(Raw!CS32),Raw!CS32&gt;0),if(isnumber(Raw!BL32),Raw!CS32/Raw!BL32,Raw!BL32),)</f>
        <v/>
      </c>
      <c r="AF32" s="130" t="str">
        <f>if(AND(Raw!BK32&gt;0,Raw!BM32&gt;0,isnumber(Raw!CS32),Raw!CS32&gt;0),if(isnumber(Raw!BL32),Raw!CS32/Raw!BL32,Raw!BL32),)</f>
        <v/>
      </c>
      <c r="AG32" s="214" t="str">
        <f>if(AND(isblank(Raw!BK32),Raw!BM32&gt;0,isnumber(Raw!CS32),Raw!CS32&gt;0),Raw!BM32,)</f>
        <v/>
      </c>
      <c r="AH32" s="215">
        <f t="shared" si="8"/>
        <v>0.4535109057</v>
      </c>
      <c r="AI32" s="214" t="str">
        <f t="shared" ref="AI32:AK32" si="38">if(AND(AD32&gt;0,isnumber($AB32)),$AB32,)</f>
        <v/>
      </c>
      <c r="AJ32" s="214" t="str">
        <f t="shared" si="38"/>
        <v/>
      </c>
      <c r="AK32" s="214" t="str">
        <f t="shared" si="38"/>
        <v/>
      </c>
      <c r="AL32" s="214" t="str">
        <f>if(AND(Raw!BK32&gt;0,isblank(Raw!BM32),isnumber(Raw!CS32),Raw!CS32&gt;0),Raw!BK32,)</f>
        <v/>
      </c>
      <c r="AM32" s="214" t="str">
        <f>if(AND(Raw!BK32&gt;0,Raw!BM32&gt;0,isnumber(Raw!CS32),Raw!CS32&gt;0),Raw!BM32,)</f>
        <v/>
      </c>
      <c r="AN32" s="214" t="str">
        <f>if(AND(Raw!BK32&gt;0,Raw!BM32&gt;0,isnumber(Raw!CS32),Raw!CS32&gt;0),Raw!BK32,)</f>
        <v/>
      </c>
      <c r="AO32" s="214" t="str">
        <f t="array" ref="AO32">if(Raw!H32="Vinland",max(AO$1:indirect("AO"&amp;(row()-1)))+1,)</f>
        <v/>
      </c>
      <c r="AP32" s="214" t="str">
        <f t="array" ref="AP32">if(Raw!H32="Icelandic",max(AP$1:indirect("AP"&amp;(row()-1)))+1,)</f>
        <v/>
      </c>
      <c r="AQ32" s="214" t="str">
        <f t="array" ref="AQ32">if(Raw!H32="Turf-to-Tools",max(AQ$1:indirect("AQ"&amp;(row()-1)))+1,)</f>
        <v/>
      </c>
      <c r="AR32" s="216">
        <f>IFS(OR(iserror(Raw!BP32),iserror(Raw!BQ32)),"NR",OR(Raw!BP32="?",Raw!BQ32="?"),"?",1,(Raw!BP32+Raw!BQ32)*Raw!BH32/100)</f>
        <v>11.8643</v>
      </c>
      <c r="AS32" s="214"/>
      <c r="AT32" s="214"/>
      <c r="AU32" s="214"/>
      <c r="AV32" s="214"/>
      <c r="AW32" s="214"/>
      <c r="AX32" s="214"/>
      <c r="AY32" s="214"/>
    </row>
    <row r="33">
      <c r="A33" s="126" t="str">
        <f>Raw!A33</f>
        <v>32 / D14</v>
      </c>
      <c r="B33" s="208">
        <f>if(isnumber(O33),if(isblank(Raw!Z33),O33,concatenate(O33," (E)")),"ERROR")</f>
        <v>346.4</v>
      </c>
      <c r="C33" s="174">
        <f>ifs(Raw!S33="NR","NR",isblank(O33),"ERROR",1,O33*Raw!S33)</f>
        <v>15588</v>
      </c>
      <c r="D33" s="209" t="str">
        <f>ifs(AND(isnumber(Raw!X33),isnumber(Raw!Y33)),Raw!X33-Raw!Y33, AND(isnumber(Raw!U33),isnumber(Raw!V33)),Raw!U33-Raw!V33,1,)</f>
        <v/>
      </c>
      <c r="E33" s="209">
        <f>IFS(isnumber(Raw!X33),Raw!X33/2,isnumber(Raw!U33),Raw!U33/2,1,)</f>
        <v>10</v>
      </c>
      <c r="F33" s="209">
        <f t="shared" si="2"/>
        <v>314.2</v>
      </c>
      <c r="G33" s="209" t="str">
        <f>if(and(isnumber(Raw!U33),isnumber(Raw!V33)),round(Raw!U33*Raw!V33,1),)</f>
        <v/>
      </c>
      <c r="H33" s="209" t="str">
        <f>if(and(isnumber(Raw!U33),isnumber(Raw!V33)),round(pi()*Raw!U33/2*Raw!V33/2,1),)</f>
        <v/>
      </c>
      <c r="I33" s="210">
        <f t="shared" si="3"/>
        <v>314.2</v>
      </c>
      <c r="J33" s="209">
        <f t="shared" si="4"/>
        <v>346.4</v>
      </c>
      <c r="K33" s="209">
        <f t="shared" si="5"/>
        <v>337.1</v>
      </c>
      <c r="L33" s="209">
        <f t="shared" si="6"/>
        <v>331.4</v>
      </c>
      <c r="M33" s="209">
        <f t="shared" si="7"/>
        <v>327.6</v>
      </c>
      <c r="N33" s="210" t="str">
        <f>if(and(isnumber(Raw!U33),isnumber(Raw!V33),isnumber(Raw!W33)),0.5*Pi()*(Raw!V33/2)^2+(Raw!W33*(Raw!U33-0.5*Raw!V33))+2*((Raw!V33-Raw!W33)/2*(Raw!U33-0.5*Raw!V33)),)</f>
        <v/>
      </c>
      <c r="O33" s="174">
        <f>ifs(Raw!M33="Rectangle",G33,Raw!M33="Cut-teardrop",N33,Raw!M33="Oval",H33,Raw!M33="Flat Circle",I33,Raw!M33="Oval to Circle",F33,Raw!M33="Circle",F33,AND(Raw!M33="Circle to Oval",isnumber(Raw!X33),isblank(Raw!Z33)),F33,Raw!M33="Hexagon",J33,Raw!M33="Septagon",K33,Raw!M33="Octagon",L33,Raw!M33="Nonagon",M33)</f>
        <v>346.4</v>
      </c>
      <c r="Q33" s="211">
        <f>if(AND(isnumber(Raw!BW33),isnumber(Raw!CJ33)),Raw!BW33+Raw!CJ33,Raw!CE33)</f>
        <v>360</v>
      </c>
      <c r="R33" s="126">
        <f>if(isnumber(Raw!CE33),Raw!CE33,)</f>
        <v>141</v>
      </c>
      <c r="S33" s="144">
        <f>if(isblank(Raw!AT33),Raw!AS33,Raw!AT33)</f>
        <v>407.5</v>
      </c>
      <c r="T33" s="145"/>
      <c r="U33" s="212">
        <f>ifs(istext(Raw!AT33),Raw!AT33,AND(Raw!AT33&gt;0,isblank(Raw!AS33)),Raw!AT33,1,Raw!AS33)</f>
        <v>450</v>
      </c>
      <c r="V33" s="144"/>
      <c r="W33" s="130"/>
      <c r="Y33" s="125" t="s">
        <v>123</v>
      </c>
      <c r="Z33" s="125" t="s">
        <v>123</v>
      </c>
      <c r="AA33" s="213">
        <f>ifs(AND(Raw!BH33=0,Raw!BK33&gt;0),Raw!BK33*Numbers!J$1,OR(iserror(AB33),Raw!BK33="NR"),"?",1,AB33*Raw!BH33+Raw!BK33*Numbers!J$1)</f>
        <v>8.971584019</v>
      </c>
      <c r="AB33" s="130">
        <f>(Raw!AY33*vlookup(Raw!AX33,Ores[],11,FALSE)+if(isblank(Raw!AZ33),0,Raw!BA33*vlookup(Raw!AZ33,Ores[],11,FALSE))+if(isblank(Raw!BB33),0,Raw!BC33*vlookup(Raw!BB33,Ores[],11,FALSE))+if(isblank(Raw!BD33),0,Raw!BE33*vlookup(Raw!BD33,Ores[],11,FALSE))+if(isblank(Raw!BF33),0,Raw!BG33*vlookup(Raw!BF33,Ores[],11,FALSE)))/Raw!BH33</f>
        <v>0.4984213344</v>
      </c>
      <c r="AC33" s="130">
        <f>if(AND(isblank(Raw!BK33),isblank(Raw!BM33),isnumber(Raw!CS33),Raw!CS33&gt;0),if(isnumber(Raw!BL33),Raw!CS33/Raw!BL33,Raw!BL33),)</f>
        <v>0.1111111111</v>
      </c>
      <c r="AD33" s="130" t="str">
        <f>if(AND(Raw!BK33&gt;0,isblank(Raw!BM33),isnumber(Raw!CS33),Raw!CS33&gt;0),if(isnumber(Raw!BL33),Raw!CS33/Raw!BL33,Raw!BL33),)</f>
        <v/>
      </c>
      <c r="AE33" s="130" t="str">
        <f>if(AND(isblank(Raw!BK33),Raw!BM33&gt;0,isnumber(Raw!CS33),Raw!CS33&gt;0),if(isnumber(Raw!BL33),Raw!CS33/Raw!BL33,Raw!BL33),)</f>
        <v/>
      </c>
      <c r="AF33" s="130" t="str">
        <f>if(AND(Raw!BK33&gt;0,Raw!BM33&gt;0,isnumber(Raw!CS33),Raw!CS33&gt;0),if(isnumber(Raw!BL33),Raw!CS33/Raw!BL33,Raw!BL33),)</f>
        <v/>
      </c>
      <c r="AG33" s="214" t="str">
        <f>if(AND(isblank(Raw!BK33),Raw!BM33&gt;0,isnumber(Raw!CS33),Raw!CS33&gt;0),Raw!BM33,)</f>
        <v/>
      </c>
      <c r="AH33" s="215">
        <f t="shared" si="8"/>
        <v>0.4984213344</v>
      </c>
      <c r="AI33" s="214" t="str">
        <f t="shared" ref="AI33:AK33" si="39">if(AND(AD33&gt;0,isnumber($AB33)),$AB33,)</f>
        <v/>
      </c>
      <c r="AJ33" s="214" t="str">
        <f t="shared" si="39"/>
        <v/>
      </c>
      <c r="AK33" s="214" t="str">
        <f t="shared" si="39"/>
        <v/>
      </c>
      <c r="AL33" s="214" t="str">
        <f>if(AND(Raw!BK33&gt;0,isblank(Raw!BM33),isnumber(Raw!CS33),Raw!CS33&gt;0),Raw!BK33,)</f>
        <v/>
      </c>
      <c r="AM33" s="214" t="str">
        <f>if(AND(Raw!BK33&gt;0,Raw!BM33&gt;0,isnumber(Raw!CS33),Raw!CS33&gt;0),Raw!BM33,)</f>
        <v/>
      </c>
      <c r="AN33" s="214" t="str">
        <f>if(AND(Raw!BK33&gt;0,Raw!BM33&gt;0,isnumber(Raw!CS33),Raw!CS33&gt;0),Raw!BK33,)</f>
        <v/>
      </c>
      <c r="AO33" s="214" t="str">
        <f t="array" ref="AO33">if(Raw!H33="Vinland",max(AO$1:indirect("AO"&amp;(row()-1)))+1,)</f>
        <v/>
      </c>
      <c r="AP33" s="214" t="str">
        <f t="array" ref="AP33">if(Raw!H33="Icelandic",max(AP$1:indirect("AP"&amp;(row()-1)))+1,)</f>
        <v/>
      </c>
      <c r="AQ33" s="214" t="str">
        <f t="array" ref="AQ33">if(Raw!H33="Turf-to-Tools",max(AQ$1:indirect("AQ"&amp;(row()-1)))+1,)</f>
        <v/>
      </c>
      <c r="AR33" s="216">
        <f>IFS(OR(iserror(Raw!BP33),iserror(Raw!BQ33)),"NR",OR(Raw!BP33="?",Raw!BQ33="?"),"?",1,(Raw!BP33+Raw!BQ33)*Raw!BH33/100)</f>
        <v>2.839882698</v>
      </c>
      <c r="AS33" s="214"/>
      <c r="AT33" s="214"/>
      <c r="AU33" s="214"/>
      <c r="AV33" s="214"/>
      <c r="AW33" s="214"/>
      <c r="AX33" s="214"/>
      <c r="AY33" s="214"/>
    </row>
    <row r="34">
      <c r="A34" s="126">
        <f>Raw!A34</f>
        <v>33</v>
      </c>
      <c r="B34" s="208">
        <f>if(isnumber(O34),if(isblank(Raw!Z34),O34,concatenate(O34," (E)")),"ERROR")</f>
        <v>490.9</v>
      </c>
      <c r="C34" s="174">
        <f>ifs(Raw!S34="NR","NR",isblank(O34),"ERROR",1,O34*Raw!S34)</f>
        <v>14727</v>
      </c>
      <c r="D34" s="209" t="str">
        <f>ifs(AND(isnumber(Raw!X34),isnumber(Raw!Y34)),Raw!X34-Raw!Y34, AND(isnumber(Raw!U34),isnumber(Raw!V34)),Raw!U34-Raw!V34,1,)</f>
        <v/>
      </c>
      <c r="E34" s="209">
        <f>IFS(isnumber(Raw!X34),Raw!X34/2,isnumber(Raw!U34),Raw!U34/2,1,)</f>
        <v>12.5</v>
      </c>
      <c r="F34" s="209">
        <f t="shared" si="2"/>
        <v>490.9</v>
      </c>
      <c r="G34" s="209" t="str">
        <f>if(and(isnumber(Raw!U34),isnumber(Raw!V34)),round(Raw!U34*Raw!V34,1),)</f>
        <v/>
      </c>
      <c r="H34" s="209" t="str">
        <f>if(and(isnumber(Raw!U34),isnumber(Raw!V34)),round(pi()*Raw!U34/2*Raw!V34/2,1),)</f>
        <v/>
      </c>
      <c r="I34" s="210">
        <f t="shared" si="3"/>
        <v>490.9</v>
      </c>
      <c r="J34" s="209">
        <f t="shared" si="4"/>
        <v>541.3</v>
      </c>
      <c r="K34" s="209">
        <f t="shared" si="5"/>
        <v>526.7</v>
      </c>
      <c r="L34" s="209">
        <f t="shared" si="6"/>
        <v>517.8</v>
      </c>
      <c r="M34" s="209">
        <f t="shared" si="7"/>
        <v>511.8</v>
      </c>
      <c r="N34" s="210" t="str">
        <f>if(and(isnumber(Raw!U34),isnumber(Raw!V34),isnumber(Raw!W34)),0.5*Pi()*(Raw!V34/2)^2+(Raw!W34*(Raw!U34-0.5*Raw!V34))+2*((Raw!V34-Raw!W34)/2*(Raw!U34-0.5*Raw!V34)),)</f>
        <v/>
      </c>
      <c r="O34" s="174">
        <f>ifs(Raw!M34="Rectangle",G34,Raw!M34="Cut-teardrop",N34,Raw!M34="Oval",H34,Raw!M34="Flat Circle",I34,Raw!M34="Oval to Circle",F34,Raw!M34="Circle",F34,AND(Raw!M34="Circle to Oval",isnumber(Raw!X34),isblank(Raw!Z34)),F34,Raw!M34="Hexagon",J34,Raw!M34="Septagon",K34,Raw!M34="Octagon",L34,Raw!M34="Nonagon",M34)</f>
        <v>490.9</v>
      </c>
      <c r="Q34" s="211">
        <f>if(AND(isnumber(Raw!BW34),isnumber(Raw!CJ34)),Raw!BW34+Raw!CJ34,Raw!CE34)</f>
        <v>63</v>
      </c>
      <c r="R34" s="126">
        <f>if(isnumber(Raw!CE34),Raw!CE34,)</f>
        <v>63</v>
      </c>
      <c r="S34" s="144">
        <f>if(isblank(Raw!AT34),Raw!AS34,Raw!AT34)</f>
        <v>1000</v>
      </c>
      <c r="T34" s="145"/>
      <c r="U34" s="212">
        <f>ifs(istext(Raw!AT34),Raw!AT34,AND(Raw!AT34&gt;0,isblank(Raw!AS34)),Raw!AT34,1,Raw!AS34)</f>
        <v>1000</v>
      </c>
      <c r="V34" s="144"/>
      <c r="W34" s="130"/>
      <c r="Z34" s="125" t="s">
        <v>123</v>
      </c>
      <c r="AA34" s="213">
        <f>ifs(AND(Raw!BH34=0,Raw!BK34&gt;0),Raw!BK34*Numbers!J$1,OR(iserror(AB34),Raw!BK34="NR"),"?",1,AB34*Raw!BH34+Raw!BK34*Numbers!J$1)</f>
        <v>8.34071183</v>
      </c>
      <c r="AB34" s="130">
        <f>(Raw!AY34*vlookup(Raw!AX34,Ores[],11,FALSE)+if(isblank(Raw!AZ34),0,Raw!BA34*vlookup(Raw!AZ34,Ores[],11,FALSE))+if(isblank(Raw!BB34),0,Raw!BC34*vlookup(Raw!BB34,Ores[],11,FALSE))+if(isblank(Raw!BD34),0,Raw!BE34*vlookup(Raw!BD34,Ores[],11,FALSE))+if(isblank(Raw!BF34),0,Raw!BG34*vlookup(Raw!BF34,Ores[],11,FALSE)))/Raw!BH34</f>
        <v>0.6415932177</v>
      </c>
      <c r="AC34" s="130" t="str">
        <f>if(AND(isblank(Raw!BK34),isblank(Raw!BM34),isnumber(Raw!CS34),Raw!CS34&gt;0),if(isnumber(Raw!BL34),Raw!CS34/Raw!BL34,Raw!BL34),)</f>
        <v/>
      </c>
      <c r="AD34" s="130" t="str">
        <f>if(AND(Raw!BK34&gt;0,isblank(Raw!BM34),isnumber(Raw!CS34),Raw!CS34&gt;0),if(isnumber(Raw!BL34),Raw!CS34/Raw!BL34,Raw!BL34),)</f>
        <v/>
      </c>
      <c r="AE34" s="130" t="str">
        <f>if(AND(isblank(Raw!BK34),Raw!BM34&gt;0,isnumber(Raw!CS34),Raw!CS34&gt;0),if(isnumber(Raw!BL34),Raw!CS34/Raw!BL34,Raw!BL34),)</f>
        <v/>
      </c>
      <c r="AF34" s="130" t="str">
        <f>if(AND(Raw!BK34&gt;0,Raw!BM34&gt;0,isnumber(Raw!CS34),Raw!CS34&gt;0),if(isnumber(Raw!BL34),Raw!CS34/Raw!BL34,Raw!BL34),)</f>
        <v/>
      </c>
      <c r="AG34" s="214" t="str">
        <f>if(AND(isblank(Raw!BK34),Raw!BM34&gt;0,isnumber(Raw!CS34),Raw!CS34&gt;0),Raw!BM34,)</f>
        <v/>
      </c>
      <c r="AH34" s="214" t="str">
        <f t="shared" si="8"/>
        <v/>
      </c>
      <c r="AI34" s="214" t="str">
        <f t="shared" ref="AI34:AK34" si="40">if(AND(AD34&gt;0,isnumber($AB34)),$AB34,)</f>
        <v/>
      </c>
      <c r="AJ34" s="214" t="str">
        <f t="shared" si="40"/>
        <v/>
      </c>
      <c r="AK34" s="214" t="str">
        <f t="shared" si="40"/>
        <v/>
      </c>
      <c r="AL34" s="214" t="str">
        <f>if(AND(Raw!BK34&gt;0,isblank(Raw!BM34),isnumber(Raw!CS34),Raw!CS34&gt;0),Raw!BK34,)</f>
        <v/>
      </c>
      <c r="AM34" s="214" t="str">
        <f>if(AND(Raw!BK34&gt;0,Raw!BM34&gt;0,isnumber(Raw!CS34),Raw!CS34&gt;0),Raw!BM34,)</f>
        <v/>
      </c>
      <c r="AN34" s="214" t="str">
        <f>if(AND(Raw!BK34&gt;0,Raw!BM34&gt;0,isnumber(Raw!CS34),Raw!CS34&gt;0),Raw!BK34,)</f>
        <v/>
      </c>
      <c r="AO34" s="214" t="str">
        <f t="array" ref="AO34">if(Raw!H34="Vinland",max(AO$1:indirect("AO"&amp;(row()-1)))+1,)</f>
        <v/>
      </c>
      <c r="AP34" s="214" t="str">
        <f t="array" ref="AP34">if(Raw!H34="Icelandic",max(AP$1:indirect("AP"&amp;(row()-1)))+1,)</f>
        <v/>
      </c>
      <c r="AQ34" s="214" t="str">
        <f t="array" ref="AQ34">if(Raw!H34="Turf-to-Tools",max(AQ$1:indirect("AQ"&amp;(row()-1)))+1,)</f>
        <v/>
      </c>
      <c r="AR34" s="216">
        <f>IFS(OR(iserror(Raw!BP34),iserror(Raw!BQ34)),"NR",OR(Raw!BP34="?",Raw!BQ34="?"),"?",1,(Raw!BP34+Raw!BQ34)*Raw!BH34/100)</f>
        <v>2.43</v>
      </c>
      <c r="AS34" s="214"/>
      <c r="AT34" s="214"/>
      <c r="AU34" s="214"/>
      <c r="AV34" s="214"/>
      <c r="AW34" s="214"/>
      <c r="AX34" s="214"/>
      <c r="AY34" s="214"/>
    </row>
    <row r="35">
      <c r="A35" s="126">
        <f>Raw!A35</f>
        <v>34</v>
      </c>
      <c r="B35" s="208">
        <f>if(isnumber(O35),if(isblank(Raw!Z35),O35,concatenate(O35," (E)")),"ERROR")</f>
        <v>490.9</v>
      </c>
      <c r="C35" s="174">
        <f>ifs(Raw!S35="NR","NR",isblank(O35),"ERROR",1,O35*Raw!S35)</f>
        <v>24545</v>
      </c>
      <c r="D35" s="209" t="str">
        <f>ifs(AND(isnumber(Raw!X35),isnumber(Raw!Y35)),Raw!X35-Raw!Y35, AND(isnumber(Raw!U35),isnumber(Raw!V35)),Raw!U35-Raw!V35,1,)</f>
        <v/>
      </c>
      <c r="E35" s="209">
        <f>IFS(isnumber(Raw!X35),Raw!X35/2,isnumber(Raw!U35),Raw!U35/2,1,)</f>
        <v>12.5</v>
      </c>
      <c r="F35" s="209">
        <f t="shared" si="2"/>
        <v>490.9</v>
      </c>
      <c r="G35" s="209" t="str">
        <f>if(and(isnumber(Raw!U35),isnumber(Raw!V35)),round(Raw!U35*Raw!V35,1),)</f>
        <v/>
      </c>
      <c r="H35" s="209" t="str">
        <f>if(and(isnumber(Raw!U35),isnumber(Raw!V35)),round(pi()*Raw!U35/2*Raw!V35/2,1),)</f>
        <v/>
      </c>
      <c r="I35" s="210">
        <f t="shared" si="3"/>
        <v>490.9</v>
      </c>
      <c r="J35" s="209">
        <f t="shared" si="4"/>
        <v>541.3</v>
      </c>
      <c r="K35" s="209">
        <f t="shared" si="5"/>
        <v>526.7</v>
      </c>
      <c r="L35" s="209">
        <f t="shared" si="6"/>
        <v>517.8</v>
      </c>
      <c r="M35" s="209">
        <f t="shared" si="7"/>
        <v>511.8</v>
      </c>
      <c r="N35" s="210" t="str">
        <f>if(and(isnumber(Raw!U35),isnumber(Raw!V35),isnumber(Raw!W35)),0.5*Pi()*(Raw!V35/2)^2+(Raw!W35*(Raw!U35-0.5*Raw!V35))+2*((Raw!V35-Raw!W35)/2*(Raw!U35-0.5*Raw!V35)),)</f>
        <v/>
      </c>
      <c r="O35" s="174">
        <f>ifs(Raw!M35="Rectangle",G35,Raw!M35="Cut-teardrop",N35,Raw!M35="Oval",H35,Raw!M35="Flat Circle",I35,Raw!M35="Oval to Circle",F35,Raw!M35="Circle",F35,AND(Raw!M35="Circle to Oval",isnumber(Raw!X35),isblank(Raw!Z35)),F35,Raw!M35="Hexagon",J35,Raw!M35="Septagon",K35,Raw!M35="Octagon",L35,Raw!M35="Nonagon",M35)</f>
        <v>490.9</v>
      </c>
      <c r="Q35" s="211">
        <f>if(AND(isnumber(Raw!BW35),isnumber(Raw!CJ35)),Raw!BW35+Raw!CJ35,Raw!CE35)</f>
        <v>165</v>
      </c>
      <c r="R35" s="126">
        <f>if(isnumber(Raw!CE35),Raw!CE35,)</f>
        <v>42</v>
      </c>
      <c r="S35" s="144">
        <f>if(isblank(Raw!AT35),Raw!AS35,Raw!AT35)</f>
        <v>1000</v>
      </c>
      <c r="T35" s="145"/>
      <c r="U35" s="212">
        <f>ifs(istext(Raw!AT35),Raw!AT35,AND(Raw!AT35&gt;0,isblank(Raw!AS35)),Raw!AT35,1,Raw!AS35)</f>
        <v>1000</v>
      </c>
      <c r="V35" s="144"/>
      <c r="W35" s="130"/>
      <c r="Z35" s="125" t="s">
        <v>123</v>
      </c>
      <c r="AA35" s="213" t="str">
        <f>ifs(AND(Raw!BH35=0,Raw!BK35&gt;0),Raw!BK35*Numbers!J$1,OR(iserror(AB35),Raw!BK35="NR"),"?",1,AB35*Raw!BH35+Raw!BK35*Numbers!J$1)</f>
        <v>?</v>
      </c>
      <c r="AB35" s="130" t="str">
        <f>(Raw!AY35*vlookup(Raw!AX35,Ores[],11,FALSE)+if(isblank(Raw!AZ35),0,Raw!BA35*vlookup(Raw!AZ35,Ores[],11,FALSE))+if(isblank(Raw!BB35),0,Raw!BC35*vlookup(Raw!BB35,Ores[],11,FALSE))+if(isblank(Raw!BD35),0,Raw!BE35*vlookup(Raw!BD35,Ores[],11,FALSE))+if(isblank(Raw!BF35),0,Raw!BG35*vlookup(Raw!BF35,Ores[],11,FALSE)))/Raw!BH35</f>
        <v>#VALUE!</v>
      </c>
      <c r="AC35" s="130" t="str">
        <f>if(AND(isblank(Raw!BK35),isblank(Raw!BM35),isnumber(Raw!CS35),Raw!CS35&gt;0),if(isnumber(Raw!BL35),Raw!CS35/Raw!BL35,Raw!BL35),)</f>
        <v/>
      </c>
      <c r="AD35" s="130" t="str">
        <f>if(AND(Raw!BK35&gt;0,isblank(Raw!BM35),isnumber(Raw!CS35),Raw!CS35&gt;0),if(isnumber(Raw!BL35),Raw!CS35/Raw!BL35,Raw!BL35),)</f>
        <v/>
      </c>
      <c r="AE35" s="130" t="str">
        <f>if(AND(isblank(Raw!BK35),Raw!BM35&gt;0,isnumber(Raw!CS35),Raw!CS35&gt;0),if(isnumber(Raw!BL35),Raw!CS35/Raw!BL35,Raw!BL35),)</f>
        <v/>
      </c>
      <c r="AF35" s="130" t="str">
        <f>if(AND(Raw!BK35&gt;0,Raw!BM35&gt;0,isnumber(Raw!CS35),Raw!CS35&gt;0),if(isnumber(Raw!BL35),Raw!CS35/Raw!BL35,Raw!BL35),)</f>
        <v/>
      </c>
      <c r="AG35" s="214" t="str">
        <f>if(AND(isblank(Raw!BK35),Raw!BM35&gt;0,isnumber(Raw!CS35),Raw!CS35&gt;0),Raw!BM35,)</f>
        <v/>
      </c>
      <c r="AH35" s="214" t="str">
        <f t="shared" si="8"/>
        <v/>
      </c>
      <c r="AI35" s="214" t="str">
        <f t="shared" ref="AI35:AK35" si="41">if(AND(AD35&gt;0,isnumber($AB35)),$AB35,)</f>
        <v/>
      </c>
      <c r="AJ35" s="214" t="str">
        <f t="shared" si="41"/>
        <v/>
      </c>
      <c r="AK35" s="214" t="str">
        <f t="shared" si="41"/>
        <v/>
      </c>
      <c r="AL35" s="214" t="str">
        <f>if(AND(Raw!BK35&gt;0,isblank(Raw!BM35),isnumber(Raw!CS35),Raw!CS35&gt;0),Raw!BK35,)</f>
        <v/>
      </c>
      <c r="AM35" s="214" t="str">
        <f>if(AND(Raw!BK35&gt;0,Raw!BM35&gt;0,isnumber(Raw!CS35),Raw!CS35&gt;0),Raw!BM35,)</f>
        <v/>
      </c>
      <c r="AN35" s="214" t="str">
        <f>if(AND(Raw!BK35&gt;0,Raw!BM35&gt;0,isnumber(Raw!CS35),Raw!CS35&gt;0),Raw!BK35,)</f>
        <v/>
      </c>
      <c r="AO35" s="214" t="str">
        <f t="array" ref="AO35">if(Raw!H35="Vinland",max(AO$1:indirect("AO"&amp;(row()-1)))+1,)</f>
        <v/>
      </c>
      <c r="AP35" s="214" t="str">
        <f t="array" ref="AP35">if(Raw!H35="Icelandic",max(AP$1:indirect("AP"&amp;(row()-1)))+1,)</f>
        <v/>
      </c>
      <c r="AQ35" s="214" t="str">
        <f t="array" ref="AQ35">if(Raw!H35="Turf-to-Tools",max(AQ$1:indirect("AQ"&amp;(row()-1)))+1,)</f>
        <v/>
      </c>
      <c r="AR35" s="216">
        <f>IFS(OR(iserror(Raw!BP35),iserror(Raw!BQ35)),"NR",OR(Raw!BP35="?",Raw!BQ35="?"),"?",1,(Raw!BP35+Raw!BQ35)*Raw!BH35/100)</f>
        <v>0</v>
      </c>
      <c r="AS35" s="214"/>
      <c r="AT35" s="214"/>
      <c r="AU35" s="214"/>
      <c r="AV35" s="214"/>
      <c r="AW35" s="214"/>
      <c r="AX35" s="214"/>
      <c r="AY35" s="214"/>
    </row>
    <row r="36">
      <c r="A36" s="126">
        <f>Raw!A36</f>
        <v>35</v>
      </c>
      <c r="B36" s="208">
        <f>if(isnumber(O36),if(isblank(Raw!Z36),O36,concatenate(O36," (E)")),"ERROR")</f>
        <v>490.9</v>
      </c>
      <c r="C36" s="174">
        <f>ifs(Raw!S36="NR","NR",isblank(O36),"ERROR",1,O36*Raw!S36)</f>
        <v>41726.5</v>
      </c>
      <c r="D36" s="209" t="str">
        <f>ifs(AND(isnumber(Raw!X36),isnumber(Raw!Y36)),Raw!X36-Raw!Y36, AND(isnumber(Raw!U36),isnumber(Raw!V36)),Raw!U36-Raw!V36,1,)</f>
        <v/>
      </c>
      <c r="E36" s="209">
        <f>IFS(isnumber(Raw!X36),Raw!X36/2,isnumber(Raw!U36),Raw!U36/2,1,)</f>
        <v>12.5</v>
      </c>
      <c r="F36" s="209">
        <f t="shared" si="2"/>
        <v>490.9</v>
      </c>
      <c r="G36" s="209" t="str">
        <f>if(and(isnumber(Raw!U36),isnumber(Raw!V36)),round(Raw!U36*Raw!V36,1),)</f>
        <v/>
      </c>
      <c r="H36" s="209" t="str">
        <f>if(and(isnumber(Raw!U36),isnumber(Raw!V36)),round(pi()*Raw!U36/2*Raw!V36/2,1),)</f>
        <v/>
      </c>
      <c r="I36" s="210">
        <f t="shared" si="3"/>
        <v>490.9</v>
      </c>
      <c r="J36" s="209">
        <f t="shared" si="4"/>
        <v>541.3</v>
      </c>
      <c r="K36" s="209">
        <f t="shared" si="5"/>
        <v>526.7</v>
      </c>
      <c r="L36" s="209">
        <f t="shared" si="6"/>
        <v>517.8</v>
      </c>
      <c r="M36" s="209">
        <f t="shared" si="7"/>
        <v>511.8</v>
      </c>
      <c r="N36" s="210" t="str">
        <f>if(and(isnumber(Raw!U36),isnumber(Raw!V36),isnumber(Raw!W36)),0.5*Pi()*(Raw!V36/2)^2+(Raw!W36*(Raw!U36-0.5*Raw!V36))+2*((Raw!V36-Raw!W36)/2*(Raw!U36-0.5*Raw!V36)),)</f>
        <v/>
      </c>
      <c r="O36" s="174">
        <f>ifs(Raw!M36="Rectangle",G36,Raw!M36="Cut-teardrop",N36,Raw!M36="Oval",H36,Raw!M36="Flat Circle",I36,Raw!M36="Oval to Circle",F36,Raw!M36="Circle",F36,AND(Raw!M36="Circle to Oval",isnumber(Raw!X36),isblank(Raw!Z36)),F36,Raw!M36="Hexagon",J36,Raw!M36="Septagon",K36,Raw!M36="Octagon",L36,Raw!M36="Nonagon",M36)</f>
        <v>490.9</v>
      </c>
      <c r="Q36" s="211">
        <f>if(AND(isnumber(Raw!BW36),isnumber(Raw!CJ36)),Raw!BW36+Raw!CJ36,Raw!CE36)</f>
        <v>353</v>
      </c>
      <c r="R36" s="126">
        <f>if(isnumber(Raw!CE36),Raw!CE36,)</f>
        <v>154</v>
      </c>
      <c r="S36" s="144">
        <f>if(isblank(Raw!AT36),Raw!AS36,Raw!AT36)</f>
        <v>1000</v>
      </c>
      <c r="T36" s="145"/>
      <c r="U36" s="212">
        <f>ifs(istext(Raw!AT36),Raw!AT36,AND(Raw!AT36&gt;0,isblank(Raw!AS36)),Raw!AT36,1,Raw!AS36)</f>
        <v>1000</v>
      </c>
      <c r="V36" s="144"/>
      <c r="W36" s="130"/>
      <c r="Z36" s="125" t="s">
        <v>123</v>
      </c>
      <c r="AA36" s="213" t="str">
        <f>ifs(AND(Raw!BH36=0,Raw!BK36&gt;0),Raw!BK36*Numbers!J$1,OR(iserror(AB36),Raw!BK36="NR"),"?",1,AB36*Raw!BH36+Raw!BK36*Numbers!J$1)</f>
        <v>?</v>
      </c>
      <c r="AB36" s="130" t="str">
        <f>(Raw!AY36*vlookup(Raw!AX36,Ores[],11,FALSE)+if(isblank(Raw!AZ36),0,Raw!BA36*vlookup(Raw!AZ36,Ores[],11,FALSE))+if(isblank(Raw!BB36),0,Raw!BC36*vlookup(Raw!BB36,Ores[],11,FALSE))+if(isblank(Raw!BD36),0,Raw!BE36*vlookup(Raw!BD36,Ores[],11,FALSE))+if(isblank(Raw!BF36),0,Raw!BG36*vlookup(Raw!BF36,Ores[],11,FALSE)))/Raw!BH36</f>
        <v>#VALUE!</v>
      </c>
      <c r="AC36" s="130">
        <f>if(AND(isblank(Raw!BK36),isblank(Raw!BM36),isnumber(Raw!CS36),Raw!CS36&gt;0),if(isnumber(Raw!BL36),Raw!CS36/Raw!BL36,Raw!BL36),)</f>
        <v>0.1184210526</v>
      </c>
      <c r="AD36" s="130" t="str">
        <f>if(AND(Raw!BK36&gt;0,isblank(Raw!BM36),isnumber(Raw!CS36),Raw!CS36&gt;0),if(isnumber(Raw!BL36),Raw!CS36/Raw!BL36,Raw!BL36),)</f>
        <v/>
      </c>
      <c r="AE36" s="130" t="str">
        <f>if(AND(isblank(Raw!BK36),Raw!BM36&gt;0,isnumber(Raw!CS36),Raw!CS36&gt;0),if(isnumber(Raw!BL36),Raw!CS36/Raw!BL36,Raw!BL36),)</f>
        <v/>
      </c>
      <c r="AF36" s="130" t="str">
        <f>if(AND(Raw!BK36&gt;0,Raw!BM36&gt;0,isnumber(Raw!CS36),Raw!CS36&gt;0),if(isnumber(Raw!BL36),Raw!CS36/Raw!BL36,Raw!BL36),)</f>
        <v/>
      </c>
      <c r="AG36" s="214" t="str">
        <f>if(AND(isblank(Raw!BK36),Raw!BM36&gt;0,isnumber(Raw!CS36),Raw!CS36&gt;0),Raw!BM36,)</f>
        <v/>
      </c>
      <c r="AH36" s="214" t="str">
        <f t="shared" si="8"/>
        <v/>
      </c>
      <c r="AI36" s="214" t="str">
        <f t="shared" ref="AI36:AK36" si="42">if(AND(AD36&gt;0,isnumber($AB36)),$AB36,)</f>
        <v/>
      </c>
      <c r="AJ36" s="214" t="str">
        <f t="shared" si="42"/>
        <v/>
      </c>
      <c r="AK36" s="214" t="str">
        <f t="shared" si="42"/>
        <v/>
      </c>
      <c r="AL36" s="214" t="str">
        <f>if(AND(Raw!BK36&gt;0,isblank(Raw!BM36),isnumber(Raw!CS36),Raw!CS36&gt;0),Raw!BK36,)</f>
        <v/>
      </c>
      <c r="AM36" s="214" t="str">
        <f>if(AND(Raw!BK36&gt;0,Raw!BM36&gt;0,isnumber(Raw!CS36),Raw!CS36&gt;0),Raw!BM36,)</f>
        <v/>
      </c>
      <c r="AN36" s="214" t="str">
        <f>if(AND(Raw!BK36&gt;0,Raw!BM36&gt;0,isnumber(Raw!CS36),Raw!CS36&gt;0),Raw!BK36,)</f>
        <v/>
      </c>
      <c r="AO36" s="214" t="str">
        <f t="array" ref="AO36">if(Raw!H36="Vinland",max(AO$1:indirect("AO"&amp;(row()-1)))+1,)</f>
        <v/>
      </c>
      <c r="AP36" s="214" t="str">
        <f t="array" ref="AP36">if(Raw!H36="Icelandic",max(AP$1:indirect("AP"&amp;(row()-1)))+1,)</f>
        <v/>
      </c>
      <c r="AQ36" s="214" t="str">
        <f t="array" ref="AQ36">if(Raw!H36="Turf-to-Tools",max(AQ$1:indirect("AQ"&amp;(row()-1)))+1,)</f>
        <v/>
      </c>
      <c r="AR36" s="216">
        <f>IFS(OR(iserror(Raw!BP36),iserror(Raw!BQ36)),"NR",OR(Raw!BP36="?",Raw!BQ36="?"),"?",1,(Raw!BP36+Raw!BQ36)*Raw!BH36/100)</f>
        <v>3.538</v>
      </c>
      <c r="AS36" s="214"/>
      <c r="AT36" s="214"/>
      <c r="AU36" s="214"/>
      <c r="AV36" s="214"/>
      <c r="AW36" s="214"/>
      <c r="AX36" s="214"/>
      <c r="AY36" s="214"/>
    </row>
    <row r="37">
      <c r="A37" s="126" t="str">
        <f>Raw!A37</f>
        <v>36 / D15</v>
      </c>
      <c r="B37" s="208">
        <f>if(isnumber(O37),if(isblank(Raw!Z37),O37,concatenate(O37," (E)")),"ERROR")</f>
        <v>469.7</v>
      </c>
      <c r="C37" s="174">
        <f>ifs(Raw!S37="NR","NR",isblank(O37),"ERROR",1,O37*Raw!S37)</f>
        <v>22075.9</v>
      </c>
      <c r="D37" s="209">
        <f>ifs(AND(isnumber(Raw!X37),isnumber(Raw!Y37)),Raw!X37-Raw!Y37, AND(isnumber(Raw!U37),isnumber(Raw!V37)),Raw!U37-Raw!V37,1,)</f>
        <v>3</v>
      </c>
      <c r="E37" s="209">
        <f>IFS(isnumber(Raw!X37),Raw!X37/2,isnumber(Raw!U37),Raw!U37/2,1,)</f>
        <v>13</v>
      </c>
      <c r="F37" s="209">
        <f t="shared" si="2"/>
        <v>530.9</v>
      </c>
      <c r="G37" s="209">
        <f>if(and(isnumber(Raw!U37),isnumber(Raw!V37)),round(Raw!U37*Raw!V37,1),)</f>
        <v>598</v>
      </c>
      <c r="H37" s="209">
        <f>if(and(isnumber(Raw!U37),isnumber(Raw!V37)),round(pi()*Raw!U37/2*Raw!V37/2,1),)</f>
        <v>469.7</v>
      </c>
      <c r="I37" s="210">
        <f t="shared" si="3"/>
        <v>496.8222142</v>
      </c>
      <c r="J37" s="209">
        <f t="shared" si="4"/>
        <v>585.4</v>
      </c>
      <c r="K37" s="209">
        <f t="shared" si="5"/>
        <v>569.7</v>
      </c>
      <c r="L37" s="209">
        <f t="shared" si="6"/>
        <v>560</v>
      </c>
      <c r="M37" s="209">
        <f t="shared" si="7"/>
        <v>553.6</v>
      </c>
      <c r="N37" s="210" t="str">
        <f>if(and(isnumber(Raw!U37),isnumber(Raw!V37),isnumber(Raw!W37)),0.5*Pi()*(Raw!V37/2)^2+(Raw!W37*(Raw!U37-0.5*Raw!V37))+2*((Raw!V37-Raw!W37)/2*(Raw!U37-0.5*Raw!V37)),)</f>
        <v/>
      </c>
      <c r="O37" s="174">
        <f>ifs(Raw!M37="Rectangle",G37,Raw!M37="Cut-teardrop",N37,Raw!M37="Oval",H37,Raw!M37="Flat Circle",I37,Raw!M37="Oval to Circle",F37,Raw!M37="Circle",F37,AND(Raw!M37="Circle to Oval",isnumber(Raw!X37),isblank(Raw!Z37)),F37,Raw!M37="Hexagon",J37,Raw!M37="Septagon",K37,Raw!M37="Octagon",L37,Raw!M37="Nonagon",M37)</f>
        <v>469.7</v>
      </c>
      <c r="Q37" s="211">
        <f>if(AND(isnumber(Raw!BW37),isnumber(Raw!CJ37)),Raw!BW37+Raw!CJ37,Raw!CE37)</f>
        <v>340</v>
      </c>
      <c r="R37" s="126">
        <f>if(isnumber(Raw!CE37),Raw!CE37,)</f>
        <v>111</v>
      </c>
      <c r="S37" s="144">
        <f>if(isblank(Raw!AT37),Raw!AS37,Raw!AT37)</f>
        <v>720</v>
      </c>
      <c r="T37" s="145"/>
      <c r="U37" s="212">
        <f>ifs(istext(Raw!AT37),Raw!AT37,AND(Raw!AT37&gt;0,isblank(Raw!AS37)),Raw!AT37,1,Raw!AS37)</f>
        <v>780</v>
      </c>
      <c r="V37" s="144"/>
      <c r="W37" s="130"/>
      <c r="Y37" s="125" t="s">
        <v>123</v>
      </c>
      <c r="Z37" s="125" t="s">
        <v>123</v>
      </c>
      <c r="AA37" s="213">
        <f>ifs(AND(Raw!BH37=0,Raw!BK37&gt;0),Raw!BK37*Numbers!J$1,OR(iserror(AB37),Raw!BK37="NR"),"?",1,AB37*Raw!BH37+Raw!BK37*Numbers!J$1)</f>
        <v>9.968426688</v>
      </c>
      <c r="AB37" s="130">
        <f>(Raw!AY37*vlookup(Raw!AX37,Ores[],11,FALSE)+if(isblank(Raw!AZ37),0,Raw!BA37*vlookup(Raw!AZ37,Ores[],11,FALSE))+if(isblank(Raw!BB37),0,Raw!BC37*vlookup(Raw!BB37,Ores[],11,FALSE))+if(isblank(Raw!BD37),0,Raw!BE37*vlookup(Raw!BD37,Ores[],11,FALSE))+if(isblank(Raw!BF37),0,Raw!BG37*vlookup(Raw!BF37,Ores[],11,FALSE)))/Raw!BH37</f>
        <v>0.4984213344</v>
      </c>
      <c r="AC37" s="130">
        <f>if(AND(isblank(Raw!BK37),isblank(Raw!BM37),isnumber(Raw!CS37),Raw!CS37&gt;0),if(isnumber(Raw!BL37),Raw!CS37/Raw!BL37,Raw!BL37),)</f>
        <v>0.095</v>
      </c>
      <c r="AD37" s="130" t="str">
        <f>if(AND(Raw!BK37&gt;0,isblank(Raw!BM37),isnumber(Raw!CS37),Raw!CS37&gt;0),if(isnumber(Raw!BL37),Raw!CS37/Raw!BL37,Raw!BL37),)</f>
        <v/>
      </c>
      <c r="AE37" s="130" t="str">
        <f>if(AND(isblank(Raw!BK37),Raw!BM37&gt;0,isnumber(Raw!CS37),Raw!CS37&gt;0),if(isnumber(Raw!BL37),Raw!CS37/Raw!BL37,Raw!BL37),)</f>
        <v/>
      </c>
      <c r="AF37" s="130" t="str">
        <f>if(AND(Raw!BK37&gt;0,Raw!BM37&gt;0,isnumber(Raw!CS37),Raw!CS37&gt;0),if(isnumber(Raw!BL37),Raw!CS37/Raw!BL37,Raw!BL37),)</f>
        <v/>
      </c>
      <c r="AG37" s="214" t="str">
        <f>if(AND(isblank(Raw!BK37),Raw!BM37&gt;0,isnumber(Raw!CS37),Raw!CS37&gt;0),Raw!BM37,)</f>
        <v/>
      </c>
      <c r="AH37" s="215">
        <f t="shared" si="8"/>
        <v>0.4984213344</v>
      </c>
      <c r="AI37" s="214" t="str">
        <f t="shared" ref="AI37:AK37" si="43">if(AND(AD37&gt;0,isnumber($AB37)),$AB37,)</f>
        <v/>
      </c>
      <c r="AJ37" s="214" t="str">
        <f t="shared" si="43"/>
        <v/>
      </c>
      <c r="AK37" s="214" t="str">
        <f t="shared" si="43"/>
        <v/>
      </c>
      <c r="AL37" s="214" t="str">
        <f>if(AND(Raw!BK37&gt;0,isblank(Raw!BM37),isnumber(Raw!CS37),Raw!CS37&gt;0),Raw!BK37,)</f>
        <v/>
      </c>
      <c r="AM37" s="214" t="str">
        <f>if(AND(Raw!BK37&gt;0,Raw!BM37&gt;0,isnumber(Raw!CS37),Raw!CS37&gt;0),Raw!BM37,)</f>
        <v/>
      </c>
      <c r="AN37" s="214" t="str">
        <f>if(AND(Raw!BK37&gt;0,Raw!BM37&gt;0,isnumber(Raw!CS37),Raw!CS37&gt;0),Raw!BK37,)</f>
        <v/>
      </c>
      <c r="AO37" s="214" t="str">
        <f t="array" ref="AO37">if(Raw!H37="Vinland",max(AO$1:indirect("AO"&amp;(row()-1)))+1,)</f>
        <v/>
      </c>
      <c r="AP37" s="214" t="str">
        <f t="array" ref="AP37">if(Raw!H37="Icelandic",max(AP$1:indirect("AP"&amp;(row()-1)))+1,)</f>
        <v/>
      </c>
      <c r="AQ37" s="214" t="str">
        <f t="array" ref="AQ37">if(Raw!H37="Turf-to-Tools",max(AQ$1:indirect("AQ"&amp;(row()-1)))+1,)</f>
        <v/>
      </c>
      <c r="AR37" s="216">
        <f>IFS(OR(iserror(Raw!BP37),iserror(Raw!BQ37)),"NR",OR(Raw!BP37="?",Raw!BQ37="?"),"?",1,(Raw!BP37+Raw!BQ37)*Raw!BH37/100)</f>
        <v>3.15542522</v>
      </c>
      <c r="AS37" s="214"/>
      <c r="AT37" s="214"/>
      <c r="AU37" s="214"/>
      <c r="AV37" s="214"/>
      <c r="AW37" s="214"/>
      <c r="AX37" s="214"/>
      <c r="AY37" s="214"/>
    </row>
    <row r="38">
      <c r="A38" s="126">
        <f>Raw!A38</f>
        <v>37</v>
      </c>
      <c r="B38" s="208">
        <f>if(isnumber(O38),if(isblank(Raw!Z38),O38,concatenate(O38," (E)")),"ERROR")</f>
        <v>490.9</v>
      </c>
      <c r="C38" s="174">
        <f>ifs(Raw!S38="NR","NR",isblank(O38),"ERROR",1,O38*Raw!S38)</f>
        <v>22090.5</v>
      </c>
      <c r="D38" s="209" t="str">
        <f>ifs(AND(isnumber(Raw!X38),isnumber(Raw!Y38)),Raw!X38-Raw!Y38, AND(isnumber(Raw!U38),isnumber(Raw!V38)),Raw!U38-Raw!V38,1,)</f>
        <v/>
      </c>
      <c r="E38" s="209">
        <f>IFS(isnumber(Raw!X38),Raw!X38/2,isnumber(Raw!U38),Raw!U38/2,1,)</f>
        <v>12.5</v>
      </c>
      <c r="F38" s="209">
        <f t="shared" si="2"/>
        <v>490.9</v>
      </c>
      <c r="G38" s="209" t="str">
        <f>if(and(isnumber(Raw!U38),isnumber(Raw!V38)),round(Raw!U38*Raw!V38,1),)</f>
        <v/>
      </c>
      <c r="H38" s="209" t="str">
        <f>if(and(isnumber(Raw!U38),isnumber(Raw!V38)),round(pi()*Raw!U38/2*Raw!V38/2,1),)</f>
        <v/>
      </c>
      <c r="I38" s="210">
        <f t="shared" si="3"/>
        <v>490.9</v>
      </c>
      <c r="J38" s="209">
        <f t="shared" si="4"/>
        <v>541.3</v>
      </c>
      <c r="K38" s="209">
        <f t="shared" si="5"/>
        <v>526.7</v>
      </c>
      <c r="L38" s="209">
        <f t="shared" si="6"/>
        <v>517.8</v>
      </c>
      <c r="M38" s="209">
        <f t="shared" si="7"/>
        <v>511.8</v>
      </c>
      <c r="N38" s="210" t="str">
        <f>if(and(isnumber(Raw!U38),isnumber(Raw!V38),isnumber(Raw!W38)),0.5*Pi()*(Raw!V38/2)^2+(Raw!W38*(Raw!U38-0.5*Raw!V38))+2*((Raw!V38-Raw!W38)/2*(Raw!U38-0.5*Raw!V38)),)</f>
        <v/>
      </c>
      <c r="O38" s="174">
        <f>ifs(Raw!M38="Rectangle",G38,Raw!M38="Cut-teardrop",N38,Raw!M38="Oval",H38,Raw!M38="Flat Circle",I38,Raw!M38="Oval to Circle",F38,Raw!M38="Circle",F38,AND(Raw!M38="Circle to Oval",isnumber(Raw!X38),isblank(Raw!Z38)),F38,Raw!M38="Hexagon",J38,Raw!M38="Septagon",K38,Raw!M38="Octagon",L38,Raw!M38="Nonagon",M38)</f>
        <v>490.9</v>
      </c>
      <c r="Q38" s="211">
        <f>if(AND(isnumber(Raw!BW38),isnumber(Raw!CJ38)),Raw!BW38+Raw!CJ38,Raw!CE38)</f>
        <v>410</v>
      </c>
      <c r="R38" s="126">
        <f>if(isnumber(Raw!CE38),Raw!CE38,)</f>
        <v>219</v>
      </c>
      <c r="S38" s="144">
        <f>if(isblank(Raw!AT38),Raw!AS38,Raw!AT38)</f>
        <v>800</v>
      </c>
      <c r="T38" s="145"/>
      <c r="U38" s="212">
        <f>ifs(istext(Raw!AT38),Raw!AT38,AND(Raw!AT38&gt;0,isblank(Raw!AS38)),Raw!AT38,1,Raw!AS38)</f>
        <v>800</v>
      </c>
      <c r="V38" s="144"/>
      <c r="W38" s="130"/>
      <c r="Z38" s="125" t="s">
        <v>123</v>
      </c>
      <c r="AA38" s="213">
        <f>ifs(AND(Raw!BH38=0,Raw!BK38&gt;0),Raw!BK38*Numbers!J$1,OR(iserror(AB38),Raw!BK38="NR"),"?",1,AB38*Raw!BH38+Raw!BK38*Numbers!J$1)</f>
        <v>18.03985808</v>
      </c>
      <c r="AB38" s="130">
        <f>(Raw!AY38*vlookup(Raw!AX38,Ores[],11,FALSE)+if(isblank(Raw!AZ38),0,Raw!BA38*vlookup(Raw!AZ38,Ores[],11,FALSE))+if(isblank(Raw!BB38),0,Raw!BC38*vlookup(Raw!BB38,Ores[],11,FALSE))+if(isblank(Raw!BD38),0,Raw!BE38*vlookup(Raw!BD38,Ores[],11,FALSE))+if(isblank(Raw!BF38),0,Raw!BG38*vlookup(Raw!BF38,Ores[],11,FALSE)))/Raw!BH38</f>
        <v>0.5198806365</v>
      </c>
      <c r="AC38" s="130">
        <f>if(AND(isblank(Raw!BK38),isblank(Raw!BM38),isnumber(Raw!CS38),Raw!CS38&gt;0),if(isnumber(Raw!BL38),Raw!CS38/Raw!BL38,Raw!BL38),)</f>
        <v>0.2737752161</v>
      </c>
      <c r="AD38" s="130" t="str">
        <f>if(AND(Raw!BK38&gt;0,isblank(Raw!BM38),isnumber(Raw!CS38),Raw!CS38&gt;0),if(isnumber(Raw!BL38),Raw!CS38/Raw!BL38,Raw!BL38),)</f>
        <v/>
      </c>
      <c r="AE38" s="130" t="str">
        <f>if(AND(isblank(Raw!BK38),Raw!BM38&gt;0,isnumber(Raw!CS38),Raw!CS38&gt;0),if(isnumber(Raw!BL38),Raw!CS38/Raw!BL38,Raw!BL38),)</f>
        <v/>
      </c>
      <c r="AF38" s="130" t="str">
        <f>if(AND(Raw!BK38&gt;0,Raw!BM38&gt;0,isnumber(Raw!CS38),Raw!CS38&gt;0),if(isnumber(Raw!BL38),Raw!CS38/Raw!BL38,Raw!BL38),)</f>
        <v/>
      </c>
      <c r="AG38" s="214" t="str">
        <f>if(AND(isblank(Raw!BK38),Raw!BM38&gt;0,isnumber(Raw!CS38),Raw!CS38&gt;0),Raw!BM38,)</f>
        <v/>
      </c>
      <c r="AH38" s="215">
        <f t="shared" si="8"/>
        <v>0.5198806365</v>
      </c>
      <c r="AI38" s="214" t="str">
        <f t="shared" ref="AI38:AK38" si="44">if(AND(AD38&gt;0,isnumber($AB38)),$AB38,)</f>
        <v/>
      </c>
      <c r="AJ38" s="214" t="str">
        <f t="shared" si="44"/>
        <v/>
      </c>
      <c r="AK38" s="214" t="str">
        <f t="shared" si="44"/>
        <v/>
      </c>
      <c r="AL38" s="214" t="str">
        <f>if(AND(Raw!BK38&gt;0,isblank(Raw!BM38),isnumber(Raw!CS38),Raw!CS38&gt;0),Raw!BK38,)</f>
        <v/>
      </c>
      <c r="AM38" s="214" t="str">
        <f>if(AND(Raw!BK38&gt;0,Raw!BM38&gt;0,isnumber(Raw!CS38),Raw!CS38&gt;0),Raw!BM38,)</f>
        <v/>
      </c>
      <c r="AN38" s="214" t="str">
        <f>if(AND(Raw!BK38&gt;0,Raw!BM38&gt;0,isnumber(Raw!CS38),Raw!CS38&gt;0),Raw!BK38,)</f>
        <v/>
      </c>
      <c r="AO38" s="214" t="str">
        <f t="array" ref="AO38">if(Raw!H38="Vinland",max(AO$1:indirect("AO"&amp;(row()-1)))+1,)</f>
        <v/>
      </c>
      <c r="AP38" s="214" t="str">
        <f t="array" ref="AP38">if(Raw!H38="Icelandic",max(AP$1:indirect("AP"&amp;(row()-1)))+1,)</f>
        <v/>
      </c>
      <c r="AQ38" s="214" t="str">
        <f t="array" ref="AQ38">if(Raw!H38="Turf-to-Tools",max(AQ$1:indirect("AQ"&amp;(row()-1)))+1,)</f>
        <v/>
      </c>
      <c r="AR38" s="216">
        <f>IFS(OR(iserror(Raw!BP38),iserror(Raw!BQ38)),"NR",OR(Raw!BP38="?",Raw!BQ38="?"),"?",1,(Raw!BP38+Raw!BQ38)*Raw!BH38/100)</f>
        <v>1.30755</v>
      </c>
      <c r="AS38" s="214"/>
      <c r="AT38" s="214"/>
      <c r="AU38" s="214"/>
      <c r="AV38" s="214"/>
      <c r="AW38" s="214"/>
      <c r="AX38" s="214"/>
      <c r="AY38" s="214"/>
    </row>
    <row r="39">
      <c r="A39" s="126" t="str">
        <f>Raw!A39</f>
        <v>38 / D16</v>
      </c>
      <c r="B39" s="208">
        <f>if(isnumber(O39),if(isblank(Raw!Z39),O39,concatenate(O39," (E)")),"ERROR")</f>
        <v>380.1</v>
      </c>
      <c r="C39" s="174">
        <f>ifs(Raw!S39="NR","NR",isblank(O39),"ERROR",1,O39*Raw!S39)</f>
        <v>14063.7</v>
      </c>
      <c r="D39" s="209" t="str">
        <f>ifs(AND(isnumber(Raw!X39),isnumber(Raw!Y39)),Raw!X39-Raw!Y39, AND(isnumber(Raw!U39),isnumber(Raw!V39)),Raw!U39-Raw!V39,1,)</f>
        <v/>
      </c>
      <c r="E39" s="209">
        <f>IFS(isnumber(Raw!X39),Raw!X39/2,isnumber(Raw!U39),Raw!U39/2,1,)</f>
        <v>11</v>
      </c>
      <c r="F39" s="209">
        <f t="shared" si="2"/>
        <v>380.1</v>
      </c>
      <c r="G39" s="209" t="str">
        <f>if(and(isnumber(Raw!U39),isnumber(Raw!V39)),round(Raw!U39*Raw!V39,1),)</f>
        <v/>
      </c>
      <c r="H39" s="209" t="str">
        <f>if(and(isnumber(Raw!U39),isnumber(Raw!V39)),round(pi()*Raw!U39/2*Raw!V39/2,1),)</f>
        <v/>
      </c>
      <c r="I39" s="210">
        <f t="shared" si="3"/>
        <v>380.1</v>
      </c>
      <c r="J39" s="209">
        <f t="shared" si="4"/>
        <v>419.2</v>
      </c>
      <c r="K39" s="209">
        <f t="shared" si="5"/>
        <v>407.9</v>
      </c>
      <c r="L39" s="209">
        <f t="shared" si="6"/>
        <v>401</v>
      </c>
      <c r="M39" s="209">
        <f t="shared" si="7"/>
        <v>396.4</v>
      </c>
      <c r="N39" s="210" t="str">
        <f>if(and(isnumber(Raw!U39),isnumber(Raw!V39),isnumber(Raw!W39)),0.5*Pi()*(Raw!V39/2)^2+(Raw!W39*(Raw!U39-0.5*Raw!V39))+2*((Raw!V39-Raw!W39)/2*(Raw!U39-0.5*Raw!V39)),)</f>
        <v/>
      </c>
      <c r="O39" s="174">
        <f>ifs(Raw!M39="Rectangle",G39,Raw!M39="Cut-teardrop",N39,Raw!M39="Oval",H39,Raw!M39="Flat Circle",I39,Raw!M39="Oval to Circle",F39,Raw!M39="Circle",F39,AND(Raw!M39="Circle to Oval",isnumber(Raw!X39),isblank(Raw!Z39)),F39,Raw!M39="Hexagon",J39,Raw!M39="Septagon",K39,Raw!M39="Octagon",L39,Raw!M39="Nonagon",M39)</f>
        <v>380.1</v>
      </c>
      <c r="Q39" s="211">
        <f>if(AND(isnumber(Raw!BW39),isnumber(Raw!CJ39)),Raw!BW39+Raw!CJ39,Raw!CE39)</f>
        <v>247</v>
      </c>
      <c r="R39" s="126">
        <f>if(isnumber(Raw!CE39),Raw!CE39,)</f>
        <v>247</v>
      </c>
      <c r="S39" s="144">
        <f>if(isblank(Raw!AT39),Raw!AS39,Raw!AT39)</f>
        <v>682.5</v>
      </c>
      <c r="T39" s="145"/>
      <c r="U39" s="212">
        <f>ifs(istext(Raw!AT39),Raw!AT39,AND(Raw!AT39&gt;0,isblank(Raw!AS39)),Raw!AT39,1,Raw!AS39)</f>
        <v>740</v>
      </c>
      <c r="V39" s="144"/>
      <c r="W39" s="130"/>
      <c r="Y39" s="125" t="s">
        <v>123</v>
      </c>
      <c r="Z39" s="125" t="s">
        <v>123</v>
      </c>
      <c r="AA39" s="213">
        <f>ifs(AND(Raw!BH39=0,Raw!BK39&gt;0),Raw!BK39*Numbers!J$1,OR(iserror(AB39),Raw!BK39="NR"),"?",1,AB39*Raw!BH39+Raw!BK39*Numbers!J$1)</f>
        <v>13.43760367</v>
      </c>
      <c r="AB39" s="130">
        <f>(Raw!AY39*vlookup(Raw!AX39,Ores[],11,FALSE)+if(isblank(Raw!AZ39),0,Raw!BA39*vlookup(Raw!AZ39,Ores[],11,FALSE))+if(isblank(Raw!BB39),0,Raw!BC39*vlookup(Raw!BB39,Ores[],11,FALSE))+if(isblank(Raw!BD39),0,Raw!BE39*vlookup(Raw!BD39,Ores[],11,FALSE))+if(isblank(Raw!BF39),0,Raw!BG39*vlookup(Raw!BF39,Ores[],11,FALSE)))/Raw!BH39</f>
        <v>0.584243638</v>
      </c>
      <c r="AC39" s="130">
        <f>if(AND(isblank(Raw!BK39),isblank(Raw!BM39),isnumber(Raw!CS39),Raw!CS39&gt;0),if(isnumber(Raw!BL39),Raw!CS39/Raw!BL39,Raw!BL39),)</f>
        <v>0.2130434783</v>
      </c>
      <c r="AD39" s="130" t="str">
        <f>if(AND(Raw!BK39&gt;0,isblank(Raw!BM39),isnumber(Raw!CS39),Raw!CS39&gt;0),if(isnumber(Raw!BL39),Raw!CS39/Raw!BL39,Raw!BL39),)</f>
        <v/>
      </c>
      <c r="AE39" s="130" t="str">
        <f>if(AND(isblank(Raw!BK39),Raw!BM39&gt;0,isnumber(Raw!CS39),Raw!CS39&gt;0),if(isnumber(Raw!BL39),Raw!CS39/Raw!BL39,Raw!BL39),)</f>
        <v/>
      </c>
      <c r="AF39" s="130" t="str">
        <f>if(AND(Raw!BK39&gt;0,Raw!BM39&gt;0,isnumber(Raw!CS39),Raw!CS39&gt;0),if(isnumber(Raw!BL39),Raw!CS39/Raw!BL39,Raw!BL39),)</f>
        <v/>
      </c>
      <c r="AG39" s="214" t="str">
        <f>if(AND(isblank(Raw!BK39),Raw!BM39&gt;0,isnumber(Raw!CS39),Raw!CS39&gt;0),Raw!BM39,)</f>
        <v/>
      </c>
      <c r="AH39" s="215">
        <f t="shared" si="8"/>
        <v>0.584243638</v>
      </c>
      <c r="AI39" s="214" t="str">
        <f t="shared" ref="AI39:AK39" si="45">if(AND(AD39&gt;0,isnumber($AB39)),$AB39,)</f>
        <v/>
      </c>
      <c r="AJ39" s="214" t="str">
        <f t="shared" si="45"/>
        <v/>
      </c>
      <c r="AK39" s="214" t="str">
        <f t="shared" si="45"/>
        <v/>
      </c>
      <c r="AL39" s="214" t="str">
        <f>if(AND(Raw!BK39&gt;0,isblank(Raw!BM39),isnumber(Raw!CS39),Raw!CS39&gt;0),Raw!BK39,)</f>
        <v/>
      </c>
      <c r="AM39" s="214" t="str">
        <f>if(AND(Raw!BK39&gt;0,Raw!BM39&gt;0,isnumber(Raw!CS39),Raw!CS39&gt;0),Raw!BM39,)</f>
        <v/>
      </c>
      <c r="AN39" s="214" t="str">
        <f>if(AND(Raw!BK39&gt;0,Raw!BM39&gt;0,isnumber(Raw!CS39),Raw!CS39&gt;0),Raw!BK39,)</f>
        <v/>
      </c>
      <c r="AO39" s="214" t="str">
        <f t="array" ref="AO39">if(Raw!H39="Vinland",max(AO$1:indirect("AO"&amp;(row()-1)))+1,)</f>
        <v/>
      </c>
      <c r="AP39" s="214">
        <f t="array" ref="AP39">if(Raw!H39="Icelandic",max(AP$1:indirect("AP"&amp;(row()-1)))+1,)</f>
        <v>3</v>
      </c>
      <c r="AQ39" s="214" t="str">
        <f t="array" ref="AQ39">if(Raw!H39="Turf-to-Tools",max(AQ$1:indirect("AQ"&amp;(row()-1)))+1,)</f>
        <v/>
      </c>
      <c r="AR39" s="216">
        <f>IFS(OR(iserror(Raw!BP39),iserror(Raw!BQ39)),"NR",OR(Raw!BP39="?",Raw!BQ39="?"),"?",1,(Raw!BP39+Raw!BQ39)*Raw!BH39/100)</f>
        <v>2.3587</v>
      </c>
      <c r="AS39" s="214"/>
      <c r="AT39" s="214"/>
      <c r="AU39" s="214"/>
      <c r="AV39" s="214"/>
      <c r="AW39" s="214"/>
      <c r="AX39" s="214"/>
      <c r="AY39" s="214"/>
    </row>
    <row r="40">
      <c r="A40" s="126" t="str">
        <f>Raw!A40</f>
        <v>39 / D17</v>
      </c>
      <c r="B40" s="208">
        <f>if(isnumber(O40),if(isblank(Raw!Z40),O40,concatenate(O40," (E)")),"ERROR")</f>
        <v>490.1</v>
      </c>
      <c r="C40" s="174">
        <f>ifs(Raw!S40="NR","NR",isblank(O40),"ERROR",1,O40*Raw!S40)</f>
        <v>20584.2</v>
      </c>
      <c r="D40" s="209">
        <f>ifs(AND(isnumber(Raw!X40),isnumber(Raw!Y40)),Raw!X40-Raw!Y40, AND(isnumber(Raw!U40),isnumber(Raw!V40)),Raw!U40-Raw!V40,1,)</f>
        <v>2</v>
      </c>
      <c r="E40" s="209">
        <f>IFS(isnumber(Raw!X40),Raw!X40/2,isnumber(Raw!U40),Raw!U40/2,1,)</f>
        <v>13</v>
      </c>
      <c r="F40" s="209">
        <f t="shared" si="2"/>
        <v>530.9</v>
      </c>
      <c r="G40" s="209">
        <f>if(and(isnumber(Raw!U40),isnumber(Raw!V40)),round(Raw!U40*Raw!V40,1),)</f>
        <v>624</v>
      </c>
      <c r="H40" s="209">
        <f>if(and(isnumber(Raw!U40),isnumber(Raw!V40)),round(pi()*Raw!U40/2*Raw!V40/2,1),)</f>
        <v>490.1</v>
      </c>
      <c r="I40" s="210">
        <f t="shared" si="3"/>
        <v>512.1204388</v>
      </c>
      <c r="J40" s="209">
        <f t="shared" si="4"/>
        <v>585.4</v>
      </c>
      <c r="K40" s="209">
        <f t="shared" si="5"/>
        <v>569.7</v>
      </c>
      <c r="L40" s="209">
        <f t="shared" si="6"/>
        <v>560</v>
      </c>
      <c r="M40" s="209">
        <f t="shared" si="7"/>
        <v>553.6</v>
      </c>
      <c r="N40" s="210" t="str">
        <f>if(and(isnumber(Raw!U40),isnumber(Raw!V40),isnumber(Raw!W40)),0.5*Pi()*(Raw!V40/2)^2+(Raw!W40*(Raw!U40-0.5*Raw!V40))+2*((Raw!V40-Raw!W40)/2*(Raw!U40-0.5*Raw!V40)),)</f>
        <v/>
      </c>
      <c r="O40" s="174">
        <f>ifs(Raw!M40="Rectangle",G40,Raw!M40="Cut-teardrop",N40,Raw!M40="Oval",H40,Raw!M40="Flat Circle",I40,Raw!M40="Oval to Circle",F40,Raw!M40="Circle",F40,AND(Raw!M40="Circle to Oval",isnumber(Raw!X40),isblank(Raw!Z40)),F40,Raw!M40="Hexagon",J40,Raw!M40="Septagon",K40,Raw!M40="Octagon",L40,Raw!M40="Nonagon",M40)</f>
        <v>490.1</v>
      </c>
      <c r="Q40" s="211">
        <f>if(AND(isnumber(Raw!BW40),isnumber(Raw!CJ40)),Raw!BW40+Raw!CJ40,Raw!CE40)</f>
        <v>458</v>
      </c>
      <c r="R40" s="126">
        <f>if(isnumber(Raw!CE40),Raw!CE40,)</f>
        <v>203</v>
      </c>
      <c r="S40" s="144">
        <f>if(isblank(Raw!AT40),Raw!AS40,Raw!AT40)</f>
        <v>700</v>
      </c>
      <c r="T40" s="145"/>
      <c r="U40" s="212">
        <f>ifs(istext(Raw!AT40),Raw!AT40,AND(Raw!AT40&gt;0,isblank(Raw!AS40)),Raw!AT40,1,Raw!AS40)</f>
        <v>1000</v>
      </c>
      <c r="V40" s="144"/>
      <c r="W40" s="130"/>
      <c r="Y40" s="125" t="s">
        <v>123</v>
      </c>
      <c r="Z40" s="125" t="s">
        <v>123</v>
      </c>
      <c r="AA40" s="213">
        <f>ifs(AND(Raw!BH40=0,Raw!BK40&gt;0),Raw!BK40*Numbers!J$1,OR(iserror(AB40),Raw!BK40="NR"),"?",1,AB40*Raw!BH40+Raw!BK40*Numbers!J$1)</f>
        <v>14.38468888</v>
      </c>
      <c r="AB40" s="130">
        <f>(Raw!AY40*vlookup(Raw!AX40,Ores[],11,FALSE)+if(isblank(Raw!AZ40),0,Raw!BA40*vlookup(Raw!AZ40,Ores[],11,FALSE))+if(isblank(Raw!BB40),0,Raw!BC40*vlookup(Raw!BB40,Ores[],11,FALSE))+if(isblank(Raw!BD40),0,Raw!BE40*vlookup(Raw!BD40,Ores[],11,FALSE))+if(isblank(Raw!BF40),0,Raw!BG40*vlookup(Raw!BF40,Ores[],11,FALSE)))/Raw!BH40</f>
        <v>0.6043986924</v>
      </c>
      <c r="AC40" s="130">
        <f>if(AND(isblank(Raw!BK40),isblank(Raw!BM40),isnumber(Raw!CS40),Raw!CS40&gt;0),if(isnumber(Raw!BL40),Raw!CS40/Raw!BL40,Raw!BL40),)</f>
        <v>0.1365546218</v>
      </c>
      <c r="AD40" s="130" t="str">
        <f>if(AND(Raw!BK40&gt;0,isblank(Raw!BM40),isnumber(Raw!CS40),Raw!CS40&gt;0),if(isnumber(Raw!BL40),Raw!CS40/Raw!BL40,Raw!BL40),)</f>
        <v/>
      </c>
      <c r="AE40" s="130" t="str">
        <f>if(AND(isblank(Raw!BK40),Raw!BM40&gt;0,isnumber(Raw!CS40),Raw!CS40&gt;0),if(isnumber(Raw!BL40),Raw!CS40/Raw!BL40,Raw!BL40),)</f>
        <v/>
      </c>
      <c r="AF40" s="130" t="str">
        <f>if(AND(Raw!BK40&gt;0,Raw!BM40&gt;0,isnumber(Raw!CS40),Raw!CS40&gt;0),if(isnumber(Raw!BL40),Raw!CS40/Raw!BL40,Raw!BL40),)</f>
        <v/>
      </c>
      <c r="AG40" s="214" t="str">
        <f>if(AND(isblank(Raw!BK40),Raw!BM40&gt;0,isnumber(Raw!CS40),Raw!CS40&gt;0),Raw!BM40,)</f>
        <v/>
      </c>
      <c r="AH40" s="215">
        <f t="shared" si="8"/>
        <v>0.6043986924</v>
      </c>
      <c r="AI40" s="214" t="str">
        <f t="shared" ref="AI40:AK40" si="46">if(AND(AD40&gt;0,isnumber($AB40)),$AB40,)</f>
        <v/>
      </c>
      <c r="AJ40" s="214" t="str">
        <f t="shared" si="46"/>
        <v/>
      </c>
      <c r="AK40" s="214" t="str">
        <f t="shared" si="46"/>
        <v/>
      </c>
      <c r="AL40" s="214" t="str">
        <f>if(AND(Raw!BK40&gt;0,isblank(Raw!BM40),isnumber(Raw!CS40),Raw!CS40&gt;0),Raw!BK40,)</f>
        <v/>
      </c>
      <c r="AM40" s="214" t="str">
        <f>if(AND(Raw!BK40&gt;0,Raw!BM40&gt;0,isnumber(Raw!CS40),Raw!CS40&gt;0),Raw!BM40,)</f>
        <v/>
      </c>
      <c r="AN40" s="214" t="str">
        <f>if(AND(Raw!BK40&gt;0,Raw!BM40&gt;0,isnumber(Raw!CS40),Raw!CS40&gt;0),Raw!BK40,)</f>
        <v/>
      </c>
      <c r="AO40" s="214" t="str">
        <f t="array" ref="AO40">if(Raw!H40="Vinland",max(AO$1:indirect("AO"&amp;(row()-1)))+1,)</f>
        <v/>
      </c>
      <c r="AP40" s="214">
        <f t="array" ref="AP40">if(Raw!H40="Icelandic",max(AP$1:indirect("AP"&amp;(row()-1)))+1,)</f>
        <v>4</v>
      </c>
      <c r="AQ40" s="214" t="str">
        <f t="array" ref="AQ40">if(Raw!H40="Turf-to-Tools",max(AQ$1:indirect("AQ"&amp;(row()-1)))+1,)</f>
        <v/>
      </c>
      <c r="AR40" s="216">
        <f>IFS(OR(iserror(Raw!BP40),iserror(Raw!BQ40)),"NR",OR(Raw!BP40="?",Raw!BQ40="?"),"?",1,(Raw!BP40+Raw!BQ40)*Raw!BH40/100)</f>
        <v>1.72732</v>
      </c>
      <c r="AS40" s="214"/>
      <c r="AT40" s="214"/>
      <c r="AU40" s="214"/>
      <c r="AV40" s="214"/>
      <c r="AW40" s="214"/>
      <c r="AX40" s="214"/>
      <c r="AY40" s="214"/>
    </row>
    <row r="41">
      <c r="A41" s="126" t="str">
        <f>Raw!A41</f>
        <v>40 / D18</v>
      </c>
      <c r="B41" s="208">
        <f>if(isnumber(O41),if(isblank(Raw!Z41),O41,concatenate(O41," (E)")),"ERROR")</f>
        <v>314.2</v>
      </c>
      <c r="C41" s="174">
        <f>ifs(Raw!S41="NR","NR",isblank(O41),"ERROR",1,O41*Raw!S41)</f>
        <v>14139</v>
      </c>
      <c r="D41" s="209" t="str">
        <f>ifs(AND(isnumber(Raw!X41),isnumber(Raw!Y41)),Raw!X41-Raw!Y41, AND(isnumber(Raw!U41),isnumber(Raw!V41)),Raw!U41-Raw!V41,1,)</f>
        <v/>
      </c>
      <c r="E41" s="209">
        <f>IFS(isnumber(Raw!X41),Raw!X41/2,isnumber(Raw!U41),Raw!U41/2,1,)</f>
        <v>10</v>
      </c>
      <c r="F41" s="209">
        <f t="shared" si="2"/>
        <v>314.2</v>
      </c>
      <c r="G41" s="209" t="str">
        <f>if(and(isnumber(Raw!U41),isnumber(Raw!V41)),round(Raw!U41*Raw!V41,1),)</f>
        <v/>
      </c>
      <c r="H41" s="209" t="str">
        <f>if(and(isnumber(Raw!U41),isnumber(Raw!V41)),round(pi()*Raw!U41/2*Raw!V41/2,1),)</f>
        <v/>
      </c>
      <c r="I41" s="210">
        <f t="shared" si="3"/>
        <v>314.2</v>
      </c>
      <c r="J41" s="209">
        <f t="shared" si="4"/>
        <v>346.4</v>
      </c>
      <c r="K41" s="209">
        <f t="shared" si="5"/>
        <v>337.1</v>
      </c>
      <c r="L41" s="209">
        <f t="shared" si="6"/>
        <v>331.4</v>
      </c>
      <c r="M41" s="209">
        <f t="shared" si="7"/>
        <v>327.6</v>
      </c>
      <c r="N41" s="210" t="str">
        <f>if(and(isnumber(Raw!U41),isnumber(Raw!V41),isnumber(Raw!W41)),0.5*Pi()*(Raw!V41/2)^2+(Raw!W41*(Raw!U41-0.5*Raw!V41))+2*((Raw!V41-Raw!W41)/2*(Raw!U41-0.5*Raw!V41)),)</f>
        <v/>
      </c>
      <c r="O41" s="174">
        <f>ifs(Raw!M41="Rectangle",G41,Raw!M41="Cut-teardrop",N41,Raw!M41="Oval",H41,Raw!M41="Flat Circle",I41,Raw!M41="Oval to Circle",F41,Raw!M41="Circle",F41,AND(Raw!M41="Circle to Oval",isnumber(Raw!X41),isblank(Raw!Z41)),F41,Raw!M41="Hexagon",J41,Raw!M41="Septagon",K41,Raw!M41="Octagon",L41,Raw!M41="Nonagon",M41)</f>
        <v>314.2</v>
      </c>
      <c r="Q41" s="211">
        <f>if(AND(isnumber(Raw!BW41),isnumber(Raw!CJ41)),Raw!BW41+Raw!CJ41,Raw!CE41)</f>
        <v>442</v>
      </c>
      <c r="R41" s="126">
        <f>if(isnumber(Raw!CE41),Raw!CE41,)</f>
        <v>151</v>
      </c>
      <c r="S41" s="144">
        <f>if(isblank(Raw!AT41),Raw!AS41,Raw!AT41)</f>
        <v>640</v>
      </c>
      <c r="T41" s="145"/>
      <c r="U41" s="212">
        <f>ifs(istext(Raw!AT41),Raw!AT41,AND(Raw!AT41&gt;0,isblank(Raw!AS41)),Raw!AT41,1,Raw!AS41)</f>
        <v>640</v>
      </c>
      <c r="V41" s="144"/>
      <c r="W41" s="130"/>
      <c r="Y41" s="125" t="s">
        <v>123</v>
      </c>
      <c r="Z41" s="125" t="s">
        <v>123</v>
      </c>
      <c r="AA41" s="213">
        <f>ifs(AND(Raw!BH41=0,Raw!BK41&gt;0),Raw!BK41*Numbers!J$1,OR(iserror(AB41),Raw!BK41="NR"),"?",1,AB41*Raw!BH41+Raw!BK41*Numbers!J$1)</f>
        <v>10.29605329</v>
      </c>
      <c r="AB41" s="130">
        <f>(Raw!AY41*vlookup(Raw!AX41,Ores[],11,FALSE)+if(isblank(Raw!AZ41),0,Raw!BA41*vlookup(Raw!AZ41,Ores[],11,FALSE))+if(isblank(Raw!BB41),0,Raw!BC41*vlookup(Raw!BB41,Ores[],11,FALSE))+if(isblank(Raw!BD41),0,Raw!BE41*vlookup(Raw!BD41,Ores[],11,FALSE))+if(isblank(Raw!BF41),0,Raw!BG41*vlookup(Raw!BF41,Ores[],11,FALSE)))/Raw!BH41</f>
        <v>0.5720029607</v>
      </c>
      <c r="AC41" s="130">
        <f>if(AND(isblank(Raw!BK41),isblank(Raw!BM41),isnumber(Raw!CS41),Raw!CS41&gt;0),if(isnumber(Raw!BL41),Raw!CS41/Raw!BL41,Raw!BL41),)</f>
        <v>0.2722222222</v>
      </c>
      <c r="AD41" s="130" t="str">
        <f>if(AND(Raw!BK41&gt;0,isblank(Raw!BM41),isnumber(Raw!CS41),Raw!CS41&gt;0),if(isnumber(Raw!BL41),Raw!CS41/Raw!BL41,Raw!BL41),)</f>
        <v/>
      </c>
      <c r="AE41" s="130" t="str">
        <f>if(AND(isblank(Raw!BK41),Raw!BM41&gt;0,isnumber(Raw!CS41),Raw!CS41&gt;0),if(isnumber(Raw!BL41),Raw!CS41/Raw!BL41,Raw!BL41),)</f>
        <v/>
      </c>
      <c r="AF41" s="130" t="str">
        <f>if(AND(Raw!BK41&gt;0,Raw!BM41&gt;0,isnumber(Raw!CS41),Raw!CS41&gt;0),if(isnumber(Raw!BL41),Raw!CS41/Raw!BL41,Raw!BL41),)</f>
        <v/>
      </c>
      <c r="AG41" s="214" t="str">
        <f>if(AND(isblank(Raw!BK41),Raw!BM41&gt;0,isnumber(Raw!CS41),Raw!CS41&gt;0),Raw!BM41,)</f>
        <v/>
      </c>
      <c r="AH41" s="215">
        <f t="shared" si="8"/>
        <v>0.5720029607</v>
      </c>
      <c r="AI41" s="214" t="str">
        <f t="shared" ref="AI41:AK41" si="47">if(AND(AD41&gt;0,isnumber($AB41)),$AB41,)</f>
        <v/>
      </c>
      <c r="AJ41" s="214" t="str">
        <f t="shared" si="47"/>
        <v/>
      </c>
      <c r="AK41" s="214" t="str">
        <f t="shared" si="47"/>
        <v/>
      </c>
      <c r="AL41" s="214" t="str">
        <f>if(AND(Raw!BK41&gt;0,isblank(Raw!BM41),isnumber(Raw!CS41),Raw!CS41&gt;0),Raw!BK41,)</f>
        <v/>
      </c>
      <c r="AM41" s="214" t="str">
        <f>if(AND(Raw!BK41&gt;0,Raw!BM41&gt;0,isnumber(Raw!CS41),Raw!CS41&gt;0),Raw!BM41,)</f>
        <v/>
      </c>
      <c r="AN41" s="214" t="str">
        <f>if(AND(Raw!BK41&gt;0,Raw!BM41&gt;0,isnumber(Raw!CS41),Raw!CS41&gt;0),Raw!BK41,)</f>
        <v/>
      </c>
      <c r="AO41" s="214">
        <f t="array" ref="AO41">if(Raw!H41="Vinland",max(AO$1:indirect("AO"&amp;(row()-1)))+1,)</f>
        <v>3</v>
      </c>
      <c r="AP41" s="214" t="str">
        <f t="array" ref="AP41">if(Raw!H41="Icelandic",max(AP$1:indirect("AP"&amp;(row()-1)))+1,)</f>
        <v/>
      </c>
      <c r="AQ41" s="214" t="str">
        <f t="array" ref="AQ41">if(Raw!H41="Turf-to-Tools",max(AQ$1:indirect("AQ"&amp;(row()-1)))+1,)</f>
        <v/>
      </c>
      <c r="AR41" s="216">
        <f>IFS(OR(iserror(Raw!BP41),iserror(Raw!BQ41)),"NR",OR(Raw!BP41="?",Raw!BQ41="?"),"?",1,(Raw!BP41+Raw!BQ41)*Raw!BH41/100)</f>
        <v>1.971</v>
      </c>
      <c r="AS41" s="214"/>
      <c r="AT41" s="214"/>
      <c r="AU41" s="214"/>
      <c r="AV41" s="214"/>
      <c r="AW41" s="214"/>
      <c r="AX41" s="214"/>
      <c r="AY41" s="214"/>
    </row>
    <row r="42">
      <c r="A42" s="126" t="str">
        <f>Raw!A42</f>
        <v>41 / D19</v>
      </c>
      <c r="B42" s="208">
        <f>if(isnumber(O42),if(isblank(Raw!Z42),O42,concatenate(O42," (E)")),"ERROR")</f>
        <v>314.2</v>
      </c>
      <c r="C42" s="174">
        <f>ifs(Raw!S42="NR","NR",isblank(O42),"ERROR",1,O42*Raw!S42)</f>
        <v>15081.6</v>
      </c>
      <c r="D42" s="209" t="str">
        <f>ifs(AND(isnumber(Raw!X42),isnumber(Raw!Y42)),Raw!X42-Raw!Y42, AND(isnumber(Raw!U42),isnumber(Raw!V42)),Raw!U42-Raw!V42,1,)</f>
        <v/>
      </c>
      <c r="E42" s="209">
        <f>IFS(isnumber(Raw!X42),Raw!X42/2,isnumber(Raw!U42),Raw!U42/2,1,)</f>
        <v>10</v>
      </c>
      <c r="F42" s="209">
        <f t="shared" si="2"/>
        <v>314.2</v>
      </c>
      <c r="G42" s="209" t="str">
        <f>if(and(isnumber(Raw!U42),isnumber(Raw!V42)),round(Raw!U42*Raw!V42,1),)</f>
        <v/>
      </c>
      <c r="H42" s="209" t="str">
        <f>if(and(isnumber(Raw!U42),isnumber(Raw!V42)),round(pi()*Raw!U42/2*Raw!V42/2,1),)</f>
        <v/>
      </c>
      <c r="I42" s="210">
        <f t="shared" si="3"/>
        <v>314.2</v>
      </c>
      <c r="J42" s="209">
        <f t="shared" si="4"/>
        <v>346.4</v>
      </c>
      <c r="K42" s="209">
        <f t="shared" si="5"/>
        <v>337.1</v>
      </c>
      <c r="L42" s="209">
        <f t="shared" si="6"/>
        <v>331.4</v>
      </c>
      <c r="M42" s="209">
        <f t="shared" si="7"/>
        <v>327.6</v>
      </c>
      <c r="N42" s="210" t="str">
        <f>if(and(isnumber(Raw!U42),isnumber(Raw!V42),isnumber(Raw!W42)),0.5*Pi()*(Raw!V42/2)^2+(Raw!W42*(Raw!U42-0.5*Raw!V42))+2*((Raw!V42-Raw!W42)/2*(Raw!U42-0.5*Raw!V42)),)</f>
        <v/>
      </c>
      <c r="O42" s="174">
        <f>ifs(Raw!M42="Rectangle",G42,Raw!M42="Cut-teardrop",N42,Raw!M42="Oval",H42,Raw!M42="Flat Circle",I42,Raw!M42="Oval to Circle",F42,Raw!M42="Circle",F42,AND(Raw!M42="Circle to Oval",isnumber(Raw!X42),isblank(Raw!Z42)),F42,Raw!M42="Hexagon",J42,Raw!M42="Septagon",K42,Raw!M42="Octagon",L42,Raw!M42="Nonagon",M42)</f>
        <v>314.2</v>
      </c>
      <c r="Q42" s="211">
        <f>if(AND(isnumber(Raw!BW42),isnumber(Raw!CJ42)),Raw!BW42+Raw!CJ42,Raw!CE42)</f>
        <v>425</v>
      </c>
      <c r="R42" s="126">
        <f>if(isnumber(Raw!CE42),Raw!CE42,)</f>
        <v>190</v>
      </c>
      <c r="S42" s="144">
        <f>if(isblank(Raw!AT42),Raw!AS42,Raw!AT42)</f>
        <v>900</v>
      </c>
      <c r="T42" s="145"/>
      <c r="U42" s="212">
        <f>ifs(istext(Raw!AT42),Raw!AT42,AND(Raw!AT42&gt;0,isblank(Raw!AS42)),Raw!AT42,1,Raw!AS42)</f>
        <v>900</v>
      </c>
      <c r="V42" s="144"/>
      <c r="W42" s="130"/>
      <c r="Y42" s="125" t="s">
        <v>123</v>
      </c>
      <c r="Z42" s="125" t="s">
        <v>123</v>
      </c>
      <c r="AA42" s="213">
        <f>ifs(AND(Raw!BH42=0,Raw!BK42&gt;0),Raw!BK42*Numbers!J$1,OR(iserror(AB42),Raw!BK42="NR"),"?",1,AB42*Raw!BH42+Raw!BK42*Numbers!J$1)</f>
        <v>12.55742295</v>
      </c>
      <c r="AB42" s="130">
        <f>(Raw!AY42*vlookup(Raw!AX42,Ores[],11,FALSE)+if(isblank(Raw!AZ42),0,Raw!BA42*vlookup(Raw!AZ42,Ores[],11,FALSE))+if(isblank(Raw!BB42),0,Raw!BC42*vlookup(Raw!BB42,Ores[],11,FALSE))+if(isblank(Raw!BD42),0,Raw!BE42*vlookup(Raw!BD42,Ores[],11,FALSE))+if(isblank(Raw!BF42),0,Raw!BG42*vlookup(Raw!BF42,Ores[],11,FALSE)))/Raw!BH42</f>
        <v>0.60663879</v>
      </c>
      <c r="AC42" s="130">
        <f>if(AND(isblank(Raw!BK42),isblank(Raw!BM42),isnumber(Raw!CS42),Raw!CS42&gt;0),if(isnumber(Raw!BL42),Raw!CS42/Raw!BL42,Raw!BL42),)</f>
        <v>0.270531401</v>
      </c>
      <c r="AD42" s="130" t="str">
        <f>if(AND(Raw!BK42&gt;0,isblank(Raw!BM42),isnumber(Raw!CS42),Raw!CS42&gt;0),if(isnumber(Raw!BL42),Raw!CS42/Raw!BL42,Raw!BL42),)</f>
        <v/>
      </c>
      <c r="AE42" s="130" t="str">
        <f>if(AND(isblank(Raw!BK42),Raw!BM42&gt;0,isnumber(Raw!CS42),Raw!CS42&gt;0),if(isnumber(Raw!BL42),Raw!CS42/Raw!BL42,Raw!BL42),)</f>
        <v/>
      </c>
      <c r="AF42" s="130" t="str">
        <f>if(AND(Raw!BK42&gt;0,Raw!BM42&gt;0,isnumber(Raw!CS42),Raw!CS42&gt;0),if(isnumber(Raw!BL42),Raw!CS42/Raw!BL42,Raw!BL42),)</f>
        <v/>
      </c>
      <c r="AG42" s="214" t="str">
        <f>if(AND(isblank(Raw!BK42),Raw!BM42&gt;0,isnumber(Raw!CS42),Raw!CS42&gt;0),Raw!BM42,)</f>
        <v/>
      </c>
      <c r="AH42" s="215">
        <f t="shared" si="8"/>
        <v>0.60663879</v>
      </c>
      <c r="AI42" s="214" t="str">
        <f t="shared" ref="AI42:AK42" si="48">if(AND(AD42&gt;0,isnumber($AB42)),$AB42,)</f>
        <v/>
      </c>
      <c r="AJ42" s="214" t="str">
        <f t="shared" si="48"/>
        <v/>
      </c>
      <c r="AK42" s="214" t="str">
        <f t="shared" si="48"/>
        <v/>
      </c>
      <c r="AL42" s="214" t="str">
        <f>if(AND(Raw!BK42&gt;0,isblank(Raw!BM42),isnumber(Raw!CS42),Raw!CS42&gt;0),Raw!BK42,)</f>
        <v/>
      </c>
      <c r="AM42" s="214" t="str">
        <f>if(AND(Raw!BK42&gt;0,Raw!BM42&gt;0,isnumber(Raw!CS42),Raw!CS42&gt;0),Raw!BM42,)</f>
        <v/>
      </c>
      <c r="AN42" s="214" t="str">
        <f>if(AND(Raw!BK42&gt;0,Raw!BM42&gt;0,isnumber(Raw!CS42),Raw!CS42&gt;0),Raw!BK42,)</f>
        <v/>
      </c>
      <c r="AO42" s="214">
        <f t="array" ref="AO42">if(Raw!H42="Vinland",max(AO$1:indirect("AO"&amp;(row()-1)))+1,)</f>
        <v>4</v>
      </c>
      <c r="AP42" s="214" t="str">
        <f t="array" ref="AP42">if(Raw!H42="Icelandic",max(AP$1:indirect("AP"&amp;(row()-1)))+1,)</f>
        <v/>
      </c>
      <c r="AQ42" s="214" t="str">
        <f t="array" ref="AQ42">if(Raw!H42="Turf-to-Tools",max(AQ$1:indirect("AQ"&amp;(row()-1)))+1,)</f>
        <v/>
      </c>
      <c r="AR42" s="216">
        <f>IFS(OR(iserror(Raw!BP42),iserror(Raw!BQ42)),"NR",OR(Raw!BP42="?",Raw!BQ42="?"),"?",1,(Raw!BP42+Raw!BQ42)*Raw!BH42/100)</f>
        <v>1.484667566</v>
      </c>
      <c r="AS42" s="214"/>
      <c r="AT42" s="214"/>
      <c r="AU42" s="214"/>
      <c r="AV42" s="214"/>
      <c r="AW42" s="214"/>
      <c r="AX42" s="214"/>
      <c r="AY42" s="214"/>
    </row>
    <row r="43">
      <c r="A43" s="126" t="str">
        <f>Raw!A43</f>
        <v>42 / D20</v>
      </c>
      <c r="B43" s="208">
        <f>if(isnumber(O43),if(isblank(Raw!Z43),O43,concatenate(O43," (E)")),"ERROR")</f>
        <v>380.1</v>
      </c>
      <c r="C43" s="174">
        <f>ifs(Raw!S43="NR","NR",isblank(O43),"ERROR",1,O43*Raw!S43)</f>
        <v>15204</v>
      </c>
      <c r="D43" s="209" t="str">
        <f>ifs(AND(isnumber(Raw!X43),isnumber(Raw!Y43)),Raw!X43-Raw!Y43, AND(isnumber(Raw!U43),isnumber(Raw!V43)),Raw!U43-Raw!V43,1,)</f>
        <v/>
      </c>
      <c r="E43" s="209">
        <f>IFS(isnumber(Raw!X43),Raw!X43/2,isnumber(Raw!U43),Raw!U43/2,1,)</f>
        <v>11</v>
      </c>
      <c r="F43" s="209">
        <f t="shared" si="2"/>
        <v>380.1</v>
      </c>
      <c r="G43" s="209" t="str">
        <f>if(and(isnumber(Raw!U43),isnumber(Raw!V43)),round(Raw!U43*Raw!V43,1),)</f>
        <v/>
      </c>
      <c r="H43" s="209" t="str">
        <f>if(and(isnumber(Raw!U43),isnumber(Raw!V43)),round(pi()*Raw!U43/2*Raw!V43/2,1),)</f>
        <v/>
      </c>
      <c r="I43" s="210">
        <f t="shared" si="3"/>
        <v>380.1</v>
      </c>
      <c r="J43" s="209">
        <f t="shared" si="4"/>
        <v>419.2</v>
      </c>
      <c r="K43" s="209">
        <f t="shared" si="5"/>
        <v>407.9</v>
      </c>
      <c r="L43" s="209">
        <f t="shared" si="6"/>
        <v>401</v>
      </c>
      <c r="M43" s="209">
        <f t="shared" si="7"/>
        <v>396.4</v>
      </c>
      <c r="N43" s="210" t="str">
        <f>if(and(isnumber(Raw!U43),isnumber(Raw!V43),isnumber(Raw!W43)),0.5*Pi()*(Raw!V43/2)^2+(Raw!W43*(Raw!U43-0.5*Raw!V43))+2*((Raw!V43-Raw!W43)/2*(Raw!U43-0.5*Raw!V43)),)</f>
        <v/>
      </c>
      <c r="O43" s="174">
        <f>ifs(Raw!M43="Rectangle",G43,Raw!M43="Cut-teardrop",N43,Raw!M43="Oval",H43,Raw!M43="Flat Circle",I43,Raw!M43="Oval to Circle",F43,Raw!M43="Circle",F43,AND(Raw!M43="Circle to Oval",isnumber(Raw!X43),isblank(Raw!Z43)),F43,Raw!M43="Hexagon",J43,Raw!M43="Septagon",K43,Raw!M43="Octagon",L43,Raw!M43="Nonagon",M43)</f>
        <v>380.1</v>
      </c>
      <c r="Q43" s="211">
        <f>if(AND(isnumber(Raw!BW43),isnumber(Raw!CJ43)),Raw!BW43+Raw!CJ43,Raw!CE43)</f>
        <v>375</v>
      </c>
      <c r="R43" s="126">
        <f>if(isnumber(Raw!CE43),Raw!CE43,)</f>
        <v>195</v>
      </c>
      <c r="S43" s="144">
        <f>if(isblank(Raw!AT43),Raw!AS43,Raw!AT43)</f>
        <v>700</v>
      </c>
      <c r="T43" s="145"/>
      <c r="U43" s="212">
        <f>ifs(istext(Raw!AT43),Raw!AT43,AND(Raw!AT43&gt;0,isblank(Raw!AS43)),Raw!AT43,1,Raw!AS43)</f>
        <v>700</v>
      </c>
      <c r="V43" s="144"/>
      <c r="W43" s="130"/>
      <c r="Y43" s="125" t="s">
        <v>123</v>
      </c>
      <c r="Z43" s="125" t="s">
        <v>123</v>
      </c>
      <c r="AA43" s="213">
        <f>ifs(AND(Raw!BH43=0,Raw!BK43&gt;0),Raw!BK43*Numbers!J$1,OR(iserror(AB43),Raw!BK43="NR"),"?",1,AB43*Raw!BH43+Raw!BK43*Numbers!J$1)</f>
        <v>10.29605329</v>
      </c>
      <c r="AB43" s="130">
        <f>(Raw!AY43*vlookup(Raw!AX43,Ores[],11,FALSE)+if(isblank(Raw!AZ43),0,Raw!BA43*vlookup(Raw!AZ43,Ores[],11,FALSE))+if(isblank(Raw!BB43),0,Raw!BC43*vlookup(Raw!BB43,Ores[],11,FALSE))+if(isblank(Raw!BD43),0,Raw!BE43*vlookup(Raw!BD43,Ores[],11,FALSE))+if(isblank(Raw!BF43),0,Raw!BG43*vlookup(Raw!BF43,Ores[],11,FALSE)))/Raw!BH43</f>
        <v>0.5720029607</v>
      </c>
      <c r="AC43" s="130">
        <f>if(AND(isblank(Raw!BK43),isblank(Raw!BM43),isnumber(Raw!CS43),Raw!CS43&gt;0),if(isnumber(Raw!BL43),Raw!CS43/Raw!BL43,Raw!BL43),)</f>
        <v>0.1611111111</v>
      </c>
      <c r="AD43" s="130" t="str">
        <f>if(AND(Raw!BK43&gt;0,isblank(Raw!BM43),isnumber(Raw!CS43),Raw!CS43&gt;0),if(isnumber(Raw!BL43),Raw!CS43/Raw!BL43,Raw!BL43),)</f>
        <v/>
      </c>
      <c r="AE43" s="130" t="str">
        <f>if(AND(isblank(Raw!BK43),Raw!BM43&gt;0,isnumber(Raw!CS43),Raw!CS43&gt;0),if(isnumber(Raw!BL43),Raw!CS43/Raw!BL43,Raw!BL43),)</f>
        <v/>
      </c>
      <c r="AF43" s="130" t="str">
        <f>if(AND(Raw!BK43&gt;0,Raw!BM43&gt;0,isnumber(Raw!CS43),Raw!CS43&gt;0),if(isnumber(Raw!BL43),Raw!CS43/Raw!BL43,Raw!BL43),)</f>
        <v/>
      </c>
      <c r="AG43" s="214" t="str">
        <f>if(AND(isblank(Raw!BK43),Raw!BM43&gt;0,isnumber(Raw!CS43),Raw!CS43&gt;0),Raw!BM43,)</f>
        <v/>
      </c>
      <c r="AH43" s="215">
        <f t="shared" si="8"/>
        <v>0.5720029607</v>
      </c>
      <c r="AI43" s="214" t="str">
        <f t="shared" ref="AI43:AK43" si="49">if(AND(AD43&gt;0,isnumber($AB43)),$AB43,)</f>
        <v/>
      </c>
      <c r="AJ43" s="214" t="str">
        <f t="shared" si="49"/>
        <v/>
      </c>
      <c r="AK43" s="214" t="str">
        <f t="shared" si="49"/>
        <v/>
      </c>
      <c r="AL43" s="214" t="str">
        <f>if(AND(Raw!BK43&gt;0,isblank(Raw!BM43),isnumber(Raw!CS43),Raw!CS43&gt;0),Raw!BK43,)</f>
        <v/>
      </c>
      <c r="AM43" s="214" t="str">
        <f>if(AND(Raw!BK43&gt;0,Raw!BM43&gt;0,isnumber(Raw!CS43),Raw!CS43&gt;0),Raw!BM43,)</f>
        <v/>
      </c>
      <c r="AN43" s="214" t="str">
        <f>if(AND(Raw!BK43&gt;0,Raw!BM43&gt;0,isnumber(Raw!CS43),Raw!CS43&gt;0),Raw!BK43,)</f>
        <v/>
      </c>
      <c r="AO43" s="214">
        <f t="array" ref="AO43">if(Raw!H43="Vinland",max(AO$1:indirect("AO"&amp;(row()-1)))+1,)</f>
        <v>5</v>
      </c>
      <c r="AP43" s="214" t="str">
        <f t="array" ref="AP43">if(Raw!H43="Icelandic",max(AP$1:indirect("AP"&amp;(row()-1)))+1,)</f>
        <v/>
      </c>
      <c r="AQ43" s="214" t="str">
        <f t="array" ref="AQ43">if(Raw!H43="Turf-to-Tools",max(AQ$1:indirect("AQ"&amp;(row()-1)))+1,)</f>
        <v/>
      </c>
      <c r="AR43" s="216">
        <f>IFS(OR(iserror(Raw!BP43),iserror(Raw!BQ43)),"NR",OR(Raw!BP43="?",Raw!BQ43="?"),"?",1,(Raw!BP43+Raw!BQ43)*Raw!BH43/100)</f>
        <v>1.971</v>
      </c>
      <c r="AS43" s="214"/>
      <c r="AT43" s="214"/>
      <c r="AU43" s="214"/>
      <c r="AV43" s="214"/>
      <c r="AW43" s="214"/>
      <c r="AX43" s="214"/>
      <c r="AY43" s="214"/>
    </row>
    <row r="44">
      <c r="A44" s="126" t="str">
        <f>Raw!A44</f>
        <v>43 / D21</v>
      </c>
      <c r="B44" s="208" t="str">
        <f>if(isnumber(O44),if(isblank(Raw!Z44),O44,concatenate(O44," (E)")),"ERROR")</f>
        <v>615.8 (E)</v>
      </c>
      <c r="C44" s="174">
        <f>ifs(Raw!S44="NR","NR",isblank(O44),"ERROR",1,O44*Raw!S44)</f>
        <v>29558.4</v>
      </c>
      <c r="D44" s="209">
        <f>ifs(AND(isnumber(Raw!X44),isnumber(Raw!Y44)),Raw!X44-Raw!Y44, AND(isnumber(Raw!U44),isnumber(Raw!V44)),Raw!U44-Raw!V44,1,)</f>
        <v>5</v>
      </c>
      <c r="E44" s="209">
        <f>IFS(isnumber(Raw!X44),Raw!X44/2,isnumber(Raw!U44),Raw!U44/2,1,)</f>
        <v>14</v>
      </c>
      <c r="F44" s="209">
        <f t="shared" si="2"/>
        <v>615.8</v>
      </c>
      <c r="G44" s="209">
        <f>if(and(isnumber(Raw!U44),isnumber(Raw!V44)),round(Raw!U44*Raw!V44,1),)</f>
        <v>644</v>
      </c>
      <c r="H44" s="209">
        <f>if(and(isnumber(Raw!U44),isnumber(Raw!V44)),round(pi()*Raw!U44/2*Raw!V44/2,1),)</f>
        <v>505.8</v>
      </c>
      <c r="I44" s="210">
        <f t="shared" si="3"/>
        <v>541.2897724</v>
      </c>
      <c r="J44" s="209">
        <f t="shared" si="4"/>
        <v>679</v>
      </c>
      <c r="K44" s="209">
        <f t="shared" si="5"/>
        <v>660.7</v>
      </c>
      <c r="L44" s="209">
        <f t="shared" si="6"/>
        <v>649.5</v>
      </c>
      <c r="M44" s="209">
        <f t="shared" si="7"/>
        <v>642</v>
      </c>
      <c r="N44" s="210" t="str">
        <f>if(and(isnumber(Raw!U44),isnumber(Raw!V44),isnumber(Raw!W44)),0.5*Pi()*(Raw!V44/2)^2+(Raw!W44*(Raw!U44-0.5*Raw!V44))+2*((Raw!V44-Raw!W44)/2*(Raw!U44-0.5*Raw!V44)),)</f>
        <v/>
      </c>
      <c r="O44" s="174">
        <f>ifs(Raw!M44="Rectangle",G44,Raw!M44="Cut-teardrop",N44,Raw!M44="Oval",H44,Raw!M44="Flat Circle",I44,Raw!M44="Oval to Circle",F44,Raw!M44="Circle",F44,AND(Raw!M44="Circle to Oval",isnumber(Raw!X44),isblank(Raw!Z44)),F44,Raw!M44="Hexagon",J44,Raw!M44="Septagon",K44,Raw!M44="Octagon",L44,Raw!M44="Nonagon",M44)</f>
        <v>615.8</v>
      </c>
      <c r="Q44" s="211" t="str">
        <f>if(AND(isnumber(Raw!BW44),isnumber(Raw!CJ44)),Raw!BW44+Raw!CJ44,Raw!CE44)</f>
        <v>NR</v>
      </c>
      <c r="R44" s="126" t="str">
        <f>if(isnumber(Raw!CE44),Raw!CE44,)</f>
        <v/>
      </c>
      <c r="S44" s="144">
        <f>if(isblank(Raw!AT44),Raw!AS44,Raw!AT44)</f>
        <v>700</v>
      </c>
      <c r="T44" s="145"/>
      <c r="U44" s="212">
        <f>ifs(istext(Raw!AT44),Raw!AT44,AND(Raw!AT44&gt;0,isblank(Raw!AS44)),Raw!AT44,1,Raw!AS44)</f>
        <v>700</v>
      </c>
      <c r="V44" s="144"/>
      <c r="W44" s="130"/>
      <c r="Y44" s="125" t="s">
        <v>123</v>
      </c>
      <c r="Z44" s="125" t="s">
        <v>123</v>
      </c>
      <c r="AA44" s="213">
        <f>ifs(AND(Raw!BH44=0,Raw!BK44&gt;0),Raw!BK44*Numbers!J$1,OR(iserror(AB44),Raw!BK44="NR"),"?",1,AB44*Raw!BH44+Raw!BK44*Numbers!J$1)</f>
        <v>11.58763286</v>
      </c>
      <c r="AB44" s="130">
        <f>(Raw!AY44*vlookup(Raw!AX44,Ores[],11,FALSE)+if(isblank(Raw!AZ44),0,Raw!BA44*vlookup(Raw!AZ44,Ores[],11,FALSE))+if(isblank(Raw!BB44),0,Raw!BC44*vlookup(Raw!BB44,Ores[],11,FALSE))+if(isblank(Raw!BD44),0,Raw!BE44*vlookup(Raw!BD44,Ores[],11,FALSE))+if(isblank(Raw!BF44),0,Raw!BG44*vlookup(Raw!BF44,Ores[],11,FALSE)))/Raw!BH44</f>
        <v>0.5793816429</v>
      </c>
      <c r="AC44" s="130">
        <f>if(AND(isblank(Raw!BK44),isblank(Raw!BM44),isnumber(Raw!CS44),Raw!CS44&gt;0),if(isnumber(Raw!BL44),Raw!CS44/Raw!BL44,Raw!BL44),)</f>
        <v>0.08</v>
      </c>
      <c r="AD44" s="130" t="str">
        <f>if(AND(Raw!BK44&gt;0,isblank(Raw!BM44),isnumber(Raw!CS44),Raw!CS44&gt;0),if(isnumber(Raw!BL44),Raw!CS44/Raw!BL44,Raw!BL44),)</f>
        <v/>
      </c>
      <c r="AE44" s="130" t="str">
        <f>if(AND(isblank(Raw!BK44),Raw!BM44&gt;0,isnumber(Raw!CS44),Raw!CS44&gt;0),if(isnumber(Raw!BL44),Raw!CS44/Raw!BL44,Raw!BL44),)</f>
        <v/>
      </c>
      <c r="AF44" s="130" t="str">
        <f>if(AND(Raw!BK44&gt;0,Raw!BM44&gt;0,isnumber(Raw!CS44),Raw!CS44&gt;0),if(isnumber(Raw!BL44),Raw!CS44/Raw!BL44,Raw!BL44),)</f>
        <v/>
      </c>
      <c r="AG44" s="214" t="str">
        <f>if(AND(isblank(Raw!BK44),Raw!BM44&gt;0,isnumber(Raw!CS44),Raw!CS44&gt;0),Raw!BM44,)</f>
        <v/>
      </c>
      <c r="AH44" s="215">
        <f t="shared" si="8"/>
        <v>0.5793816429</v>
      </c>
      <c r="AI44" s="214" t="str">
        <f t="shared" ref="AI44:AK44" si="50">if(AND(AD44&gt;0,isnumber($AB44)),$AB44,)</f>
        <v/>
      </c>
      <c r="AJ44" s="214" t="str">
        <f t="shared" si="50"/>
        <v/>
      </c>
      <c r="AK44" s="214" t="str">
        <f t="shared" si="50"/>
        <v/>
      </c>
      <c r="AL44" s="214" t="str">
        <f>if(AND(Raw!BK44&gt;0,isblank(Raw!BM44),isnumber(Raw!CS44),Raw!CS44&gt;0),Raw!BK44,)</f>
        <v/>
      </c>
      <c r="AM44" s="214" t="str">
        <f>if(AND(Raw!BK44&gt;0,Raw!BM44&gt;0,isnumber(Raw!CS44),Raw!CS44&gt;0),Raw!BM44,)</f>
        <v/>
      </c>
      <c r="AN44" s="214" t="str">
        <f>if(AND(Raw!BK44&gt;0,Raw!BM44&gt;0,isnumber(Raw!CS44),Raw!CS44&gt;0),Raw!BK44,)</f>
        <v/>
      </c>
      <c r="AO44" s="214">
        <f t="array" ref="AO44">if(Raw!H44="Vinland",max(AO$1:indirect("AO"&amp;(row()-1)))+1,)</f>
        <v>6</v>
      </c>
      <c r="AP44" s="214" t="str">
        <f t="array" ref="AP44">if(Raw!H44="Icelandic",max(AP$1:indirect("AP"&amp;(row()-1)))+1,)</f>
        <v/>
      </c>
      <c r="AQ44" s="214" t="str">
        <f t="array" ref="AQ44">if(Raw!H44="Turf-to-Tools",max(AQ$1:indirect("AQ"&amp;(row()-1)))+1,)</f>
        <v/>
      </c>
      <c r="AR44" s="216">
        <f>IFS(OR(iserror(Raw!BP44),iserror(Raw!BQ44)),"NR",OR(Raw!BP44="?",Raw!BQ44="?"),"?",1,(Raw!BP44+Raw!BQ44)*Raw!BH44/100)</f>
        <v>1.827832375</v>
      </c>
      <c r="AS44" s="214"/>
      <c r="AT44" s="214"/>
      <c r="AU44" s="214"/>
      <c r="AV44" s="214"/>
      <c r="AW44" s="214"/>
      <c r="AX44" s="214"/>
      <c r="AY44" s="214"/>
    </row>
    <row r="45">
      <c r="A45" s="126" t="str">
        <f>Raw!A45</f>
        <v>44 / D22</v>
      </c>
      <c r="B45" s="208">
        <f>if(isnumber(O45),if(isblank(Raw!Z45),O45,concatenate(O45," (E)")),"ERROR")</f>
        <v>414.7</v>
      </c>
      <c r="C45" s="174">
        <f>ifs(Raw!S45="NR","NR",isblank(O45),"ERROR",1,O45*Raw!S45)</f>
        <v>18661.5</v>
      </c>
      <c r="D45" s="209">
        <f>ifs(AND(isnumber(Raw!X45),isnumber(Raw!Y45)),Raw!X45-Raw!Y45, AND(isnumber(Raw!U45),isnumber(Raw!V45)),Raw!U45-Raw!V45,1,)</f>
        <v>2</v>
      </c>
      <c r="E45" s="209">
        <f>IFS(isnumber(Raw!X45),Raw!X45/2,isnumber(Raw!U45),Raw!U45/2,1,)</f>
        <v>12</v>
      </c>
      <c r="F45" s="209">
        <f t="shared" si="2"/>
        <v>452.4</v>
      </c>
      <c r="G45" s="209">
        <f>if(and(isnumber(Raw!U45),isnumber(Raw!V45)),round(Raw!U45*Raw!V45,1),)</f>
        <v>528</v>
      </c>
      <c r="H45" s="209">
        <f>if(and(isnumber(Raw!U45),isnumber(Raw!V45)),round(pi()*Raw!U45/2*Raw!V45/2,1),)</f>
        <v>414.7</v>
      </c>
      <c r="I45" s="210">
        <f t="shared" si="3"/>
        <v>434.3937775</v>
      </c>
      <c r="J45" s="209">
        <f t="shared" si="4"/>
        <v>498.8</v>
      </c>
      <c r="K45" s="209">
        <f t="shared" si="5"/>
        <v>485.4</v>
      </c>
      <c r="L45" s="209">
        <f t="shared" si="6"/>
        <v>477.2</v>
      </c>
      <c r="M45" s="209">
        <f t="shared" si="7"/>
        <v>471.7</v>
      </c>
      <c r="N45" s="210" t="str">
        <f>if(and(isnumber(Raw!U45),isnumber(Raw!V45),isnumber(Raw!W45)),0.5*Pi()*(Raw!V45/2)^2+(Raw!W45*(Raw!U45-0.5*Raw!V45))+2*((Raw!V45-Raw!W45)/2*(Raw!U45-0.5*Raw!V45)),)</f>
        <v/>
      </c>
      <c r="O45" s="174">
        <f>ifs(Raw!M45="Rectangle",G45,Raw!M45="Cut-teardrop",N45,Raw!M45="Oval",H45,Raw!M45="Flat Circle",I45,Raw!M45="Oval to Circle",F45,Raw!M45="Circle",F45,AND(Raw!M45="Circle to Oval",isnumber(Raw!X45),isblank(Raw!Z45)),F45,Raw!M45="Hexagon",J45,Raw!M45="Septagon",K45,Raw!M45="Octagon",L45,Raw!M45="Nonagon",M45)</f>
        <v>414.7</v>
      </c>
      <c r="Q45" s="211">
        <f>if(AND(isnumber(Raw!BW45),isnumber(Raw!CJ45)),Raw!BW45+Raw!CJ45,Raw!CE45)</f>
        <v>359</v>
      </c>
      <c r="R45" s="126">
        <f>if(isnumber(Raw!CE45),Raw!CE45,)</f>
        <v>199</v>
      </c>
      <c r="S45" s="144">
        <f>if(isblank(Raw!AT45),Raw!AS45,Raw!AT45)</f>
        <v>700</v>
      </c>
      <c r="T45" s="145"/>
      <c r="U45" s="212">
        <f>ifs(istext(Raw!AT45),Raw!AT45,AND(Raw!AT45&gt;0,isblank(Raw!AS45)),Raw!AT45,1,Raw!AS45)</f>
        <v>700</v>
      </c>
      <c r="V45" s="144"/>
      <c r="W45" s="130"/>
      <c r="Y45" s="125" t="s">
        <v>123</v>
      </c>
      <c r="Z45" s="125" t="s">
        <v>123</v>
      </c>
      <c r="AA45" s="213">
        <f>ifs(AND(Raw!BH45=0,Raw!BK45&gt;0),Raw!BK45*Numbers!J$1,OR(iserror(AB45),Raw!BK45="NR"),"?",1,AB45*Raw!BH45+Raw!BK45*Numbers!J$1)</f>
        <v>11.44005921</v>
      </c>
      <c r="AB45" s="130">
        <f>(Raw!AY45*vlookup(Raw!AX45,Ores[],11,FALSE)+if(isblank(Raw!AZ45),0,Raw!BA45*vlookup(Raw!AZ45,Ores[],11,FALSE))+if(isblank(Raw!BB45),0,Raw!BC45*vlookup(Raw!BB45,Ores[],11,FALSE))+if(isblank(Raw!BD45),0,Raw!BE45*vlookup(Raw!BD45,Ores[],11,FALSE))+if(isblank(Raw!BF45),0,Raw!BG45*vlookup(Raw!BF45,Ores[],11,FALSE)))/Raw!BH45</f>
        <v>0.5720029607</v>
      </c>
      <c r="AC45" s="130">
        <f>if(AND(isblank(Raw!BK45),isblank(Raw!BM45),isnumber(Raw!CS45),Raw!CS45&gt;0),if(isnumber(Raw!BL45),Raw!CS45/Raw!BL45,Raw!BL45),)</f>
        <v>0.14</v>
      </c>
      <c r="AD45" s="130" t="str">
        <f>if(AND(Raw!BK45&gt;0,isblank(Raw!BM45),isnumber(Raw!CS45),Raw!CS45&gt;0),if(isnumber(Raw!BL45),Raw!CS45/Raw!BL45,Raw!BL45),)</f>
        <v/>
      </c>
      <c r="AE45" s="130" t="str">
        <f>if(AND(isblank(Raw!BK45),Raw!BM45&gt;0,isnumber(Raw!CS45),Raw!CS45&gt;0),if(isnumber(Raw!BL45),Raw!CS45/Raw!BL45,Raw!BL45),)</f>
        <v/>
      </c>
      <c r="AF45" s="130" t="str">
        <f>if(AND(Raw!BK45&gt;0,Raw!BM45&gt;0,isnumber(Raw!CS45),Raw!CS45&gt;0),if(isnumber(Raw!BL45),Raw!CS45/Raw!BL45,Raw!BL45),)</f>
        <v/>
      </c>
      <c r="AG45" s="214" t="str">
        <f>if(AND(isblank(Raw!BK45),Raw!BM45&gt;0,isnumber(Raw!CS45),Raw!CS45&gt;0),Raw!BM45,)</f>
        <v/>
      </c>
      <c r="AH45" s="215">
        <f t="shared" si="8"/>
        <v>0.5720029607</v>
      </c>
      <c r="AI45" s="214" t="str">
        <f t="shared" ref="AI45:AK45" si="51">if(AND(AD45&gt;0,isnumber($AB45)),$AB45,)</f>
        <v/>
      </c>
      <c r="AJ45" s="214" t="str">
        <f t="shared" si="51"/>
        <v/>
      </c>
      <c r="AK45" s="214" t="str">
        <f t="shared" si="51"/>
        <v/>
      </c>
      <c r="AL45" s="214" t="str">
        <f>if(AND(Raw!BK45&gt;0,isblank(Raw!BM45),isnumber(Raw!CS45),Raw!CS45&gt;0),Raw!BK45,)</f>
        <v/>
      </c>
      <c r="AM45" s="214" t="str">
        <f>if(AND(Raw!BK45&gt;0,Raw!BM45&gt;0,isnumber(Raw!CS45),Raw!CS45&gt;0),Raw!BM45,)</f>
        <v/>
      </c>
      <c r="AN45" s="214" t="str">
        <f>if(AND(Raw!BK45&gt;0,Raw!BM45&gt;0,isnumber(Raw!CS45),Raw!CS45&gt;0),Raw!BK45,)</f>
        <v/>
      </c>
      <c r="AO45" s="214">
        <f t="array" ref="AO45">if(Raw!H45="Vinland",max(AO$1:indirect("AO"&amp;(row()-1)))+1,)</f>
        <v>7</v>
      </c>
      <c r="AP45" s="214" t="str">
        <f t="array" ref="AP45">if(Raw!H45="Icelandic",max(AP$1:indirect("AP"&amp;(row()-1)))+1,)</f>
        <v/>
      </c>
      <c r="AQ45" s="214" t="str">
        <f t="array" ref="AQ45">if(Raw!H45="Turf-to-Tools",max(AQ$1:indirect("AQ"&amp;(row()-1)))+1,)</f>
        <v/>
      </c>
      <c r="AR45" s="216">
        <f>IFS(OR(iserror(Raw!BP45),iserror(Raw!BQ45)),"NR",OR(Raw!BP45="?",Raw!BQ45="?"),"?",1,(Raw!BP45+Raw!BQ45)*Raw!BH45/100)</f>
        <v>2.19</v>
      </c>
      <c r="AS45" s="214"/>
      <c r="AT45" s="214"/>
      <c r="AU45" s="214"/>
      <c r="AV45" s="214"/>
      <c r="AW45" s="214"/>
      <c r="AX45" s="214"/>
      <c r="AY45" s="214"/>
    </row>
    <row r="46">
      <c r="A46" s="126" t="str">
        <f>Raw!A46</f>
        <v>45 / D23</v>
      </c>
      <c r="B46" s="208">
        <f>if(isnumber(O46),if(isblank(Raw!Z46),O46,concatenate(O46," (E)")),"ERROR")</f>
        <v>649.5</v>
      </c>
      <c r="C46" s="174">
        <f>ifs(Raw!S46="NR","NR",isblank(O46),"ERROR",1,O46*Raw!S46)</f>
        <v>35722.5</v>
      </c>
      <c r="D46" s="209" t="str">
        <f>ifs(AND(isnumber(Raw!X46),isnumber(Raw!Y46)),Raw!X46-Raw!Y46, AND(isnumber(Raw!U46),isnumber(Raw!V46)),Raw!U46-Raw!V46,1,)</f>
        <v/>
      </c>
      <c r="E46" s="209">
        <f>IFS(isnumber(Raw!X46),Raw!X46/2,isnumber(Raw!U46),Raw!U46/2,1,)</f>
        <v>14</v>
      </c>
      <c r="F46" s="209">
        <f t="shared" si="2"/>
        <v>615.8</v>
      </c>
      <c r="G46" s="209" t="str">
        <f>if(and(isnumber(Raw!U46),isnumber(Raw!V46)),round(Raw!U46*Raw!V46,1),)</f>
        <v/>
      </c>
      <c r="H46" s="209" t="str">
        <f>if(and(isnumber(Raw!U46),isnumber(Raw!V46)),round(pi()*Raw!U46/2*Raw!V46/2,1),)</f>
        <v/>
      </c>
      <c r="I46" s="210">
        <f t="shared" si="3"/>
        <v>615.8</v>
      </c>
      <c r="J46" s="209">
        <f t="shared" si="4"/>
        <v>679</v>
      </c>
      <c r="K46" s="209">
        <f t="shared" si="5"/>
        <v>660.7</v>
      </c>
      <c r="L46" s="209">
        <f t="shared" si="6"/>
        <v>649.5</v>
      </c>
      <c r="M46" s="209">
        <f t="shared" si="7"/>
        <v>642</v>
      </c>
      <c r="N46" s="210" t="str">
        <f>if(and(isnumber(Raw!U46),isnumber(Raw!V46),isnumber(Raw!W46)),0.5*Pi()*(Raw!V46/2)^2+(Raw!W46*(Raw!U46-0.5*Raw!V46))+2*((Raw!V46-Raw!W46)/2*(Raw!U46-0.5*Raw!V46)),)</f>
        <v/>
      </c>
      <c r="O46" s="174">
        <f>ifs(Raw!M46="Rectangle",G46,Raw!M46="Cut-teardrop",N46,Raw!M46="Oval",H46,Raw!M46="Flat Circle",I46,Raw!M46="Oval to Circle",F46,Raw!M46="Circle",F46,AND(Raw!M46="Circle to Oval",isnumber(Raw!X46),isblank(Raw!Z46)),F46,Raw!M46="Hexagon",J46,Raw!M46="Septagon",K46,Raw!M46="Octagon",L46,Raw!M46="Nonagon",M46)</f>
        <v>649.5</v>
      </c>
      <c r="Q46" s="211">
        <f>if(AND(isnumber(Raw!BW46),isnumber(Raw!CJ46)),Raw!BW46+Raw!CJ46,Raw!CE46)</f>
        <v>300</v>
      </c>
      <c r="R46" s="126">
        <f>if(isnumber(Raw!CE46),Raw!CE46,)</f>
        <v>146</v>
      </c>
      <c r="S46" s="144">
        <f>if(isblank(Raw!AT46),Raw!AS46,Raw!AT46)</f>
        <v>850</v>
      </c>
      <c r="T46" s="145"/>
      <c r="U46" s="212">
        <f>ifs(istext(Raw!AT46),Raw!AT46,AND(Raw!AT46&gt;0,isblank(Raw!AS46)),Raw!AT46,1,Raw!AS46)</f>
        <v>900</v>
      </c>
      <c r="V46" s="144"/>
      <c r="W46" s="130"/>
      <c r="Y46" s="125" t="s">
        <v>123</v>
      </c>
      <c r="Z46" s="125" t="s">
        <v>123</v>
      </c>
      <c r="AA46" s="213">
        <f>ifs(AND(Raw!BH46=0,Raw!BK46&gt;0),Raw!BK46*Numbers!J$1,OR(iserror(AB46),Raw!BK46="NR"),"?",1,AB46*Raw!BH46+Raw!BK46*Numbers!J$1)</f>
        <v>16.48082692</v>
      </c>
      <c r="AB46" s="130">
        <f>(Raw!AY46*vlookup(Raw!AX46,Ores[],11,FALSE)+if(isblank(Raw!AZ46),0,Raw!BA46*vlookup(Raw!AZ46,Ores[],11,FALSE))+if(isblank(Raw!BB46),0,Raw!BC46*vlookup(Raw!BB46,Ores[],11,FALSE))+if(isblank(Raw!BD46),0,Raw!BE46*vlookup(Raw!BD46,Ores[],11,FALSE))+if(isblank(Raw!BF46),0,Raw!BG46*vlookup(Raw!BF46,Ores[],11,FALSE)))/Raw!BH46</f>
        <v>0.6867011216</v>
      </c>
      <c r="AC46" s="130">
        <f>if(AND(isblank(Raw!BK46),isblank(Raw!BM46),isnumber(Raw!CS46),Raw!CS46&gt;0),if(isnumber(Raw!BL46),Raw!CS46/Raw!BL46,Raw!BL46),)</f>
        <v>0.3541666667</v>
      </c>
      <c r="AD46" s="130" t="str">
        <f>if(AND(Raw!BK46&gt;0,isblank(Raw!BM46),isnumber(Raw!CS46),Raw!CS46&gt;0),if(isnumber(Raw!BL46),Raw!CS46/Raw!BL46,Raw!BL46),)</f>
        <v/>
      </c>
      <c r="AE46" s="130" t="str">
        <f>if(AND(isblank(Raw!BK46),Raw!BM46&gt;0,isnumber(Raw!CS46),Raw!CS46&gt;0),if(isnumber(Raw!BL46),Raw!CS46/Raw!BL46,Raw!BL46),)</f>
        <v/>
      </c>
      <c r="AF46" s="130" t="str">
        <f>if(AND(Raw!BK46&gt;0,Raw!BM46&gt;0,isnumber(Raw!CS46),Raw!CS46&gt;0),if(isnumber(Raw!BL46),Raw!CS46/Raw!BL46,Raw!BL46),)</f>
        <v/>
      </c>
      <c r="AG46" s="214" t="str">
        <f>if(AND(isblank(Raw!BK46),Raw!BM46&gt;0,isnumber(Raw!CS46),Raw!CS46&gt;0),Raw!BM46,)</f>
        <v/>
      </c>
      <c r="AH46" s="215">
        <f t="shared" si="8"/>
        <v>0.6867011216</v>
      </c>
      <c r="AI46" s="214" t="str">
        <f t="shared" ref="AI46:AK46" si="52">if(AND(AD46&gt;0,isnumber($AB46)),$AB46,)</f>
        <v/>
      </c>
      <c r="AJ46" s="214" t="str">
        <f t="shared" si="52"/>
        <v/>
      </c>
      <c r="AK46" s="214" t="str">
        <f t="shared" si="52"/>
        <v/>
      </c>
      <c r="AL46" s="214" t="str">
        <f>if(AND(Raw!BK46&gt;0,isblank(Raw!BM46),isnumber(Raw!CS46),Raw!CS46&gt;0),Raw!BK46,)</f>
        <v/>
      </c>
      <c r="AM46" s="214" t="str">
        <f>if(AND(Raw!BK46&gt;0,Raw!BM46&gt;0,isnumber(Raw!CS46),Raw!CS46&gt;0),Raw!BM46,)</f>
        <v/>
      </c>
      <c r="AN46" s="214" t="str">
        <f>if(AND(Raw!BK46&gt;0,Raw!BM46&gt;0,isnumber(Raw!CS46),Raw!CS46&gt;0),Raw!BK46,)</f>
        <v/>
      </c>
      <c r="AO46" s="214" t="str">
        <f t="array" ref="AO46">if(Raw!H46="Vinland",max(AO$1:indirect("AO"&amp;(row()-1)))+1,)</f>
        <v/>
      </c>
      <c r="AP46" s="214" t="str">
        <f t="array" ref="AP46">if(Raw!H46="Icelandic",max(AP$1:indirect("AP"&amp;(row()-1)))+1,)</f>
        <v/>
      </c>
      <c r="AQ46" s="214" t="str">
        <f t="array" ref="AQ46">if(Raw!H46="Turf-to-Tools",max(AQ$1:indirect("AQ"&amp;(row()-1)))+1,)</f>
        <v/>
      </c>
      <c r="AR46" s="216">
        <f>IFS(OR(iserror(Raw!BP46),iserror(Raw!BQ46)),"NR",OR(Raw!BP46="?",Raw!BQ46="?"),"?",1,(Raw!BP46+Raw!BQ46)*Raw!BH46/100)</f>
        <v>0.0816</v>
      </c>
      <c r="AS46" s="214"/>
      <c r="AT46" s="214"/>
      <c r="AU46" s="214"/>
      <c r="AV46" s="214"/>
      <c r="AW46" s="214"/>
      <c r="AX46" s="214"/>
      <c r="AY46" s="214"/>
    </row>
    <row r="47">
      <c r="A47" s="126">
        <f>Raw!A47</f>
        <v>46</v>
      </c>
      <c r="B47" s="208">
        <f>if(isnumber(O47),if(isblank(Raw!Z47),O47,concatenate(O47," (E)")),"ERROR")</f>
        <v>3318.3</v>
      </c>
      <c r="C47" s="174">
        <f>ifs(Raw!S47="NR","NR",isblank(O47),"ERROR",1,O47*Raw!S47)</f>
        <v>282055.5</v>
      </c>
      <c r="D47" s="209" t="str">
        <f>ifs(AND(isnumber(Raw!X47),isnumber(Raw!Y47)),Raw!X47-Raw!Y47, AND(isnumber(Raw!U47),isnumber(Raw!V47)),Raw!U47-Raw!V47,1,)</f>
        <v/>
      </c>
      <c r="E47" s="209">
        <f>IFS(isnumber(Raw!X47),Raw!X47/2,isnumber(Raw!U47),Raw!U47/2,1,)</f>
        <v>32.5</v>
      </c>
      <c r="F47" s="209">
        <f t="shared" si="2"/>
        <v>3318.3</v>
      </c>
      <c r="G47" s="209" t="str">
        <f>if(and(isnumber(Raw!U47),isnumber(Raw!V47)),round(Raw!U47*Raw!V47,1),)</f>
        <v/>
      </c>
      <c r="H47" s="209" t="str">
        <f>if(and(isnumber(Raw!U47),isnumber(Raw!V47)),round(pi()*Raw!U47/2*Raw!V47/2,1),)</f>
        <v/>
      </c>
      <c r="I47" s="210">
        <f t="shared" si="3"/>
        <v>3318.3</v>
      </c>
      <c r="J47" s="209">
        <f t="shared" si="4"/>
        <v>3659</v>
      </c>
      <c r="K47" s="209">
        <f t="shared" si="5"/>
        <v>3560.6</v>
      </c>
      <c r="L47" s="209">
        <f t="shared" si="6"/>
        <v>3500.1</v>
      </c>
      <c r="M47" s="209">
        <f t="shared" si="7"/>
        <v>3460</v>
      </c>
      <c r="N47" s="210" t="str">
        <f>if(and(isnumber(Raw!U47),isnumber(Raw!V47),isnumber(Raw!W47)),0.5*Pi()*(Raw!V47/2)^2+(Raw!W47*(Raw!U47-0.5*Raw!V47))+2*((Raw!V47-Raw!W47)/2*(Raw!U47-0.5*Raw!V47)),)</f>
        <v/>
      </c>
      <c r="O47" s="174">
        <f>ifs(Raw!M47="Rectangle",G47,Raw!M47="Cut-teardrop",N47,Raw!M47="Oval",H47,Raw!M47="Flat Circle",I47,Raw!M47="Oval to Circle",F47,Raw!M47="Circle",F47,AND(Raw!M47="Circle to Oval",isnumber(Raw!X47),isblank(Raw!Z47)),F47,Raw!M47="Hexagon",J47,Raw!M47="Septagon",K47,Raw!M47="Octagon",L47,Raw!M47="Nonagon",M47)</f>
        <v>3318.3</v>
      </c>
      <c r="Q47" s="211">
        <f>if(AND(isnumber(Raw!BW47),isnumber(Raw!CJ47)),Raw!BW47+Raw!CJ47,Raw!CE47)</f>
        <v>1225</v>
      </c>
      <c r="R47" s="126">
        <f>if(isnumber(Raw!CE47),Raw!CE47,)</f>
        <v>597</v>
      </c>
      <c r="S47" s="144" t="str">
        <f>if(isblank(Raw!AT47),Raw!AS47,Raw!AT47)</f>
        <v>?</v>
      </c>
      <c r="T47" s="145"/>
      <c r="U47" s="212" t="str">
        <f>ifs(istext(Raw!AT47),Raw!AT47,AND(Raw!AT47&gt;0,isblank(Raw!AS47)),Raw!AT47,1,Raw!AS47)</f>
        <v>?</v>
      </c>
      <c r="V47" s="144"/>
      <c r="W47" s="130"/>
      <c r="Z47" s="125" t="s">
        <v>123</v>
      </c>
      <c r="AA47" s="213">
        <f>ifs(AND(Raw!BH47=0,Raw!BK47&gt;0),Raw!BK47*Numbers!J$1,OR(iserror(AB47),Raw!BK47="NR"),"?",1,AB47*Raw!BH47+Raw!BK47*Numbers!J$1)</f>
        <v>52.78</v>
      </c>
      <c r="AB47" s="130">
        <f>(Raw!AY47*vlookup(Raw!AX47,Ores[],11,FALSE)+if(isblank(Raw!AZ47),0,Raw!BA47*vlookup(Raw!AZ47,Ores[],11,FALSE))+if(isblank(Raw!BB47),0,Raw!BC47*vlookup(Raw!BB47,Ores[],11,FALSE))+if(isblank(Raw!BD47),0,Raw!BE47*vlookup(Raw!BD47,Ores[],11,FALSE))+if(isblank(Raw!BF47),0,Raw!BG47*vlookup(Raw!BF47,Ores[],11,FALSE)))/Raw!BH47</f>
        <v>0.58</v>
      </c>
      <c r="AC47" s="130" t="str">
        <f>if(AND(isblank(Raw!BK47),isblank(Raw!BM47),isnumber(Raw!CS47),Raw!CS47&gt;0),if(isnumber(Raw!BL47),Raw!CS47/Raw!BL47,Raw!BL47),)</f>
        <v/>
      </c>
      <c r="AD47" s="130" t="str">
        <f>if(AND(Raw!BK47&gt;0,isblank(Raw!BM47),isnumber(Raw!CS47),Raw!CS47&gt;0),if(isnumber(Raw!BL47),Raw!CS47/Raw!BL47,Raw!BL47),)</f>
        <v/>
      </c>
      <c r="AE47" s="130" t="str">
        <f>if(AND(isblank(Raw!BK47),Raw!BM47&gt;0,isnumber(Raw!CS47),Raw!CS47&gt;0),if(isnumber(Raw!BL47),Raw!CS47/Raw!BL47,Raw!BL47),)</f>
        <v/>
      </c>
      <c r="AF47" s="130" t="str">
        <f>if(AND(Raw!BK47&gt;0,Raw!BM47&gt;0,isnumber(Raw!CS47),Raw!CS47&gt;0),if(isnumber(Raw!BL47),Raw!CS47/Raw!BL47,Raw!BL47),)</f>
        <v/>
      </c>
      <c r="AG47" s="214" t="str">
        <f>if(AND(isblank(Raw!BK47),Raw!BM47&gt;0,isnumber(Raw!CS47),Raw!CS47&gt;0),Raw!BM47,)</f>
        <v/>
      </c>
      <c r="AH47" s="214" t="str">
        <f t="shared" si="8"/>
        <v/>
      </c>
      <c r="AI47" s="214" t="str">
        <f t="shared" ref="AI47:AK47" si="53">if(AND(AD47&gt;0,isnumber($AB47)),$AB47,)</f>
        <v/>
      </c>
      <c r="AJ47" s="214" t="str">
        <f t="shared" si="53"/>
        <v/>
      </c>
      <c r="AK47" s="214" t="str">
        <f t="shared" si="53"/>
        <v/>
      </c>
      <c r="AL47" s="214" t="str">
        <f>if(AND(Raw!BK47&gt;0,isblank(Raw!BM47),isnumber(Raw!CS47),Raw!CS47&gt;0),Raw!BK47,)</f>
        <v/>
      </c>
      <c r="AM47" s="214" t="str">
        <f>if(AND(Raw!BK47&gt;0,Raw!BM47&gt;0,isnumber(Raw!CS47),Raw!CS47&gt;0),Raw!BM47,)</f>
        <v/>
      </c>
      <c r="AN47" s="214" t="str">
        <f>if(AND(Raw!BK47&gt;0,Raw!BM47&gt;0,isnumber(Raw!CS47),Raw!CS47&gt;0),Raw!BK47,)</f>
        <v/>
      </c>
      <c r="AO47" s="214" t="str">
        <f t="array" ref="AO47">if(Raw!H47="Vinland",max(AO$1:indirect("AO"&amp;(row()-1)))+1,)</f>
        <v/>
      </c>
      <c r="AP47" s="214" t="str">
        <f t="array" ref="AP47">if(Raw!H47="Icelandic",max(AP$1:indirect("AP"&amp;(row()-1)))+1,)</f>
        <v/>
      </c>
      <c r="AQ47" s="214" t="str">
        <f t="array" ref="AQ47">if(Raw!H47="Turf-to-Tools",max(AQ$1:indirect("AQ"&amp;(row()-1)))+1,)</f>
        <v/>
      </c>
      <c r="AR47" s="216">
        <f>IFS(OR(iserror(Raw!BP47),iserror(Raw!BQ47)),"NR",OR(Raw!BP47="?",Raw!BQ47="?"),"?",1,(Raw!BP47+Raw!BQ47)*Raw!BH47/100)</f>
        <v>9.8007</v>
      </c>
      <c r="AS47" s="214"/>
      <c r="AT47" s="214"/>
      <c r="AU47" s="214"/>
      <c r="AV47" s="214"/>
      <c r="AW47" s="214"/>
      <c r="AX47" s="214"/>
      <c r="AY47" s="214"/>
    </row>
    <row r="48">
      <c r="A48" s="126">
        <f>Raw!A48</f>
        <v>47</v>
      </c>
      <c r="B48" s="208" t="str">
        <f>if(isnumber(O48),if(isblank(Raw!Z48),O48,concatenate(O48," (E)")),"ERROR")</f>
        <v>490.9 (E)</v>
      </c>
      <c r="C48" s="174">
        <f>ifs(Raw!S48="NR","NR",isblank(O48),"ERROR",1,O48*Raw!S48)</f>
        <v>23563.2</v>
      </c>
      <c r="D48" s="209">
        <f>ifs(AND(isnumber(Raw!X48),isnumber(Raw!Y48)),Raw!X48-Raw!Y48, AND(isnumber(Raw!U48),isnumber(Raw!V48)),Raw!U48-Raw!V48,1,)</f>
        <v>1</v>
      </c>
      <c r="E48" s="209">
        <f>IFS(isnumber(Raw!X48),Raw!X48/2,isnumber(Raw!U48),Raw!U48/2,1,)</f>
        <v>12.5</v>
      </c>
      <c r="F48" s="209">
        <f t="shared" si="2"/>
        <v>490.9</v>
      </c>
      <c r="G48" s="209">
        <f>if(and(isnumber(Raw!U48),isnumber(Raw!V48)),round(Raw!U48*Raw!V48,1),)</f>
        <v>600</v>
      </c>
      <c r="H48" s="209">
        <f>if(and(isnumber(Raw!U48),isnumber(Raw!V48)),round(pi()*Raw!U48/2*Raw!V48/2,1),)</f>
        <v>471.2</v>
      </c>
      <c r="I48" s="210">
        <f t="shared" si="3"/>
        <v>484.3139138</v>
      </c>
      <c r="J48" s="209">
        <f t="shared" si="4"/>
        <v>541.3</v>
      </c>
      <c r="K48" s="209">
        <f t="shared" si="5"/>
        <v>526.7</v>
      </c>
      <c r="L48" s="209">
        <f t="shared" si="6"/>
        <v>517.8</v>
      </c>
      <c r="M48" s="209">
        <f t="shared" si="7"/>
        <v>511.8</v>
      </c>
      <c r="N48" s="210" t="str">
        <f>if(and(isnumber(Raw!U48),isnumber(Raw!V48),isnumber(Raw!W48)),0.5*Pi()*(Raw!V48/2)^2+(Raw!W48*(Raw!U48-0.5*Raw!V48))+2*((Raw!V48-Raw!W48)/2*(Raw!U48-0.5*Raw!V48)),)</f>
        <v/>
      </c>
      <c r="O48" s="174">
        <f>ifs(Raw!M48="Rectangle",G48,Raw!M48="Cut-teardrop",N48,Raw!M48="Oval",H48,Raw!M48="Flat Circle",I48,Raw!M48="Oval to Circle",F48,Raw!M48="Circle",F48,AND(Raw!M48="Circle to Oval",isnumber(Raw!X48),isblank(Raw!Z48)),F48,Raw!M48="Hexagon",J48,Raw!M48="Septagon",K48,Raw!M48="Octagon",L48,Raw!M48="Nonagon",M48)</f>
        <v>490.9</v>
      </c>
      <c r="Q48" s="211">
        <f>if(AND(isnumber(Raw!BW48),isnumber(Raw!CJ48)),Raw!BW48+Raw!CJ48,Raw!CE48)</f>
        <v>236</v>
      </c>
      <c r="R48" s="126">
        <f>if(isnumber(Raw!CE48),Raw!CE48,)</f>
        <v>236</v>
      </c>
      <c r="S48" s="144">
        <f>if(isblank(Raw!AT48),Raw!AS48,Raw!AT48)</f>
        <v>850</v>
      </c>
      <c r="T48" s="145"/>
      <c r="U48" s="212">
        <f>ifs(istext(Raw!AT48),Raw!AT48,AND(Raw!AT48&gt;0,isblank(Raw!AS48)),Raw!AT48,1,Raw!AS48)</f>
        <v>850</v>
      </c>
      <c r="V48" s="144"/>
      <c r="W48" s="130"/>
      <c r="Z48" s="125" t="s">
        <v>123</v>
      </c>
      <c r="AA48" s="213">
        <f>ifs(AND(Raw!BH48=0,Raw!BK48&gt;0),Raw!BK48*Numbers!J$1,OR(iserror(AB48),Raw!BK48="NR"),"?",1,AB48*Raw!BH48+Raw!BK48*Numbers!J$1)</f>
        <v>16.90407981</v>
      </c>
      <c r="AB48" s="130">
        <f>(Raw!AY48*vlookup(Raw!AX48,Ores[],11,FALSE)+if(isblank(Raw!AZ48),0,Raw!BA48*vlookup(Raw!AZ48,Ores[],11,FALSE))+if(isblank(Raw!BB48),0,Raw!BC48*vlookup(Raw!BB48,Ores[],11,FALSE))+if(isblank(Raw!BD48),0,Raw!BE48*vlookup(Raw!BD48,Ores[],11,FALSE))+if(isblank(Raw!BF48),0,Raw!BG48*vlookup(Raw!BF48,Ores[],11,FALSE)))/Raw!BH48</f>
        <v>0.5828993038</v>
      </c>
      <c r="AC48" s="130">
        <f>if(AND(isblank(Raw!BK48),isblank(Raw!BM48),isnumber(Raw!CS48),Raw!CS48&gt;0),if(isnumber(Raw!BL48),Raw!CS48/Raw!BL48,Raw!BL48),)</f>
        <v>0.07586206897</v>
      </c>
      <c r="AD48" s="130" t="str">
        <f>if(AND(Raw!BK48&gt;0,isblank(Raw!BM48),isnumber(Raw!CS48),Raw!CS48&gt;0),if(isnumber(Raw!BL48),Raw!CS48/Raw!BL48,Raw!BL48),)</f>
        <v/>
      </c>
      <c r="AE48" s="130" t="str">
        <f>if(AND(isblank(Raw!BK48),Raw!BM48&gt;0,isnumber(Raw!CS48),Raw!CS48&gt;0),if(isnumber(Raw!BL48),Raw!CS48/Raw!BL48,Raw!BL48),)</f>
        <v/>
      </c>
      <c r="AF48" s="130" t="str">
        <f>if(AND(Raw!BK48&gt;0,Raw!BM48&gt;0,isnumber(Raw!CS48),Raw!CS48&gt;0),if(isnumber(Raw!BL48),Raw!CS48/Raw!BL48,Raw!BL48),)</f>
        <v/>
      </c>
      <c r="AG48" s="214" t="str">
        <f>if(AND(isblank(Raw!BK48),Raw!BM48&gt;0,isnumber(Raw!CS48),Raw!CS48&gt;0),Raw!BM48,)</f>
        <v/>
      </c>
      <c r="AH48" s="215">
        <f t="shared" si="8"/>
        <v>0.5828993038</v>
      </c>
      <c r="AI48" s="214" t="str">
        <f t="shared" ref="AI48:AK48" si="54">if(AND(AD48&gt;0,isnumber($AB48)),$AB48,)</f>
        <v/>
      </c>
      <c r="AJ48" s="214" t="str">
        <f t="shared" si="54"/>
        <v/>
      </c>
      <c r="AK48" s="214" t="str">
        <f t="shared" si="54"/>
        <v/>
      </c>
      <c r="AL48" s="214" t="str">
        <f>if(AND(Raw!BK48&gt;0,isblank(Raw!BM48),isnumber(Raw!CS48),Raw!CS48&gt;0),Raw!BK48,)</f>
        <v/>
      </c>
      <c r="AM48" s="214" t="str">
        <f>if(AND(Raw!BK48&gt;0,Raw!BM48&gt;0,isnumber(Raw!CS48),Raw!CS48&gt;0),Raw!BM48,)</f>
        <v/>
      </c>
      <c r="AN48" s="214" t="str">
        <f>if(AND(Raw!BK48&gt;0,Raw!BM48&gt;0,isnumber(Raw!CS48),Raw!CS48&gt;0),Raw!BK48,)</f>
        <v/>
      </c>
      <c r="AO48" s="214" t="str">
        <f t="array" ref="AO48">if(Raw!H48="Vinland",max(AO$1:indirect("AO"&amp;(row()-1)))+1,)</f>
        <v/>
      </c>
      <c r="AP48" s="214" t="str">
        <f t="array" ref="AP48">if(Raw!H48="Icelandic",max(AP$1:indirect("AP"&amp;(row()-1)))+1,)</f>
        <v/>
      </c>
      <c r="AQ48" s="214" t="str">
        <f t="array" ref="AQ48">if(Raw!H48="Turf-to-Tools",max(AQ$1:indirect("AQ"&amp;(row()-1)))+1,)</f>
        <v/>
      </c>
      <c r="AR48" s="216">
        <f>IFS(OR(iserror(Raw!BP48),iserror(Raw!BQ48)),"NR",OR(Raw!BP48="?",Raw!BQ48="?"),"?",1,(Raw!BP48+Raw!BQ48)*Raw!BH48/100)</f>
        <v>2.98395</v>
      </c>
      <c r="AS48" s="214"/>
      <c r="AT48" s="214"/>
      <c r="AU48" s="214"/>
      <c r="AV48" s="214"/>
      <c r="AW48" s="214"/>
      <c r="AX48" s="214"/>
      <c r="AY48" s="214"/>
    </row>
    <row r="49">
      <c r="A49" s="126" t="str">
        <f>Raw!A49</f>
        <v>D24</v>
      </c>
      <c r="B49" s="208">
        <f>if(isnumber(O49),if(isblank(Raw!Z49),O49,concatenate(O49," (E)")),"ERROR")</f>
        <v>517.8</v>
      </c>
      <c r="C49" s="174">
        <f>ifs(Raw!S49="NR","NR",isblank(O49),"ERROR",1,O49*Raw!S49)</f>
        <v>23301</v>
      </c>
      <c r="D49" s="209" t="str">
        <f>ifs(AND(isnumber(Raw!X49),isnumber(Raw!Y49)),Raw!X49-Raw!Y49, AND(isnumber(Raw!U49),isnumber(Raw!V49)),Raw!U49-Raw!V49,1,)</f>
        <v/>
      </c>
      <c r="E49" s="209">
        <f>IFS(isnumber(Raw!X49),Raw!X49/2,isnumber(Raw!U49),Raw!U49/2,1,)</f>
        <v>12.5</v>
      </c>
      <c r="F49" s="209">
        <f t="shared" si="2"/>
        <v>490.9</v>
      </c>
      <c r="G49" s="209" t="str">
        <f>if(and(isnumber(Raw!U49),isnumber(Raw!V49)),round(Raw!U49*Raw!V49,1),)</f>
        <v/>
      </c>
      <c r="H49" s="209" t="str">
        <f>if(and(isnumber(Raw!U49),isnumber(Raw!V49)),round(pi()*Raw!U49/2*Raw!V49/2,1),)</f>
        <v/>
      </c>
      <c r="I49" s="210">
        <f t="shared" si="3"/>
        <v>490.9</v>
      </c>
      <c r="J49" s="209">
        <f t="shared" si="4"/>
        <v>541.3</v>
      </c>
      <c r="K49" s="209">
        <f t="shared" si="5"/>
        <v>526.7</v>
      </c>
      <c r="L49" s="209">
        <f t="shared" si="6"/>
        <v>517.8</v>
      </c>
      <c r="M49" s="209">
        <f t="shared" si="7"/>
        <v>511.8</v>
      </c>
      <c r="N49" s="210" t="str">
        <f>if(and(isnumber(Raw!U49),isnumber(Raw!V49),isnumber(Raw!W49)),0.5*Pi()*(Raw!V49/2)^2+(Raw!W49*(Raw!U49-0.5*Raw!V49))+2*((Raw!V49-Raw!W49)/2*(Raw!U49-0.5*Raw!V49)),)</f>
        <v/>
      </c>
      <c r="O49" s="174">
        <f>ifs(Raw!M49="Rectangle",G49,Raw!M49="Cut-teardrop",N49,Raw!M49="Oval",H49,Raw!M49="Flat Circle",I49,Raw!M49="Oval to Circle",F49,Raw!M49="Circle",F49,AND(Raw!M49="Circle to Oval",isnumber(Raw!X49),isblank(Raw!Z49)),F49,Raw!M49="Hexagon",J49,Raw!M49="Septagon",K49,Raw!M49="Octagon",L49,Raw!M49="Nonagon",M49)</f>
        <v>517.8</v>
      </c>
      <c r="Q49" s="211">
        <f>if(AND(isnumber(Raw!BW49),isnumber(Raw!CJ49)),Raw!BW49+Raw!CJ49,Raw!CE49)</f>
        <v>361</v>
      </c>
      <c r="R49" s="126">
        <f>if(isnumber(Raw!CE49),Raw!CE49,)</f>
        <v>173</v>
      </c>
      <c r="S49" s="144">
        <f>if(isblank(Raw!AT49),Raw!AS49,Raw!AT49)</f>
        <v>900</v>
      </c>
      <c r="T49" s="145"/>
      <c r="U49" s="212">
        <f>ifs(istext(Raw!AT49),Raw!AT49,AND(Raw!AT49&gt;0,isblank(Raw!AS49)),Raw!AT49,1,Raw!AS49)</f>
        <v>900</v>
      </c>
      <c r="V49" s="144"/>
      <c r="W49" s="130"/>
      <c r="Y49" s="125" t="s">
        <v>123</v>
      </c>
      <c r="Z49" s="125" t="s">
        <v>110</v>
      </c>
      <c r="AA49" s="213">
        <f>ifs(AND(Raw!BH49=0,Raw!BK49&gt;0),Raw!BK49*Numbers!J$1,OR(iserror(AB49),Raw!BK49="NR"),"?",1,AB49*Raw!BH49+Raw!BK49*Numbers!J$1)</f>
        <v>10.88426174</v>
      </c>
      <c r="AB49" s="130">
        <f>(Raw!AY49*vlookup(Raw!AX49,Ores[],11,FALSE)+if(isblank(Raw!AZ49),0,Raw!BA49*vlookup(Raw!AZ49,Ores[],11,FALSE))+if(isblank(Raw!BB49),0,Raw!BC49*vlookup(Raw!BB49,Ores[],11,FALSE))+if(isblank(Raw!BD49),0,Raw!BE49*vlookup(Raw!BD49,Ores[],11,FALSE))+if(isblank(Raw!BF49),0,Raw!BG49*vlookup(Raw!BF49,Ores[],11,FALSE)))/Raw!BH49</f>
        <v>0.4535109057</v>
      </c>
      <c r="AC49" s="130">
        <f>if(AND(isblank(Raw!BK49),isblank(Raw!BM49),isnumber(Raw!CS49),Raw!CS49&gt;0),if(isnumber(Raw!BL49),Raw!CS49/Raw!BL49,Raw!BL49),)</f>
        <v>0.1104166667</v>
      </c>
      <c r="AD49" s="130" t="str">
        <f>if(AND(Raw!BK49&gt;0,isblank(Raw!BM49),isnumber(Raw!CS49),Raw!CS49&gt;0),if(isnumber(Raw!BL49),Raw!CS49/Raw!BL49,Raw!BL49),)</f>
        <v/>
      </c>
      <c r="AE49" s="130" t="str">
        <f>if(AND(isblank(Raw!BK49),Raw!BM49&gt;0,isnumber(Raw!CS49),Raw!CS49&gt;0),if(isnumber(Raw!BL49),Raw!CS49/Raw!BL49,Raw!BL49),)</f>
        <v/>
      </c>
      <c r="AF49" s="130" t="str">
        <f>if(AND(Raw!BK49&gt;0,Raw!BM49&gt;0,isnumber(Raw!CS49),Raw!CS49&gt;0),if(isnumber(Raw!BL49),Raw!CS49/Raw!BL49,Raw!BL49),)</f>
        <v/>
      </c>
      <c r="AG49" s="214" t="str">
        <f>if(AND(isblank(Raw!BK49),Raw!BM49&gt;0,isnumber(Raw!CS49),Raw!CS49&gt;0),Raw!BM49,)</f>
        <v/>
      </c>
      <c r="AH49" s="215">
        <f t="shared" si="8"/>
        <v>0.4535109057</v>
      </c>
      <c r="AI49" s="214" t="str">
        <f t="shared" ref="AI49:AK49" si="55">if(AND(AD49&gt;0,isnumber($AB49)),$AB49,)</f>
        <v/>
      </c>
      <c r="AJ49" s="214" t="str">
        <f t="shared" si="55"/>
        <v/>
      </c>
      <c r="AK49" s="214" t="str">
        <f t="shared" si="55"/>
        <v/>
      </c>
      <c r="AL49" s="214" t="str">
        <f>if(AND(Raw!BK49&gt;0,isblank(Raw!BM49),isnumber(Raw!CS49),Raw!CS49&gt;0),Raw!BK49,)</f>
        <v/>
      </c>
      <c r="AM49" s="214" t="str">
        <f>if(AND(Raw!BK49&gt;0,Raw!BM49&gt;0,isnumber(Raw!CS49),Raw!CS49&gt;0),Raw!BM49,)</f>
        <v/>
      </c>
      <c r="AN49" s="214" t="str">
        <f>if(AND(Raw!BK49&gt;0,Raw!BM49&gt;0,isnumber(Raw!CS49),Raw!CS49&gt;0),Raw!BK49,)</f>
        <v/>
      </c>
      <c r="AO49" s="214" t="str">
        <f t="array" ref="AO49">if(Raw!H49="Vinland",max(AO$1:indirect("AO"&amp;(row()-1)))+1,)</f>
        <v/>
      </c>
      <c r="AP49" s="214" t="str">
        <f t="array" ref="AP49">if(Raw!H49="Icelandic",max(AP$1:indirect("AP"&amp;(row()-1)))+1,)</f>
        <v/>
      </c>
      <c r="AQ49" s="214" t="str">
        <f t="array" ref="AQ49">if(Raw!H49="Turf-to-Tools",max(AQ$1:indirect("AQ"&amp;(row()-1)))+1,)</f>
        <v/>
      </c>
      <c r="AR49" s="216">
        <f>IFS(OR(iserror(Raw!BP49),iserror(Raw!BQ49)),"NR",OR(Raw!BP49="?",Raw!BQ49="?"),"?",1,(Raw!BP49+Raw!BQ49)*Raw!BH49/100)</f>
        <v>4.7856</v>
      </c>
      <c r="AS49" s="214"/>
      <c r="AT49" s="214"/>
      <c r="AU49" s="214"/>
      <c r="AV49" s="214"/>
      <c r="AW49" s="214"/>
      <c r="AX49" s="214"/>
      <c r="AY49" s="214"/>
    </row>
    <row r="50">
      <c r="A50" s="126" t="str">
        <f>Raw!A50</f>
        <v>D25</v>
      </c>
      <c r="B50" s="208">
        <f>if(isnumber(O50),if(isblank(Raw!Z50),O50,concatenate(O50," (E)")),"ERROR")</f>
        <v>517.8</v>
      </c>
      <c r="C50" s="174">
        <f>ifs(Raw!S50="NR","NR",isblank(O50),"ERROR",1,O50*Raw!S50)</f>
        <v>23301</v>
      </c>
      <c r="D50" s="209" t="str">
        <f>ifs(AND(isnumber(Raw!X50),isnumber(Raw!Y50)),Raw!X50-Raw!Y50, AND(isnumber(Raw!U50),isnumber(Raw!V50)),Raw!U50-Raw!V50,1,)</f>
        <v/>
      </c>
      <c r="E50" s="209">
        <f>IFS(isnumber(Raw!X50),Raw!X50/2,isnumber(Raw!U50),Raw!U50/2,1,)</f>
        <v>12.5</v>
      </c>
      <c r="F50" s="209">
        <f t="shared" si="2"/>
        <v>490.9</v>
      </c>
      <c r="G50" s="209" t="str">
        <f>if(and(isnumber(Raw!U50),isnumber(Raw!V50)),round(Raw!U50*Raw!V50,1),)</f>
        <v/>
      </c>
      <c r="H50" s="209" t="str">
        <f>if(and(isnumber(Raw!U50),isnumber(Raw!V50)),round(pi()*Raw!U50/2*Raw!V50/2,1),)</f>
        <v/>
      </c>
      <c r="I50" s="210">
        <f t="shared" si="3"/>
        <v>490.9</v>
      </c>
      <c r="J50" s="209">
        <f t="shared" si="4"/>
        <v>541.3</v>
      </c>
      <c r="K50" s="209">
        <f t="shared" si="5"/>
        <v>526.7</v>
      </c>
      <c r="L50" s="209">
        <f t="shared" si="6"/>
        <v>517.8</v>
      </c>
      <c r="M50" s="209">
        <f t="shared" si="7"/>
        <v>511.8</v>
      </c>
      <c r="N50" s="210" t="str">
        <f>if(and(isnumber(Raw!U50),isnumber(Raw!V50),isnumber(Raw!W50)),0.5*Pi()*(Raw!V50/2)^2+(Raw!W50*(Raw!U50-0.5*Raw!V50))+2*((Raw!V50-Raw!W50)/2*(Raw!U50-0.5*Raw!V50)),)</f>
        <v/>
      </c>
      <c r="O50" s="174">
        <f>ifs(Raw!M50="Rectangle",G50,Raw!M50="Cut-teardrop",N50,Raw!M50="Oval",H50,Raw!M50="Flat Circle",I50,Raw!M50="Oval to Circle",F50,Raw!M50="Circle",F50,AND(Raw!M50="Circle to Oval",isnumber(Raw!X50),isblank(Raw!Z50)),F50,Raw!M50="Hexagon",J50,Raw!M50="Septagon",K50,Raw!M50="Octagon",L50,Raw!M50="Nonagon",M50)</f>
        <v>517.8</v>
      </c>
      <c r="Q50" s="211">
        <f>if(AND(isnumber(Raw!BW50),isnumber(Raw!CJ50)),Raw!BW50+Raw!CJ50,Raw!CE50)</f>
        <v>273</v>
      </c>
      <c r="R50" s="126">
        <f>if(isnumber(Raw!CE50),Raw!CE50,)</f>
        <v>273</v>
      </c>
      <c r="S50" s="144">
        <f>if(isblank(Raw!AT50),Raw!AS50,Raw!AT50)</f>
        <v>900</v>
      </c>
      <c r="T50" s="145"/>
      <c r="U50" s="212">
        <f>ifs(istext(Raw!AT50),Raw!AT50,AND(Raw!AT50&gt;0,isblank(Raw!AS50)),Raw!AT50,1,Raw!AS50)</f>
        <v>900</v>
      </c>
      <c r="V50" s="144"/>
      <c r="W50" s="130"/>
      <c r="Y50" s="125" t="s">
        <v>123</v>
      </c>
      <c r="Z50" s="125" t="s">
        <v>110</v>
      </c>
      <c r="AA50" s="213">
        <f>ifs(AND(Raw!BH50=0,Raw!BK50&gt;0),Raw!BK50*Numbers!J$1,OR(iserror(AB50),Raw!BK50="NR"),"?",1,AB50*Raw!BH50+Raw!BK50*Numbers!J$1)</f>
        <v>14.84217514</v>
      </c>
      <c r="AB50" s="130">
        <f>(Raw!AY50*vlookup(Raw!AX50,Ores[],11,FALSE)+if(isblank(Raw!AZ50),0,Raw!BA50*vlookup(Raw!AZ50,Ores[],11,FALSE))+if(isblank(Raw!BB50),0,Raw!BC50*vlookup(Raw!BB50,Ores[],11,FALSE))+if(isblank(Raw!BD50),0,Raw!BE50*vlookup(Raw!BD50,Ores[],11,FALSE))+if(isblank(Raw!BF50),0,Raw!BG50*vlookup(Raw!BF50,Ores[],11,FALSE)))/Raw!BH50</f>
        <v>0.5708528899</v>
      </c>
      <c r="AC50" s="130">
        <f>if(AND(isblank(Raw!BK50),isblank(Raw!BM50),isnumber(Raw!CS50),Raw!CS50&gt;0),if(isnumber(Raw!BL50),Raw!CS50/Raw!BL50,Raw!BL50),)</f>
        <v>0.1923076923</v>
      </c>
      <c r="AD50" s="130" t="str">
        <f>if(AND(Raw!BK50&gt;0,isblank(Raw!BM50),isnumber(Raw!CS50),Raw!CS50&gt;0),if(isnumber(Raw!BL50),Raw!CS50/Raw!BL50,Raw!BL50),)</f>
        <v/>
      </c>
      <c r="AE50" s="130" t="str">
        <f>if(AND(isblank(Raw!BK50),Raw!BM50&gt;0,isnumber(Raw!CS50),Raw!CS50&gt;0),if(isnumber(Raw!BL50),Raw!CS50/Raw!BL50,Raw!BL50),)</f>
        <v/>
      </c>
      <c r="AF50" s="130" t="str">
        <f>if(AND(Raw!BK50&gt;0,Raw!BM50&gt;0,isnumber(Raw!CS50),Raw!CS50&gt;0),if(isnumber(Raw!BL50),Raw!CS50/Raw!BL50,Raw!BL50),)</f>
        <v/>
      </c>
      <c r="AG50" s="214" t="str">
        <f>if(AND(isblank(Raw!BK50),Raw!BM50&gt;0,isnumber(Raw!CS50),Raw!CS50&gt;0),Raw!BM50,)</f>
        <v/>
      </c>
      <c r="AH50" s="215">
        <f t="shared" si="8"/>
        <v>0.5708528899</v>
      </c>
      <c r="AI50" s="214" t="str">
        <f t="shared" ref="AI50:AK50" si="56">if(AND(AD50&gt;0,isnumber($AB50)),$AB50,)</f>
        <v/>
      </c>
      <c r="AJ50" s="214" t="str">
        <f t="shared" si="56"/>
        <v/>
      </c>
      <c r="AK50" s="214" t="str">
        <f t="shared" si="56"/>
        <v/>
      </c>
      <c r="AL50" s="214" t="str">
        <f>if(AND(Raw!BK50&gt;0,isblank(Raw!BM50),isnumber(Raw!CS50),Raw!CS50&gt;0),Raw!BK50,)</f>
        <v/>
      </c>
      <c r="AM50" s="214" t="str">
        <f>if(AND(Raw!BK50&gt;0,Raw!BM50&gt;0,isnumber(Raw!CS50),Raw!CS50&gt;0),Raw!BM50,)</f>
        <v/>
      </c>
      <c r="AN50" s="214" t="str">
        <f>if(AND(Raw!BK50&gt;0,Raw!BM50&gt;0,isnumber(Raw!CS50),Raw!CS50&gt;0),Raw!BK50,)</f>
        <v/>
      </c>
      <c r="AO50" s="214" t="str">
        <f t="array" ref="AO50">if(Raw!H50="Vinland",max(AO$1:indirect("AO"&amp;(row()-1)))+1,)</f>
        <v/>
      </c>
      <c r="AP50" s="214" t="str">
        <f t="array" ref="AP50">if(Raw!H50="Icelandic",max(AP$1:indirect("AP"&amp;(row()-1)))+1,)</f>
        <v/>
      </c>
      <c r="AQ50" s="214" t="str">
        <f t="array" ref="AQ50">if(Raw!H50="Turf-to-Tools",max(AQ$1:indirect("AQ"&amp;(row()-1)))+1,)</f>
        <v/>
      </c>
      <c r="AR50" s="216">
        <f>IFS(OR(iserror(Raw!BP50),iserror(Raw!BQ50)),"NR",OR(Raw!BP50="?",Raw!BQ50="?"),"?",1,(Raw!BP50+Raw!BQ50)*Raw!BH50/100)</f>
        <v>1.593548387</v>
      </c>
      <c r="AS50" s="214"/>
      <c r="AT50" s="214"/>
      <c r="AU50" s="214"/>
      <c r="AV50" s="214"/>
      <c r="AW50" s="214"/>
      <c r="AX50" s="214"/>
      <c r="AY50" s="214"/>
    </row>
    <row r="51">
      <c r="A51" s="126" t="str">
        <f>Raw!A51</f>
        <v>48 / D26</v>
      </c>
      <c r="B51" s="208">
        <f>if(isnumber(O51),if(isblank(Raw!Z51),O51,concatenate(O51," (E)")),"ERROR")</f>
        <v>490.9</v>
      </c>
      <c r="C51" s="174">
        <f>ifs(Raw!S51="NR","NR",isblank(O51),"ERROR",1,O51*Raw!S51)</f>
        <v>21108.7</v>
      </c>
      <c r="D51" s="209" t="str">
        <f>ifs(AND(isnumber(Raw!X51),isnumber(Raw!Y51)),Raw!X51-Raw!Y51, AND(isnumber(Raw!U51),isnumber(Raw!V51)),Raw!U51-Raw!V51,1,)</f>
        <v/>
      </c>
      <c r="E51" s="209">
        <f>IFS(isnumber(Raw!X51),Raw!X51/2,isnumber(Raw!U51),Raw!U51/2,1,)</f>
        <v>12.5</v>
      </c>
      <c r="F51" s="209">
        <f t="shared" si="2"/>
        <v>490.9</v>
      </c>
      <c r="G51" s="209" t="str">
        <f>if(and(isnumber(Raw!U51),isnumber(Raw!V51)),round(Raw!U51*Raw!V51,1),)</f>
        <v/>
      </c>
      <c r="H51" s="209" t="str">
        <f>if(and(isnumber(Raw!U51),isnumber(Raw!V51)),round(pi()*Raw!U51/2*Raw!V51/2,1),)</f>
        <v/>
      </c>
      <c r="I51" s="210">
        <f t="shared" si="3"/>
        <v>490.9</v>
      </c>
      <c r="J51" s="209">
        <f t="shared" si="4"/>
        <v>541.3</v>
      </c>
      <c r="K51" s="209">
        <f t="shared" si="5"/>
        <v>526.7</v>
      </c>
      <c r="L51" s="209">
        <f t="shared" si="6"/>
        <v>517.8</v>
      </c>
      <c r="M51" s="209">
        <f t="shared" si="7"/>
        <v>511.8</v>
      </c>
      <c r="N51" s="210" t="str">
        <f>if(and(isnumber(Raw!U51),isnumber(Raw!V51),isnumber(Raw!W51)),0.5*Pi()*(Raw!V51/2)^2+(Raw!W51*(Raw!U51-0.5*Raw!V51))+2*((Raw!V51-Raw!W51)/2*(Raw!U51-0.5*Raw!V51)),)</f>
        <v/>
      </c>
      <c r="O51" s="174">
        <f>ifs(Raw!M51="Rectangle",G51,Raw!M51="Cut-teardrop",N51,Raw!M51="Oval",H51,Raw!M51="Flat Circle",I51,Raw!M51="Oval to Circle",F51,Raw!M51="Circle",F51,AND(Raw!M51="Circle to Oval",isnumber(Raw!X51),isblank(Raw!Z51)),F51,Raw!M51="Hexagon",J51,Raw!M51="Septagon",K51,Raw!M51="Octagon",L51,Raw!M51="Nonagon",M51)</f>
        <v>490.9</v>
      </c>
      <c r="Q51" s="211">
        <f>if(AND(isnumber(Raw!BW51),isnumber(Raw!CJ51)),Raw!BW51+Raw!CJ51,Raw!CE51)</f>
        <v>461</v>
      </c>
      <c r="R51" s="126">
        <f>if(isnumber(Raw!CE51),Raw!CE51,)</f>
        <v>259</v>
      </c>
      <c r="S51" s="144">
        <f>if(isblank(Raw!AT51),Raw!AS51,Raw!AT51)</f>
        <v>800</v>
      </c>
      <c r="T51" s="145"/>
      <c r="U51" s="212">
        <f>ifs(istext(Raw!AT51),Raw!AT51,AND(Raw!AT51&gt;0,isblank(Raw!AS51)),Raw!AT51,1,Raw!AS51)</f>
        <v>800</v>
      </c>
      <c r="V51" s="144"/>
      <c r="W51" s="130"/>
      <c r="Y51" s="125" t="s">
        <v>123</v>
      </c>
      <c r="Z51" s="125" t="s">
        <v>123</v>
      </c>
      <c r="AA51" s="213">
        <f>ifs(AND(Raw!BH51=0,Raw!BK51&gt;0),Raw!BK51*Numbers!J$1,OR(iserror(AB51),Raw!BK51="NR"),"?",1,AB51*Raw!BH51+Raw!BK51*Numbers!J$1)</f>
        <v>23.99520868</v>
      </c>
      <c r="AB51" s="130">
        <f>(Raw!AY51*vlookup(Raw!AX51,Ores[],11,FALSE)+if(isblank(Raw!AZ51),0,Raw!BA51*vlookup(Raw!AZ51,Ores[],11,FALSE))+if(isblank(Raw!BB51),0,Raw!BC51*vlookup(Raw!BB51,Ores[],11,FALSE))+if(isblank(Raw!BD51),0,Raw!BE51*vlookup(Raw!BD51,Ores[],11,FALSE))+if(isblank(Raw!BF51),0,Raw!BG51*vlookup(Raw!BF51,Ores[],11,FALSE)))/Raw!BH51</f>
        <v>0.4999001809</v>
      </c>
      <c r="AC51" s="130" t="str">
        <f>if(AND(isblank(Raw!BK51),isblank(Raw!BM51),isnumber(Raw!CS51),Raw!CS51&gt;0),if(isnumber(Raw!BL51),Raw!CS51/Raw!BL51,Raw!BL51),)</f>
        <v/>
      </c>
      <c r="AD51" s="130" t="str">
        <f>if(AND(Raw!BK51&gt;0,isblank(Raw!BM51),isnumber(Raw!CS51),Raw!CS51&gt;0),if(isnumber(Raw!BL51),Raw!CS51/Raw!BL51,Raw!BL51),)</f>
        <v/>
      </c>
      <c r="AE51" s="130" t="str">
        <f>if(AND(isblank(Raw!BK51),Raw!BM51&gt;0,isnumber(Raw!CS51),Raw!CS51&gt;0),if(isnumber(Raw!BL51),Raw!CS51/Raw!BL51,Raw!BL51),)</f>
        <v/>
      </c>
      <c r="AF51" s="130" t="str">
        <f>if(AND(Raw!BK51&gt;0,Raw!BM51&gt;0,isnumber(Raw!CS51),Raw!CS51&gt;0),if(isnumber(Raw!BL51),Raw!CS51/Raw!BL51,Raw!BL51),)</f>
        <v/>
      </c>
      <c r="AG51" s="214" t="str">
        <f>if(AND(isblank(Raw!BK51),Raw!BM51&gt;0,isnumber(Raw!CS51),Raw!CS51&gt;0),Raw!BM51,)</f>
        <v/>
      </c>
      <c r="AH51" s="214" t="str">
        <f t="shared" si="8"/>
        <v/>
      </c>
      <c r="AI51" s="214" t="str">
        <f t="shared" ref="AI51:AK51" si="57">if(AND(AD51&gt;0,isnumber($AB51)),$AB51,)</f>
        <v/>
      </c>
      <c r="AJ51" s="214" t="str">
        <f t="shared" si="57"/>
        <v/>
      </c>
      <c r="AK51" s="214" t="str">
        <f t="shared" si="57"/>
        <v/>
      </c>
      <c r="AL51" s="214" t="str">
        <f>if(AND(Raw!BK51&gt;0,isblank(Raw!BM51),isnumber(Raw!CS51),Raw!CS51&gt;0),Raw!BK51,)</f>
        <v/>
      </c>
      <c r="AM51" s="214" t="str">
        <f>if(AND(Raw!BK51&gt;0,Raw!BM51&gt;0,isnumber(Raw!CS51),Raw!CS51&gt;0),Raw!BM51,)</f>
        <v/>
      </c>
      <c r="AN51" s="214" t="str">
        <f>if(AND(Raw!BK51&gt;0,Raw!BM51&gt;0,isnumber(Raw!CS51),Raw!CS51&gt;0),Raw!BK51,)</f>
        <v/>
      </c>
      <c r="AO51" s="214" t="str">
        <f t="array" ref="AO51">if(Raw!H51="Vinland",max(AO$1:indirect("AO"&amp;(row()-1)))+1,)</f>
        <v/>
      </c>
      <c r="AP51" s="214" t="str">
        <f t="array" ref="AP51">if(Raw!H51="Icelandic",max(AP$1:indirect("AP"&amp;(row()-1)))+1,)</f>
        <v/>
      </c>
      <c r="AQ51" s="214" t="str">
        <f t="array" ref="AQ51">if(Raw!H51="Turf-to-Tools",max(AQ$1:indirect("AQ"&amp;(row()-1)))+1,)</f>
        <v/>
      </c>
      <c r="AR51" s="216">
        <f>IFS(OR(iserror(Raw!BP51),iserror(Raw!BQ51)),"NR",OR(Raw!BP51="?",Raw!BQ51="?"),"?",1,(Raw!BP51+Raw!BQ51)*Raw!BH51/100)</f>
        <v>6.613687097</v>
      </c>
      <c r="AS51" s="214"/>
      <c r="AT51" s="214"/>
      <c r="AU51" s="214"/>
      <c r="AV51" s="214"/>
      <c r="AW51" s="214"/>
      <c r="AX51" s="214"/>
      <c r="AY51" s="214"/>
    </row>
    <row r="52">
      <c r="A52" s="126">
        <f>Raw!A52</f>
        <v>49</v>
      </c>
      <c r="B52" s="208">
        <f>if(isnumber(O52),if(isblank(Raw!Z52),O52,concatenate(O52," (E)")),"ERROR")</f>
        <v>490.9</v>
      </c>
      <c r="C52" s="174">
        <f>ifs(Raw!S52="NR","NR",isblank(O52),"ERROR",1,O52*Raw!S52)</f>
        <v>21108.7</v>
      </c>
      <c r="D52" s="209" t="str">
        <f>ifs(AND(isnumber(Raw!X52),isnumber(Raw!Y52)),Raw!X52-Raw!Y52, AND(isnumber(Raw!U52),isnumber(Raw!V52)),Raw!U52-Raw!V52,1,)</f>
        <v/>
      </c>
      <c r="E52" s="209">
        <f>IFS(isnumber(Raw!X52),Raw!X52/2,isnumber(Raw!U52),Raw!U52/2,1,)</f>
        <v>12.5</v>
      </c>
      <c r="F52" s="209">
        <f t="shared" si="2"/>
        <v>490.9</v>
      </c>
      <c r="G52" s="209" t="str">
        <f>if(and(isnumber(Raw!U52),isnumber(Raw!V52)),round(Raw!U52*Raw!V52,1),)</f>
        <v/>
      </c>
      <c r="H52" s="209" t="str">
        <f>if(and(isnumber(Raw!U52),isnumber(Raw!V52)),round(pi()*Raw!U52/2*Raw!V52/2,1),)</f>
        <v/>
      </c>
      <c r="I52" s="210">
        <f t="shared" si="3"/>
        <v>490.9</v>
      </c>
      <c r="J52" s="209">
        <f t="shared" si="4"/>
        <v>541.3</v>
      </c>
      <c r="K52" s="209">
        <f t="shared" si="5"/>
        <v>526.7</v>
      </c>
      <c r="L52" s="209">
        <f t="shared" si="6"/>
        <v>517.8</v>
      </c>
      <c r="M52" s="209">
        <f t="shared" si="7"/>
        <v>511.8</v>
      </c>
      <c r="N52" s="210" t="str">
        <f>if(and(isnumber(Raw!U52),isnumber(Raw!V52),isnumber(Raw!W52)),0.5*Pi()*(Raw!V52/2)^2+(Raw!W52*(Raw!U52-0.5*Raw!V52))+2*((Raw!V52-Raw!W52)/2*(Raw!U52-0.5*Raw!V52)),)</f>
        <v/>
      </c>
      <c r="O52" s="174">
        <f>ifs(Raw!M52="Rectangle",G52,Raw!M52="Cut-teardrop",N52,Raw!M52="Oval",H52,Raw!M52="Flat Circle",I52,Raw!M52="Oval to Circle",F52,Raw!M52="Circle",F52,AND(Raw!M52="Circle to Oval",isnumber(Raw!X52),isblank(Raw!Z52)),F52,Raw!M52="Hexagon",J52,Raw!M52="Septagon",K52,Raw!M52="Octagon",L52,Raw!M52="Nonagon",M52)</f>
        <v>490.9</v>
      </c>
      <c r="Q52" s="211">
        <f>if(AND(isnumber(Raw!BW52),isnumber(Raw!CJ52)),Raw!BW52+Raw!CJ52,Raw!CE52)</f>
        <v>320</v>
      </c>
      <c r="R52" s="126">
        <f>if(isnumber(Raw!CE52),Raw!CE52,)</f>
        <v>142</v>
      </c>
      <c r="S52" s="144">
        <f>if(isblank(Raw!AT52),Raw!AS52,Raw!AT52)</f>
        <v>900</v>
      </c>
      <c r="T52" s="145"/>
      <c r="U52" s="212">
        <f>ifs(istext(Raw!AT52),Raw!AT52,AND(Raw!AT52&gt;0,isblank(Raw!AS52)),Raw!AT52,1,Raw!AS52)</f>
        <v>900</v>
      </c>
      <c r="V52" s="144"/>
      <c r="W52" s="130"/>
      <c r="Y52" s="125" t="s">
        <v>123</v>
      </c>
      <c r="Z52" s="125" t="s">
        <v>123</v>
      </c>
      <c r="AA52" s="213">
        <f>ifs(AND(Raw!BH52=0,Raw!BK52&gt;0),Raw!BK52*Numbers!J$1,OR(iserror(AB52),Raw!BK52="NR"),"?",1,AB52*Raw!BH52+Raw!BK52*Numbers!J$1)</f>
        <v>12.55618103</v>
      </c>
      <c r="AB52" s="130">
        <f>(Raw!AY52*vlookup(Raw!AX52,Ores[],11,FALSE)+if(isblank(Raw!AZ52),0,Raw!BA52*vlookup(Raw!AZ52,Ores[],11,FALSE))+if(isblank(Raw!BB52),0,Raw!BC52*vlookup(Raw!BB52,Ores[],11,FALSE))+if(isblank(Raw!BD52),0,Raw!BE52*vlookup(Raw!BD52,Ores[],11,FALSE))+if(isblank(Raw!BF52),0,Raw!BG52*vlookup(Raw!BF52,Ores[],11,FALSE)))/Raw!BH52</f>
        <v>0.6539677619</v>
      </c>
      <c r="AC52" s="130">
        <f>if(AND(isblank(Raw!BK52),isblank(Raw!BM52),isnumber(Raw!CS52),Raw!CS52&gt;0),if(isnumber(Raw!BL52),Raw!CS52/Raw!BL52,Raw!BL52),)</f>
        <v>0.3333333333</v>
      </c>
      <c r="AD52" s="130" t="str">
        <f>if(AND(Raw!BK52&gt;0,isblank(Raw!BM52),isnumber(Raw!CS52),Raw!CS52&gt;0),if(isnumber(Raw!BL52),Raw!CS52/Raw!BL52,Raw!BL52),)</f>
        <v/>
      </c>
      <c r="AE52" s="130" t="str">
        <f>if(AND(isblank(Raw!BK52),Raw!BM52&gt;0,isnumber(Raw!CS52),Raw!CS52&gt;0),if(isnumber(Raw!BL52),Raw!CS52/Raw!BL52,Raw!BL52),)</f>
        <v/>
      </c>
      <c r="AF52" s="130" t="str">
        <f>if(AND(Raw!BK52&gt;0,Raw!BM52&gt;0,isnumber(Raw!CS52),Raw!CS52&gt;0),if(isnumber(Raw!BL52),Raw!CS52/Raw!BL52,Raw!BL52),)</f>
        <v/>
      </c>
      <c r="AG52" s="214" t="str">
        <f>if(AND(isblank(Raw!BK52),Raw!BM52&gt;0,isnumber(Raw!CS52),Raw!CS52&gt;0),Raw!BM52,)</f>
        <v/>
      </c>
      <c r="AH52" s="215">
        <f t="shared" si="8"/>
        <v>0.6539677619</v>
      </c>
      <c r="AI52" s="214" t="str">
        <f t="shared" ref="AI52:AK52" si="58">if(AND(AD52&gt;0,isnumber($AB52)),$AB52,)</f>
        <v/>
      </c>
      <c r="AJ52" s="214" t="str">
        <f t="shared" si="58"/>
        <v/>
      </c>
      <c r="AK52" s="214" t="str">
        <f t="shared" si="58"/>
        <v/>
      </c>
      <c r="AL52" s="214" t="str">
        <f>if(AND(Raw!BK52&gt;0,isblank(Raw!BM52),isnumber(Raw!CS52),Raw!CS52&gt;0),Raw!BK52,)</f>
        <v/>
      </c>
      <c r="AM52" s="214" t="str">
        <f>if(AND(Raw!BK52&gt;0,Raw!BM52&gt;0,isnumber(Raw!CS52),Raw!CS52&gt;0),Raw!BM52,)</f>
        <v/>
      </c>
      <c r="AN52" s="214" t="str">
        <f>if(AND(Raw!BK52&gt;0,Raw!BM52&gt;0,isnumber(Raw!CS52),Raw!CS52&gt;0),Raw!BK52,)</f>
        <v/>
      </c>
      <c r="AO52" s="214" t="str">
        <f t="array" ref="AO52">if(Raw!H52="Vinland",max(AO$1:indirect("AO"&amp;(row()-1)))+1,)</f>
        <v/>
      </c>
      <c r="AP52" s="214" t="str">
        <f t="array" ref="AP52">if(Raw!H52="Icelandic",max(AP$1:indirect("AP"&amp;(row()-1)))+1,)</f>
        <v/>
      </c>
      <c r="AQ52" s="214" t="str">
        <f t="array" ref="AQ52">if(Raw!H52="Turf-to-Tools",max(AQ$1:indirect("AQ"&amp;(row()-1)))+1,)</f>
        <v/>
      </c>
      <c r="AR52" s="216">
        <f>IFS(OR(iserror(Raw!BP52),iserror(Raw!BQ52)),"NR",OR(Raw!BP52="?",Raw!BQ52="?"),"?",1,(Raw!BP52+Raw!BQ52)*Raw!BH52/100)</f>
        <v>0.97728</v>
      </c>
      <c r="AS52" s="214"/>
      <c r="AT52" s="214"/>
      <c r="AU52" s="214"/>
      <c r="AV52" s="214"/>
      <c r="AW52" s="214"/>
      <c r="AX52" s="214"/>
      <c r="AY52" s="214"/>
    </row>
    <row r="53">
      <c r="A53" s="126">
        <f>Raw!A53</f>
        <v>50</v>
      </c>
      <c r="B53" s="208">
        <f>if(isnumber(O53),if(isblank(Raw!Z53),O53,concatenate(O53," (E)")),"ERROR")</f>
        <v>637.9</v>
      </c>
      <c r="C53" s="174">
        <f>ifs(Raw!S53="NR","NR",isblank(O53),"ERROR",1,O53*Raw!S53)</f>
        <v>30619.2</v>
      </c>
      <c r="D53" s="209">
        <f>ifs(AND(isnumber(Raw!X53),isnumber(Raw!Y53)),Raw!X53-Raw!Y53, AND(isnumber(Raw!U53),isnumber(Raw!V53)),Raw!U53-Raw!V53,1,)</f>
        <v>3.5</v>
      </c>
      <c r="E53" s="209">
        <f>IFS(isnumber(Raw!X53),Raw!X53/2,isnumber(Raw!U53),Raw!U53/2,1,)</f>
        <v>14.25</v>
      </c>
      <c r="F53" s="209">
        <f t="shared" si="2"/>
        <v>637.9</v>
      </c>
      <c r="G53" s="209">
        <f>if(and(isnumber(Raw!U53),isnumber(Raw!V53)),round(Raw!U53*Raw!V53,1),)</f>
        <v>739.5</v>
      </c>
      <c r="H53" s="209">
        <f>if(and(isnumber(Raw!U53),isnumber(Raw!V53)),round(pi()*Raw!U53/2*Raw!V53/2,1),)</f>
        <v>580.8</v>
      </c>
      <c r="I53" s="210">
        <f t="shared" si="3"/>
        <v>593.048428</v>
      </c>
      <c r="J53" s="209">
        <f t="shared" si="4"/>
        <v>703.4</v>
      </c>
      <c r="K53" s="209">
        <f t="shared" si="5"/>
        <v>684.5</v>
      </c>
      <c r="L53" s="209">
        <f t="shared" si="6"/>
        <v>672.9</v>
      </c>
      <c r="M53" s="209">
        <f t="shared" si="7"/>
        <v>665.2</v>
      </c>
      <c r="N53" s="210" t="str">
        <f>if(and(isnumber(Raw!U53),isnumber(Raw!V53),isnumber(Raw!W53)),0.5*Pi()*(Raw!V53/2)^2+(Raw!W53*(Raw!U53-0.5*Raw!V53))+2*((Raw!V53-Raw!W53)/2*(Raw!U53-0.5*Raw!V53)),)</f>
        <v/>
      </c>
      <c r="O53" s="174">
        <f>ifs(Raw!M53="Rectangle",G53,Raw!M53="Cut-teardrop",N53,Raw!M53="Oval",H53,Raw!M53="Flat Circle",I53,Raw!M53="Oval to Circle",F53,Raw!M53="Circle",F53,AND(Raw!M53="Circle to Oval",isnumber(Raw!X53),isblank(Raw!Z53)),F53,Raw!M53="Hexagon",J53,Raw!M53="Septagon",K53,Raw!M53="Octagon",L53,Raw!M53="Nonagon",M53)</f>
        <v>637.9</v>
      </c>
      <c r="Q53" s="211">
        <f>if(AND(isnumber(Raw!BW53),isnumber(Raw!CJ53)),Raw!BW53+Raw!CJ53,Raw!CE53)</f>
        <v>735</v>
      </c>
      <c r="R53" s="126">
        <f>if(isnumber(Raw!CE53),Raw!CE53,)</f>
        <v>328</v>
      </c>
      <c r="S53" s="144">
        <f>if(isblank(Raw!AT53),Raw!AS53,Raw!AT53)</f>
        <v>800</v>
      </c>
      <c r="T53" s="145"/>
      <c r="U53" s="212">
        <f>ifs(istext(Raw!AT53),Raw!AT53,AND(Raw!AT53&gt;0,isblank(Raw!AS53)),Raw!AT53,1,Raw!AS53)</f>
        <v>800</v>
      </c>
      <c r="V53" s="144"/>
      <c r="W53" s="130"/>
      <c r="Z53" s="125" t="s">
        <v>123</v>
      </c>
      <c r="AA53" s="213">
        <f>ifs(AND(Raw!BH53=0,Raw!BK53&gt;0),Raw!BK53*Numbers!J$1,OR(iserror(AB53),Raw!BK53="NR"),"?",1,AB53*Raw!BH53+Raw!BK53*Numbers!J$1)</f>
        <v>22.43217136</v>
      </c>
      <c r="AB53" s="130">
        <f>(Raw!AY53*vlookup(Raw!AX53,Ores[],11,FALSE)+if(isblank(Raw!AZ53),0,Raw!BA53*vlookup(Raw!AZ53,Ores[],11,FALSE))+if(isblank(Raw!BB53),0,Raw!BC53*vlookup(Raw!BB53,Ores[],11,FALSE))+if(isblank(Raw!BD53),0,Raw!BE53*vlookup(Raw!BD53,Ores[],11,FALSE))+if(isblank(Raw!BF53),0,Raw!BG53*vlookup(Raw!BF53,Ores[],11,FALSE)))/Raw!BH53</f>
        <v>0.5109834022</v>
      </c>
      <c r="AC53" s="130">
        <f>if(AND(isblank(Raw!BK53),isblank(Raw!BM53),isnumber(Raw!CS53),Raw!CS53&gt;0),if(isnumber(Raw!BL53),Raw!CS53/Raw!BL53,Raw!BL53),)</f>
        <v>0.279498861</v>
      </c>
      <c r="AD53" s="130" t="str">
        <f>if(AND(Raw!BK53&gt;0,isblank(Raw!BM53),isnumber(Raw!CS53),Raw!CS53&gt;0),if(isnumber(Raw!BL53),Raw!CS53/Raw!BL53,Raw!BL53),)</f>
        <v/>
      </c>
      <c r="AE53" s="130" t="str">
        <f>if(AND(isblank(Raw!BK53),Raw!BM53&gt;0,isnumber(Raw!CS53),Raw!CS53&gt;0),if(isnumber(Raw!BL53),Raw!CS53/Raw!BL53,Raw!BL53),)</f>
        <v/>
      </c>
      <c r="AF53" s="130" t="str">
        <f>if(AND(Raw!BK53&gt;0,Raw!BM53&gt;0,isnumber(Raw!CS53),Raw!CS53&gt;0),if(isnumber(Raw!BL53),Raw!CS53/Raw!BL53,Raw!BL53),)</f>
        <v/>
      </c>
      <c r="AG53" s="214" t="str">
        <f>if(AND(isblank(Raw!BK53),Raw!BM53&gt;0,isnumber(Raw!CS53),Raw!CS53&gt;0),Raw!BM53,)</f>
        <v/>
      </c>
      <c r="AH53" s="215">
        <f t="shared" si="8"/>
        <v>0.5109834022</v>
      </c>
      <c r="AI53" s="214" t="str">
        <f t="shared" ref="AI53:AK53" si="59">if(AND(AD53&gt;0,isnumber($AB53)),$AB53,)</f>
        <v/>
      </c>
      <c r="AJ53" s="214" t="str">
        <f t="shared" si="59"/>
        <v/>
      </c>
      <c r="AK53" s="214" t="str">
        <f t="shared" si="59"/>
        <v/>
      </c>
      <c r="AL53" s="214" t="str">
        <f>if(AND(Raw!BK53&gt;0,isblank(Raw!BM53),isnumber(Raw!CS53),Raw!CS53&gt;0),Raw!BK53,)</f>
        <v/>
      </c>
      <c r="AM53" s="214" t="str">
        <f>if(AND(Raw!BK53&gt;0,Raw!BM53&gt;0,isnumber(Raw!CS53),Raw!CS53&gt;0),Raw!BM53,)</f>
        <v/>
      </c>
      <c r="AN53" s="214" t="str">
        <f>if(AND(Raw!BK53&gt;0,Raw!BM53&gt;0,isnumber(Raw!CS53),Raw!CS53&gt;0),Raw!BK53,)</f>
        <v/>
      </c>
      <c r="AO53" s="214" t="str">
        <f t="array" ref="AO53">if(Raw!H53="Vinland",max(AO$1:indirect("AO"&amp;(row()-1)))+1,)</f>
        <v/>
      </c>
      <c r="AP53" s="214" t="str">
        <f t="array" ref="AP53">if(Raw!H53="Icelandic",max(AP$1:indirect("AP"&amp;(row()-1)))+1,)</f>
        <v/>
      </c>
      <c r="AQ53" s="214" t="str">
        <f t="array" ref="AQ53">if(Raw!H53="Turf-to-Tools",max(AQ$1:indirect("AQ"&amp;(row()-1)))+1,)</f>
        <v/>
      </c>
      <c r="AR53" s="216">
        <f>IFS(OR(iserror(Raw!BP53),iserror(Raw!BQ53)),"NR",OR(Raw!BP53="?",Raw!BQ53="?"),"?",1,(Raw!BP53+Raw!BQ53)*Raw!BH53/100)</f>
        <v>1.62591</v>
      </c>
      <c r="AS53" s="214"/>
      <c r="AT53" s="214"/>
      <c r="AU53" s="214"/>
      <c r="AV53" s="214"/>
      <c r="AW53" s="214"/>
      <c r="AX53" s="214"/>
      <c r="AY53" s="214"/>
    </row>
    <row r="54">
      <c r="A54" s="126" t="str">
        <f>Raw!A54</f>
        <v>51 / D27</v>
      </c>
      <c r="B54" s="208">
        <f>if(isnumber(O54),if(isblank(Raw!Z54),O54,concatenate(O54," (E)")),"ERROR")</f>
        <v>571.8</v>
      </c>
      <c r="C54" s="174">
        <f>ifs(Raw!S54="NR","NR",isblank(O54),"ERROR",1,O54*Raw!S54)</f>
        <v>27446.4</v>
      </c>
      <c r="D54" s="209">
        <f>ifs(AND(isnumber(Raw!X54),isnumber(Raw!Y54)),Raw!X54-Raw!Y54, AND(isnumber(Raw!U54),isnumber(Raw!V54)),Raw!U54-Raw!V54,1,)</f>
        <v>2</v>
      </c>
      <c r="E54" s="209">
        <f>IFS(isnumber(Raw!X54),Raw!X54/2,isnumber(Raw!U54),Raw!U54/2,1,)</f>
        <v>14</v>
      </c>
      <c r="F54" s="209">
        <f t="shared" si="2"/>
        <v>615.8</v>
      </c>
      <c r="G54" s="209">
        <f>if(and(isnumber(Raw!U54),isnumber(Raw!V54)),round(Raw!U54*Raw!V54,1),)</f>
        <v>728</v>
      </c>
      <c r="H54" s="209">
        <f>if(and(isnumber(Raw!U54),isnumber(Raw!V54)),round(pi()*Raw!U54/2*Raw!V54/2,1),)</f>
        <v>571.8</v>
      </c>
      <c r="I54" s="210">
        <f t="shared" si="3"/>
        <v>596.2777235</v>
      </c>
      <c r="J54" s="209">
        <f t="shared" si="4"/>
        <v>679</v>
      </c>
      <c r="K54" s="209">
        <f t="shared" si="5"/>
        <v>660.7</v>
      </c>
      <c r="L54" s="209">
        <f t="shared" si="6"/>
        <v>649.5</v>
      </c>
      <c r="M54" s="209">
        <f t="shared" si="7"/>
        <v>642</v>
      </c>
      <c r="N54" s="210" t="str">
        <f>if(and(isnumber(Raw!U54),isnumber(Raw!V54),isnumber(Raw!W54)),0.5*Pi()*(Raw!V54/2)^2+(Raw!W54*(Raw!U54-0.5*Raw!V54))+2*((Raw!V54-Raw!W54)/2*(Raw!U54-0.5*Raw!V54)),)</f>
        <v/>
      </c>
      <c r="O54" s="174">
        <f>ifs(Raw!M54="Rectangle",G54,Raw!M54="Cut-teardrop",N54,Raw!M54="Oval",H54,Raw!M54="Flat Circle",I54,Raw!M54="Oval to Circle",F54,Raw!M54="Circle",F54,AND(Raw!M54="Circle to Oval",isnumber(Raw!X54),isblank(Raw!Z54)),F54,Raw!M54="Hexagon",J54,Raw!M54="Septagon",K54,Raw!M54="Octagon",L54,Raw!M54="Nonagon",M54)</f>
        <v>571.8</v>
      </c>
      <c r="Q54" s="211">
        <f>if(AND(isnumber(Raw!BW54),isnumber(Raw!CJ54)),Raw!BW54+Raw!CJ54,Raw!CE54)</f>
        <v>390</v>
      </c>
      <c r="R54" s="126">
        <f>if(isnumber(Raw!CE54),Raw!CE54,)</f>
        <v>224</v>
      </c>
      <c r="S54" s="144">
        <f>if(isblank(Raw!AT54),Raw!AS54,Raw!AT54)</f>
        <v>800</v>
      </c>
      <c r="T54" s="145"/>
      <c r="U54" s="212">
        <f>ifs(istext(Raw!AT54),Raw!AT54,AND(Raw!AT54&gt;0,isblank(Raw!AS54)),Raw!AT54,1,Raw!AS54)</f>
        <v>800</v>
      </c>
      <c r="V54" s="144"/>
      <c r="W54" s="130"/>
      <c r="Y54" s="125" t="s">
        <v>123</v>
      </c>
      <c r="Z54" s="125" t="s">
        <v>123</v>
      </c>
      <c r="AA54" s="213">
        <f>ifs(AND(Raw!BH54=0,Raw!BK54&gt;0),Raw!BK54*Numbers!J$1,OR(iserror(AB54),Raw!BK54="NR"),"?",1,AB54*Raw!BH54+Raw!BK54*Numbers!J$1)</f>
        <v>16.65627831</v>
      </c>
      <c r="AB54" s="130">
        <f>(Raw!AY54*vlookup(Raw!AX54,Ores[],11,FALSE)+if(isblank(Raw!AZ54),0,Raw!BA54*vlookup(Raw!AZ54,Ores[],11,FALSE))+if(isblank(Raw!BB54),0,Raw!BC54*vlookup(Raw!BB54,Ores[],11,FALSE))+if(isblank(Raw!BD54),0,Raw!BE54*vlookup(Raw!BD54,Ores[],11,FALSE))+if(isblank(Raw!BF54),0,Raw!BG54*vlookup(Raw!BF54,Ores[],11,FALSE)))/Raw!BH54</f>
        <v>0.5237823369</v>
      </c>
      <c r="AC54" s="130">
        <f>if(AND(isblank(Raw!BK54),isblank(Raw!BM54),isnumber(Raw!CS54),Raw!CS54&gt;0),if(isnumber(Raw!BL54),Raw!CS54/Raw!BL54,Raw!BL54),)</f>
        <v>0.1823899371</v>
      </c>
      <c r="AD54" s="130" t="str">
        <f>if(AND(Raw!BK54&gt;0,isblank(Raw!BM54),isnumber(Raw!CS54),Raw!CS54&gt;0),if(isnumber(Raw!BL54),Raw!CS54/Raw!BL54,Raw!BL54),)</f>
        <v/>
      </c>
      <c r="AE54" s="130" t="str">
        <f>if(AND(isblank(Raw!BK54),Raw!BM54&gt;0,isnumber(Raw!CS54),Raw!CS54&gt;0),if(isnumber(Raw!BL54),Raw!CS54/Raw!BL54,Raw!BL54),)</f>
        <v/>
      </c>
      <c r="AF54" s="130" t="str">
        <f>if(AND(Raw!BK54&gt;0,Raw!BM54&gt;0,isnumber(Raw!CS54),Raw!CS54&gt;0),if(isnumber(Raw!BL54),Raw!CS54/Raw!BL54,Raw!BL54),)</f>
        <v/>
      </c>
      <c r="AG54" s="214" t="str">
        <f>if(AND(isblank(Raw!BK54),Raw!BM54&gt;0,isnumber(Raw!CS54),Raw!CS54&gt;0),Raw!BM54,)</f>
        <v/>
      </c>
      <c r="AH54" s="215">
        <f t="shared" si="8"/>
        <v>0.5237823369</v>
      </c>
      <c r="AI54" s="214" t="str">
        <f t="shared" ref="AI54:AK54" si="60">if(AND(AD54&gt;0,isnumber($AB54)),$AB54,)</f>
        <v/>
      </c>
      <c r="AJ54" s="214" t="str">
        <f t="shared" si="60"/>
        <v/>
      </c>
      <c r="AK54" s="214" t="str">
        <f t="shared" si="60"/>
        <v/>
      </c>
      <c r="AL54" s="214" t="str">
        <f>if(AND(Raw!BK54&gt;0,isblank(Raw!BM54),isnumber(Raw!CS54),Raw!CS54&gt;0),Raw!BK54,)</f>
        <v/>
      </c>
      <c r="AM54" s="214" t="str">
        <f>if(AND(Raw!BK54&gt;0,Raw!BM54&gt;0,isnumber(Raw!CS54),Raw!CS54&gt;0),Raw!BM54,)</f>
        <v/>
      </c>
      <c r="AN54" s="214" t="str">
        <f>if(AND(Raw!BK54&gt;0,Raw!BM54&gt;0,isnumber(Raw!CS54),Raw!CS54&gt;0),Raw!BK54,)</f>
        <v/>
      </c>
      <c r="AO54" s="214" t="str">
        <f t="array" ref="AO54">if(Raw!H54="Vinland",max(AO$1:indirect("AO"&amp;(row()-1)))+1,)</f>
        <v/>
      </c>
      <c r="AP54" s="214">
        <f t="array" ref="AP54">if(Raw!H54="Icelandic",max(AP$1:indirect("AP"&amp;(row()-1)))+1,)</f>
        <v>5</v>
      </c>
      <c r="AQ54" s="214" t="str">
        <f t="array" ref="AQ54">if(Raw!H54="Turf-to-Tools",max(AQ$1:indirect("AQ"&amp;(row()-1)))+1,)</f>
        <v/>
      </c>
      <c r="AR54" s="216">
        <f>IFS(OR(iserror(Raw!BP54),iserror(Raw!BQ54)),"NR",OR(Raw!BP54="?",Raw!BQ54="?"),"?",1,(Raw!BP54+Raw!BQ54)*Raw!BH54/100)</f>
        <v>2.254217667</v>
      </c>
      <c r="AS54" s="214"/>
      <c r="AT54" s="214"/>
      <c r="AU54" s="214"/>
      <c r="AV54" s="214"/>
      <c r="AW54" s="214"/>
      <c r="AX54" s="214"/>
      <c r="AY54" s="214"/>
    </row>
    <row r="55">
      <c r="A55" s="126">
        <f>Raw!A55</f>
        <v>52</v>
      </c>
      <c r="B55" s="208">
        <f>if(isnumber(O55),if(isblank(Raw!Z55),O55,concatenate(O55," (E)")),"ERROR")</f>
        <v>615</v>
      </c>
      <c r="C55" s="174">
        <f>ifs(Raw!S55="NR","NR",isblank(O55),"ERROR",1,O55*Raw!S55)</f>
        <v>27675</v>
      </c>
      <c r="D55" s="209">
        <f>ifs(AND(isnumber(Raw!X55),isnumber(Raw!Y55)),Raw!X55-Raw!Y55, AND(isnumber(Raw!U55),isnumber(Raw!V55)),Raw!U55-Raw!V55,1,)</f>
        <v>2</v>
      </c>
      <c r="E55" s="209">
        <f>IFS(isnumber(Raw!X55),Raw!X55/2,isnumber(Raw!U55),Raw!U55/2,1,)</f>
        <v>14.5</v>
      </c>
      <c r="F55" s="209">
        <f t="shared" si="2"/>
        <v>660.5</v>
      </c>
      <c r="G55" s="209">
        <f>if(and(isnumber(Raw!U55),isnumber(Raw!V55)),round(Raw!U55*Raw!V55,1),)</f>
        <v>783</v>
      </c>
      <c r="H55" s="209">
        <f>if(and(isnumber(Raw!U55),isnumber(Raw!V55)),round(pi()*Raw!U55/2*Raw!V55/2,1),)</f>
        <v>615</v>
      </c>
      <c r="I55" s="210">
        <f t="shared" si="3"/>
        <v>640.6167708</v>
      </c>
      <c r="J55" s="209">
        <f t="shared" si="4"/>
        <v>728.3</v>
      </c>
      <c r="K55" s="209">
        <f t="shared" si="5"/>
        <v>708.8</v>
      </c>
      <c r="L55" s="209">
        <f t="shared" si="6"/>
        <v>696.7</v>
      </c>
      <c r="M55" s="209">
        <f t="shared" si="7"/>
        <v>688.7</v>
      </c>
      <c r="N55" s="210" t="str">
        <f>if(and(isnumber(Raw!U55),isnumber(Raw!V55),isnumber(Raw!W55)),0.5*Pi()*(Raw!V55/2)^2+(Raw!W55*(Raw!U55-0.5*Raw!V55))+2*((Raw!V55-Raw!W55)/2*(Raw!U55-0.5*Raw!V55)),)</f>
        <v/>
      </c>
      <c r="O55" s="174">
        <f>ifs(Raw!M55="Rectangle",G55,Raw!M55="Cut-teardrop",N55,Raw!M55="Oval",H55,Raw!M55="Flat Circle",I55,Raw!M55="Oval to Circle",F55,Raw!M55="Circle",F55,AND(Raw!M55="Circle to Oval",isnumber(Raw!X55),isblank(Raw!Z55)),F55,Raw!M55="Hexagon",J55,Raw!M55="Septagon",K55,Raw!M55="Octagon",L55,Raw!M55="Nonagon",M55)</f>
        <v>615</v>
      </c>
      <c r="Q55" s="211">
        <f>if(AND(isnumber(Raw!BW55),isnumber(Raw!CJ55)),Raw!BW55+Raw!CJ55,Raw!CE55)</f>
        <v>423</v>
      </c>
      <c r="R55" s="126">
        <f>if(isnumber(Raw!CE55),Raw!CE55,)</f>
        <v>251</v>
      </c>
      <c r="S55" s="144">
        <f>if(isblank(Raw!AT55),Raw!AS55,Raw!AT55)</f>
        <v>800</v>
      </c>
      <c r="T55" s="145"/>
      <c r="U55" s="212">
        <f>ifs(istext(Raw!AT55),Raw!AT55,AND(Raw!AT55&gt;0,isblank(Raw!AS55)),Raw!AT55,1,Raw!AS55)</f>
        <v>800</v>
      </c>
      <c r="V55" s="144"/>
      <c r="W55" s="130"/>
      <c r="Y55" s="125" t="s">
        <v>123</v>
      </c>
      <c r="Z55" s="125" t="s">
        <v>123</v>
      </c>
      <c r="AA55" s="213">
        <f>ifs(AND(Raw!BH55=0,Raw!BK55&gt;0),Raw!BK55*Numbers!J$1,OR(iserror(AB55),Raw!BK55="NR"),"?",1,AB55*Raw!BH55+Raw!BK55*Numbers!J$1)</f>
        <v>18.1531219</v>
      </c>
      <c r="AB55" s="130">
        <f>(Raw!AY55*vlookup(Raw!AX55,Ores[],11,FALSE)+if(isblank(Raw!AZ55),0,Raw!BA55*vlookup(Raw!AZ55,Ores[],11,FALSE))+if(isblank(Raw!BB55),0,Raw!BC55*vlookup(Raw!BB55,Ores[],11,FALSE))+if(isblank(Raw!BD55),0,Raw!BE55*vlookup(Raw!BD55,Ores[],11,FALSE))+if(isblank(Raw!BF55),0,Raw!BG55*vlookup(Raw!BF55,Ores[],11,FALSE)))/Raw!BH55</f>
        <v>0.5708528899</v>
      </c>
      <c r="AC55" s="130">
        <f>if(AND(isblank(Raw!BK55),isblank(Raw!BM55),isnumber(Raw!CS55),Raw!CS55&gt;0),if(isnumber(Raw!BL55),Raw!CS55/Raw!BL55,Raw!BL55),)</f>
        <v>0.2232704403</v>
      </c>
      <c r="AD55" s="130" t="str">
        <f>if(AND(Raw!BK55&gt;0,isblank(Raw!BM55),isnumber(Raw!CS55),Raw!CS55&gt;0),if(isnumber(Raw!BL55),Raw!CS55/Raw!BL55,Raw!BL55),)</f>
        <v/>
      </c>
      <c r="AE55" s="130" t="str">
        <f>if(AND(isblank(Raw!BK55),Raw!BM55&gt;0,isnumber(Raw!CS55),Raw!CS55&gt;0),if(isnumber(Raw!BL55),Raw!CS55/Raw!BL55,Raw!BL55),)</f>
        <v/>
      </c>
      <c r="AF55" s="130" t="str">
        <f>if(AND(Raw!BK55&gt;0,Raw!BM55&gt;0,isnumber(Raw!CS55),Raw!CS55&gt;0),if(isnumber(Raw!BL55),Raw!CS55/Raw!BL55,Raw!BL55),)</f>
        <v/>
      </c>
      <c r="AG55" s="214" t="str">
        <f>if(AND(isblank(Raw!BK55),Raw!BM55&gt;0,isnumber(Raw!CS55),Raw!CS55&gt;0),Raw!BM55,)</f>
        <v/>
      </c>
      <c r="AH55" s="215">
        <f t="shared" si="8"/>
        <v>0.5708528899</v>
      </c>
      <c r="AI55" s="214" t="str">
        <f t="shared" ref="AI55:AK55" si="61">if(AND(AD55&gt;0,isnumber($AB55)),$AB55,)</f>
        <v/>
      </c>
      <c r="AJ55" s="214" t="str">
        <f t="shared" si="61"/>
        <v/>
      </c>
      <c r="AK55" s="214" t="str">
        <f t="shared" si="61"/>
        <v/>
      </c>
      <c r="AL55" s="214" t="str">
        <f>if(AND(Raw!BK55&gt;0,isblank(Raw!BM55),isnumber(Raw!CS55),Raw!CS55&gt;0),Raw!BK55,)</f>
        <v/>
      </c>
      <c r="AM55" s="214" t="str">
        <f>if(AND(Raw!BK55&gt;0,Raw!BM55&gt;0,isnumber(Raw!CS55),Raw!CS55&gt;0),Raw!BM55,)</f>
        <v/>
      </c>
      <c r="AN55" s="214" t="str">
        <f>if(AND(Raw!BK55&gt;0,Raw!BM55&gt;0,isnumber(Raw!CS55),Raw!CS55&gt;0),Raw!BK55,)</f>
        <v/>
      </c>
      <c r="AO55" s="214" t="str">
        <f t="array" ref="AO55">if(Raw!H55="Vinland",max(AO$1:indirect("AO"&amp;(row()-1)))+1,)</f>
        <v/>
      </c>
      <c r="AP55" s="214" t="str">
        <f t="array" ref="AP55">if(Raw!H55="Icelandic",max(AP$1:indirect("AP"&amp;(row()-1)))+1,)</f>
        <v/>
      </c>
      <c r="AQ55" s="214" t="str">
        <f t="array" ref="AQ55">if(Raw!H55="Turf-to-Tools",max(AQ$1:indirect("AQ"&amp;(row()-1)))+1,)</f>
        <v/>
      </c>
      <c r="AR55" s="216">
        <f>IFS(OR(iserror(Raw!BP55),iserror(Raw!BQ55)),"NR",OR(Raw!BP55="?",Raw!BQ55="?"),"?",1,(Raw!BP55+Raw!BQ55)*Raw!BH55/100)</f>
        <v>1.949032258</v>
      </c>
      <c r="AS55" s="214"/>
      <c r="AT55" s="214"/>
      <c r="AU55" s="214"/>
      <c r="AV55" s="214"/>
      <c r="AW55" s="214"/>
      <c r="AX55" s="214"/>
      <c r="AY55" s="214"/>
    </row>
    <row r="56">
      <c r="A56" s="126">
        <f>Raw!A56</f>
        <v>53</v>
      </c>
      <c r="B56" s="208">
        <f>if(isnumber(O56),if(isblank(Raw!Z56),O56,concatenate(O56," (E)")),"ERROR")</f>
        <v>615.8</v>
      </c>
      <c r="C56" s="174">
        <f>ifs(Raw!S56="NR","NR",isblank(O56),"ERROR",1,O56*Raw!S56)</f>
        <v>36332.2</v>
      </c>
      <c r="D56" s="209" t="str">
        <f>ifs(AND(isnumber(Raw!X56),isnumber(Raw!Y56)),Raw!X56-Raw!Y56, AND(isnumber(Raw!U56),isnumber(Raw!V56)),Raw!U56-Raw!V56,1,)</f>
        <v/>
      </c>
      <c r="E56" s="209">
        <f>IFS(isnumber(Raw!X56),Raw!X56/2,isnumber(Raw!U56),Raw!U56/2,1,)</f>
        <v>14</v>
      </c>
      <c r="F56" s="209">
        <f t="shared" si="2"/>
        <v>615.8</v>
      </c>
      <c r="G56" s="209" t="str">
        <f>if(and(isnumber(Raw!U56),isnumber(Raw!V56)),round(Raw!U56*Raw!V56,1),)</f>
        <v/>
      </c>
      <c r="H56" s="209" t="str">
        <f>if(and(isnumber(Raw!U56),isnumber(Raw!V56)),round(pi()*Raw!U56/2*Raw!V56/2,1),)</f>
        <v/>
      </c>
      <c r="I56" s="210">
        <f t="shared" si="3"/>
        <v>615.8</v>
      </c>
      <c r="J56" s="209">
        <f t="shared" si="4"/>
        <v>679</v>
      </c>
      <c r="K56" s="209">
        <f t="shared" si="5"/>
        <v>660.7</v>
      </c>
      <c r="L56" s="209">
        <f t="shared" si="6"/>
        <v>649.5</v>
      </c>
      <c r="M56" s="209">
        <f t="shared" si="7"/>
        <v>642</v>
      </c>
      <c r="N56" s="210" t="str">
        <f>if(and(isnumber(Raw!U56),isnumber(Raw!V56),isnumber(Raw!W56)),0.5*Pi()*(Raw!V56/2)^2+(Raw!W56*(Raw!U56-0.5*Raw!V56))+2*((Raw!V56-Raw!W56)/2*(Raw!U56-0.5*Raw!V56)),)</f>
        <v/>
      </c>
      <c r="O56" s="174">
        <f>ifs(Raw!M56="Rectangle",G56,Raw!M56="Cut-teardrop",N56,Raw!M56="Oval",H56,Raw!M56="Flat Circle",I56,Raw!M56="Oval to Circle",F56,Raw!M56="Circle",F56,AND(Raw!M56="Circle to Oval",isnumber(Raw!X56),isblank(Raw!Z56)),F56,Raw!M56="Hexagon",J56,Raw!M56="Septagon",K56,Raw!M56="Octagon",L56,Raw!M56="Nonagon",M56)</f>
        <v>615.8</v>
      </c>
      <c r="Q56" s="211">
        <f>if(AND(isnumber(Raw!BW56),isnumber(Raw!CJ56)),Raw!BW56+Raw!CJ56,Raw!CE56)</f>
        <v>242</v>
      </c>
      <c r="R56" s="126">
        <f>if(isnumber(Raw!CE56),Raw!CE56,)</f>
        <v>242</v>
      </c>
      <c r="S56" s="144">
        <f>if(isblank(Raw!AT56),Raw!AS56,Raw!AT56)</f>
        <v>900</v>
      </c>
      <c r="T56" s="145"/>
      <c r="U56" s="212">
        <f>ifs(istext(Raw!AT56),Raw!AT56,AND(Raw!AT56&gt;0,isblank(Raw!AS56)),Raw!AT56,1,Raw!AS56)</f>
        <v>900</v>
      </c>
      <c r="V56" s="144"/>
      <c r="W56" s="130"/>
      <c r="Y56" s="125" t="s">
        <v>123</v>
      </c>
      <c r="Z56" s="125" t="s">
        <v>123</v>
      </c>
      <c r="AA56" s="213">
        <f>ifs(AND(Raw!BH56=0,Raw!BK56&gt;0),Raw!BK56*Numbers!J$1,OR(iserror(AB56),Raw!BK56="NR"),"?",1,AB56*Raw!BH56+Raw!BK56*Numbers!J$1)</f>
        <v>14.71169385</v>
      </c>
      <c r="AB56" s="130">
        <f>(Raw!AY56*vlookup(Raw!AX56,Ores[],11,FALSE)+if(isblank(Raw!AZ56),0,Raw!BA56*vlookup(Raw!AZ56,Ores[],11,FALSE))+if(isblank(Raw!BB56),0,Raw!BC56*vlookup(Raw!BB56,Ores[],11,FALSE))+if(isblank(Raw!BD56),0,Raw!BE56*vlookup(Raw!BD56,Ores[],11,FALSE))+if(isblank(Raw!BF56),0,Raw!BG56*vlookup(Raw!BF56,Ores[],11,FALSE)))/Raw!BH56</f>
        <v>0.5884677539</v>
      </c>
      <c r="AC56" s="130">
        <f>if(AND(isblank(Raw!BK56),isblank(Raw!BM56),isnumber(Raw!CS56),Raw!CS56&gt;0),if(isnumber(Raw!BL56),Raw!CS56/Raw!BL56,Raw!BL56),)</f>
        <v>0.216</v>
      </c>
      <c r="AD56" s="130" t="str">
        <f>if(AND(Raw!BK56&gt;0,isblank(Raw!BM56),isnumber(Raw!CS56),Raw!CS56&gt;0),if(isnumber(Raw!BL56),Raw!CS56/Raw!BL56,Raw!BL56),)</f>
        <v/>
      </c>
      <c r="AE56" s="130" t="str">
        <f>if(AND(isblank(Raw!BK56),Raw!BM56&gt;0,isnumber(Raw!CS56),Raw!CS56&gt;0),if(isnumber(Raw!BL56),Raw!CS56/Raw!BL56,Raw!BL56),)</f>
        <v/>
      </c>
      <c r="AF56" s="130" t="str">
        <f>if(AND(Raw!BK56&gt;0,Raw!BM56&gt;0,isnumber(Raw!CS56),Raw!CS56&gt;0),if(isnumber(Raw!BL56),Raw!CS56/Raw!BL56,Raw!BL56),)</f>
        <v/>
      </c>
      <c r="AG56" s="214" t="str">
        <f>if(AND(isblank(Raw!BK56),Raw!BM56&gt;0,isnumber(Raw!CS56),Raw!CS56&gt;0),Raw!BM56,)</f>
        <v/>
      </c>
      <c r="AH56" s="215">
        <f t="shared" si="8"/>
        <v>0.5884677539</v>
      </c>
      <c r="AI56" s="214" t="str">
        <f t="shared" ref="AI56:AK56" si="62">if(AND(AD56&gt;0,isnumber($AB56)),$AB56,)</f>
        <v/>
      </c>
      <c r="AJ56" s="214" t="str">
        <f t="shared" si="62"/>
        <v/>
      </c>
      <c r="AK56" s="214" t="str">
        <f t="shared" si="62"/>
        <v/>
      </c>
      <c r="AL56" s="214" t="str">
        <f>if(AND(Raw!BK56&gt;0,isblank(Raw!BM56),isnumber(Raw!CS56),Raw!CS56&gt;0),Raw!BK56,)</f>
        <v/>
      </c>
      <c r="AM56" s="214" t="str">
        <f>if(AND(Raw!BK56&gt;0,Raw!BM56&gt;0,isnumber(Raw!CS56),Raw!CS56&gt;0),Raw!BM56,)</f>
        <v/>
      </c>
      <c r="AN56" s="214" t="str">
        <f>if(AND(Raw!BK56&gt;0,Raw!BM56&gt;0,isnumber(Raw!CS56),Raw!CS56&gt;0),Raw!BK56,)</f>
        <v/>
      </c>
      <c r="AO56" s="214" t="str">
        <f t="array" ref="AO56">if(Raw!H56="Vinland",max(AO$1:indirect("AO"&amp;(row()-1)))+1,)</f>
        <v/>
      </c>
      <c r="AP56" s="214" t="str">
        <f t="array" ref="AP56">if(Raw!H56="Icelandic",max(AP$1:indirect("AP"&amp;(row()-1)))+1,)</f>
        <v/>
      </c>
      <c r="AQ56" s="214" t="str">
        <f t="array" ref="AQ56">if(Raw!H56="Turf-to-Tools",max(AQ$1:indirect("AQ"&amp;(row()-1)))+1,)</f>
        <v/>
      </c>
      <c r="AR56" s="216">
        <f>IFS(OR(iserror(Raw!BP56),iserror(Raw!BQ56)),"NR",OR(Raw!BP56="?",Raw!BQ56="?"),"?",1,(Raw!BP56+Raw!BQ56)*Raw!BH56/100)</f>
        <v>1.362007168</v>
      </c>
      <c r="AS56" s="214"/>
      <c r="AT56" s="214"/>
      <c r="AU56" s="214"/>
      <c r="AV56" s="214"/>
      <c r="AW56" s="214"/>
      <c r="AX56" s="214"/>
      <c r="AY56" s="214"/>
    </row>
    <row r="57">
      <c r="A57" s="126">
        <f>Raw!A57</f>
        <v>54</v>
      </c>
      <c r="B57" s="208">
        <f>if(isnumber(O57),if(isblank(Raw!Z57),O57,concatenate(O57," (E)")),"ERROR")</f>
        <v>615</v>
      </c>
      <c r="C57" s="174">
        <f>ifs(Raw!S57="NR","NR",isblank(O57),"ERROR",1,O57*Raw!S57)</f>
        <v>35055</v>
      </c>
      <c r="D57" s="209">
        <f>ifs(AND(isnumber(Raw!X57),isnumber(Raw!Y57)),Raw!X57-Raw!Y57, AND(isnumber(Raw!U57),isnumber(Raw!V57)),Raw!U57-Raw!V57,1,)</f>
        <v>2</v>
      </c>
      <c r="E57" s="209">
        <f>IFS(isnumber(Raw!X57),Raw!X57/2,isnumber(Raw!U57),Raw!U57/2,1,)</f>
        <v>14.5</v>
      </c>
      <c r="F57" s="209">
        <f t="shared" si="2"/>
        <v>660.5</v>
      </c>
      <c r="G57" s="209">
        <f>if(and(isnumber(Raw!U57),isnumber(Raw!V57)),round(Raw!U57*Raw!V57,1),)</f>
        <v>783</v>
      </c>
      <c r="H57" s="209">
        <f>if(and(isnumber(Raw!U57),isnumber(Raw!V57)),round(pi()*Raw!U57/2*Raw!V57/2,1),)</f>
        <v>615</v>
      </c>
      <c r="I57" s="210">
        <f t="shared" si="3"/>
        <v>640.6167708</v>
      </c>
      <c r="J57" s="209">
        <f t="shared" si="4"/>
        <v>728.3</v>
      </c>
      <c r="K57" s="209">
        <f t="shared" si="5"/>
        <v>708.8</v>
      </c>
      <c r="L57" s="209">
        <f t="shared" si="6"/>
        <v>696.7</v>
      </c>
      <c r="M57" s="209">
        <f t="shared" si="7"/>
        <v>688.7</v>
      </c>
      <c r="N57" s="210" t="str">
        <f>if(and(isnumber(Raw!U57),isnumber(Raw!V57),isnumber(Raw!W57)),0.5*Pi()*(Raw!V57/2)^2+(Raw!W57*(Raw!U57-0.5*Raw!V57))+2*((Raw!V57-Raw!W57)/2*(Raw!U57-0.5*Raw!V57)),)</f>
        <v/>
      </c>
      <c r="O57" s="174">
        <f>ifs(Raw!M57="Rectangle",G57,Raw!M57="Cut-teardrop",N57,Raw!M57="Oval",H57,Raw!M57="Flat Circle",I57,Raw!M57="Oval to Circle",F57,Raw!M57="Circle",F57,AND(Raw!M57="Circle to Oval",isnumber(Raw!X57),isblank(Raw!Z57)),F57,Raw!M57="Hexagon",J57,Raw!M57="Septagon",K57,Raw!M57="Octagon",L57,Raw!M57="Nonagon",M57)</f>
        <v>615</v>
      </c>
      <c r="Q57" s="211">
        <f>if(AND(isnumber(Raw!BW57),isnumber(Raw!CJ57)),Raw!BW57+Raw!CJ57,Raw!CE57)</f>
        <v>185</v>
      </c>
      <c r="R57" s="126">
        <f>if(isnumber(Raw!CE57),Raw!CE57,)</f>
        <v>185</v>
      </c>
      <c r="S57" s="144">
        <f>if(isblank(Raw!AT57),Raw!AS57,Raw!AT57)</f>
        <v>800</v>
      </c>
      <c r="T57" s="145"/>
      <c r="U57" s="212">
        <f>ifs(istext(Raw!AT57),Raw!AT57,AND(Raw!AT57&gt;0,isblank(Raw!AS57)),Raw!AT57,1,Raw!AS57)</f>
        <v>800</v>
      </c>
      <c r="V57" s="144"/>
      <c r="W57" s="130"/>
      <c r="Z57" s="125" t="s">
        <v>123</v>
      </c>
      <c r="AA57" s="213" t="str">
        <f>ifs(AND(Raw!BH57=0,Raw!BK57&gt;0),Raw!BK57*Numbers!J$1,OR(iserror(AB57),Raw!BK57="NR"),"?",1,AB57*Raw!BH57+Raw!BK57*Numbers!J$1)</f>
        <v>?</v>
      </c>
      <c r="AB57" s="130" t="str">
        <f>(Raw!AY57*vlookup(Raw!AX57,Ores[],11,FALSE)+if(isblank(Raw!AZ57),0,Raw!BA57*vlookup(Raw!AZ57,Ores[],11,FALSE))+if(isblank(#REF!),0,Raw!BC57*vlookup(#REF!,Ores[],11,FALSE))+if(isblank(Raw!BB57),0,Raw!BE57*vlookup(Raw!BB57,Ores[],11,FALSE))+if(isblank(Raw!BF57),0,Raw!BG57*vlookup(Raw!BF57,Ores[],11,FALSE)))/Raw!BH57</f>
        <v>#REF!</v>
      </c>
      <c r="AC57" s="130">
        <f>if(AND(isblank(Raw!BK57),isblank(Raw!BM57),isnumber(Raw!CS57),Raw!CS57&gt;0),if(isnumber(Raw!BL57),Raw!CS57/Raw!BL57,Raw!BL57),)</f>
        <v>0.3453947368</v>
      </c>
      <c r="AD57" s="130" t="str">
        <f>if(AND(Raw!BK57&gt;0,isblank(Raw!BM57),isnumber(Raw!CS57),Raw!CS57&gt;0),if(isnumber(Raw!BL57),Raw!CS57/Raw!BL57,Raw!BL57),)</f>
        <v/>
      </c>
      <c r="AE57" s="130" t="str">
        <f>if(AND(isblank(Raw!BK57),Raw!BM57&gt;0,isnumber(Raw!CS57),Raw!CS57&gt;0),if(isnumber(Raw!BL57),Raw!CS57/Raw!BL57,Raw!BL57),)</f>
        <v/>
      </c>
      <c r="AF57" s="130" t="str">
        <f>if(AND(Raw!BK57&gt;0,Raw!BM57&gt;0,isnumber(Raw!CS57),Raw!CS57&gt;0),if(isnumber(Raw!BL57),Raw!CS57/Raw!BL57,Raw!BL57),)</f>
        <v/>
      </c>
      <c r="AG57" s="214" t="str">
        <f>if(AND(isblank(Raw!BK57),Raw!BM57&gt;0,isnumber(Raw!CS57),Raw!CS57&gt;0),Raw!BM57,)</f>
        <v/>
      </c>
      <c r="AH57" s="214" t="str">
        <f t="shared" si="8"/>
        <v/>
      </c>
      <c r="AI57" s="214" t="str">
        <f t="shared" ref="AI57:AK57" si="63">if(AND(AD57&gt;0,isnumber($AB57)),$AB57,)</f>
        <v/>
      </c>
      <c r="AJ57" s="214" t="str">
        <f t="shared" si="63"/>
        <v/>
      </c>
      <c r="AK57" s="214" t="str">
        <f t="shared" si="63"/>
        <v/>
      </c>
      <c r="AL57" s="214" t="str">
        <f>if(AND(Raw!BK57&gt;0,isblank(Raw!BM57),isnumber(Raw!CS57),Raw!CS57&gt;0),Raw!BK57,)</f>
        <v/>
      </c>
      <c r="AM57" s="214" t="str">
        <f>if(AND(Raw!BK57&gt;0,Raw!BM57&gt;0,isnumber(Raw!CS57),Raw!CS57&gt;0),Raw!BM57,)</f>
        <v/>
      </c>
      <c r="AN57" s="214" t="str">
        <f>if(AND(Raw!BK57&gt;0,Raw!BM57&gt;0,isnumber(Raw!CS57),Raw!CS57&gt;0),Raw!BK57,)</f>
        <v/>
      </c>
      <c r="AO57" s="214" t="str">
        <f t="array" ref="AO57">if(Raw!H57="Vinland",max(AO$1:indirect("AO"&amp;(row()-1)))+1,)</f>
        <v/>
      </c>
      <c r="AP57" s="214" t="str">
        <f t="array" ref="AP57">if(Raw!H57="Icelandic",max(AP$1:indirect("AP"&amp;(row()-1)))+1,)</f>
        <v/>
      </c>
      <c r="AQ57" s="214" t="str">
        <f t="array" ref="AQ57">if(Raw!H57="Turf-to-Tools",max(AQ$1:indirect("AQ"&amp;(row()-1)))+1,)</f>
        <v/>
      </c>
      <c r="AR57" s="216" t="str">
        <f>IFS(OR(iserror(Raw!BP57),iserror(Raw!BQ57)),"NR",OR(Raw!BP57="?",Raw!BQ57="?"),"?",1,(Raw!BP57+Raw!BQ57)*Raw!BH57/100)</f>
        <v>?</v>
      </c>
      <c r="AS57" s="214"/>
      <c r="AT57" s="214"/>
      <c r="AU57" s="214"/>
      <c r="AV57" s="214"/>
      <c r="AW57" s="214"/>
      <c r="AX57" s="214"/>
      <c r="AY57" s="214"/>
    </row>
    <row r="58">
      <c r="A58" s="126">
        <f>Raw!A58</f>
        <v>55</v>
      </c>
      <c r="B58" s="208">
        <f>if(isnumber(O58),if(isblank(Raw!Z58),O58,concatenate(O58," (E)")),"ERROR")</f>
        <v>615.8</v>
      </c>
      <c r="C58" s="174">
        <f>ifs(Raw!S58="NR","NR",isblank(O58),"ERROR",1,O58*Raw!S58)</f>
        <v>33253.2</v>
      </c>
      <c r="D58" s="209" t="str">
        <f>ifs(AND(isnumber(Raw!X58),isnumber(Raw!Y58)),Raw!X58-Raw!Y58, AND(isnumber(Raw!U58),isnumber(Raw!V58)),Raw!U58-Raw!V58,1,)</f>
        <v/>
      </c>
      <c r="E58" s="209">
        <f>IFS(isnumber(Raw!X58),Raw!X58/2,isnumber(Raw!U58),Raw!U58/2,1,)</f>
        <v>14</v>
      </c>
      <c r="F58" s="209">
        <f t="shared" si="2"/>
        <v>615.8</v>
      </c>
      <c r="G58" s="209" t="str">
        <f>if(and(isnumber(Raw!U58),isnumber(Raw!V58)),round(Raw!U58*Raw!V58,1),)</f>
        <v/>
      </c>
      <c r="H58" s="209" t="str">
        <f>if(and(isnumber(Raw!U58),isnumber(Raw!V58)),round(pi()*Raw!U58/2*Raw!V58/2,1),)</f>
        <v/>
      </c>
      <c r="I58" s="210">
        <f t="shared" si="3"/>
        <v>615.8</v>
      </c>
      <c r="J58" s="209">
        <f t="shared" si="4"/>
        <v>679</v>
      </c>
      <c r="K58" s="209">
        <f t="shared" si="5"/>
        <v>660.7</v>
      </c>
      <c r="L58" s="209">
        <f t="shared" si="6"/>
        <v>649.5</v>
      </c>
      <c r="M58" s="209">
        <f t="shared" si="7"/>
        <v>642</v>
      </c>
      <c r="N58" s="210" t="str">
        <f>if(and(isnumber(Raw!U58),isnumber(Raw!V58),isnumber(Raw!W58)),0.5*Pi()*(Raw!V58/2)^2+(Raw!W58*(Raw!U58-0.5*Raw!V58))+2*((Raw!V58-Raw!W58)/2*(Raw!U58-0.5*Raw!V58)),)</f>
        <v/>
      </c>
      <c r="O58" s="174">
        <f>ifs(Raw!M58="Rectangle",G58,Raw!M58="Cut-teardrop",N58,Raw!M58="Oval",H58,Raw!M58="Flat Circle",I58,Raw!M58="Oval to Circle",F58,Raw!M58="Circle",F58,AND(Raw!M58="Circle to Oval",isnumber(Raw!X58),isblank(Raw!Z58)),F58,Raw!M58="Hexagon",J58,Raw!M58="Septagon",K58,Raw!M58="Octagon",L58,Raw!M58="Nonagon",M58)</f>
        <v>615.8</v>
      </c>
      <c r="Q58" s="211">
        <f>if(AND(isnumber(Raw!BW58),isnumber(Raw!CJ58)),Raw!BW58+Raw!CJ58,Raw!CE58)</f>
        <v>508</v>
      </c>
      <c r="R58" s="126">
        <f>if(isnumber(Raw!CE58),Raw!CE58,)</f>
        <v>264</v>
      </c>
      <c r="S58" s="144">
        <f>if(isblank(Raw!AT58),Raw!AS58,Raw!AT58)</f>
        <v>1000</v>
      </c>
      <c r="T58" s="145"/>
      <c r="U58" s="212">
        <f>ifs(istext(Raw!AT58),Raw!AT58,AND(Raw!AT58&gt;0,isblank(Raw!AS58)),Raw!AT58,1,Raw!AS58)</f>
        <v>1000</v>
      </c>
      <c r="V58" s="144"/>
      <c r="W58" s="130"/>
      <c r="Y58" s="125" t="s">
        <v>123</v>
      </c>
      <c r="Z58" s="125" t="s">
        <v>123</v>
      </c>
      <c r="AA58" s="213">
        <f>ifs(AND(Raw!BH58=0,Raw!BK58&gt;0),Raw!BK58*Numbers!J$1,OR(iserror(AB58),Raw!BK58="NR"),"?",1,AB58*Raw!BH58+Raw!BK58*Numbers!J$1)</f>
        <v>19.27421349</v>
      </c>
      <c r="AB58" s="130">
        <f>(Raw!AY58*vlookup(Raw!AX58,Ores[],11,FALSE)+if(isblank(Raw!AZ58),0,Raw!BA58*vlookup(Raw!AZ58,Ores[],11,FALSE))+if(isblank(Raw!BB58),0,Raw!BC58*vlookup(Raw!BB58,Ores[],11,FALSE))+if(isblank(Raw!BD58),0,Raw!BE58*vlookup(Raw!BD58,Ores[],11,FALSE))+if(isblank(Raw!BF58),0,Raw!BG58*vlookup(Raw!BF58,Ores[],11,FALSE)))/Raw!BH58</f>
        <v>0.4535109057</v>
      </c>
      <c r="AC58" s="130">
        <f>if(AND(isblank(Raw!BK58),isblank(Raw!BM58),isnumber(Raw!CS58),Raw!CS58&gt;0),if(isnumber(Raw!BL58),Raw!CS58/Raw!BL58,Raw!BL58),)</f>
        <v>0.1035294118</v>
      </c>
      <c r="AD58" s="130" t="str">
        <f>if(AND(Raw!BK58&gt;0,isblank(Raw!BM58),isnumber(Raw!CS58),Raw!CS58&gt;0),if(isnumber(Raw!BL58),Raw!CS58/Raw!BL58,Raw!BL58),)</f>
        <v/>
      </c>
      <c r="AE58" s="130" t="str">
        <f>if(AND(isblank(Raw!BK58),Raw!BM58&gt;0,isnumber(Raw!CS58),Raw!CS58&gt;0),if(isnumber(Raw!BL58),Raw!CS58/Raw!BL58,Raw!BL58),)</f>
        <v/>
      </c>
      <c r="AF58" s="130" t="str">
        <f>if(AND(Raw!BK58&gt;0,Raw!BM58&gt;0,isnumber(Raw!CS58),Raw!CS58&gt;0),if(isnumber(Raw!BL58),Raw!CS58/Raw!BL58,Raw!BL58),)</f>
        <v/>
      </c>
      <c r="AG58" s="214" t="str">
        <f>if(AND(isblank(Raw!BK58),Raw!BM58&gt;0,isnumber(Raw!CS58),Raw!CS58&gt;0),Raw!BM58,)</f>
        <v/>
      </c>
      <c r="AH58" s="215">
        <f t="shared" si="8"/>
        <v>0.4535109057</v>
      </c>
      <c r="AI58" s="214" t="str">
        <f t="shared" ref="AI58:AK58" si="64">if(AND(AD58&gt;0,isnumber($AB58)),$AB58,)</f>
        <v/>
      </c>
      <c r="AJ58" s="214" t="str">
        <f t="shared" si="64"/>
        <v/>
      </c>
      <c r="AK58" s="214" t="str">
        <f t="shared" si="64"/>
        <v/>
      </c>
      <c r="AL58" s="214" t="str">
        <f>if(AND(Raw!BK58&gt;0,isblank(Raw!BM58),isnumber(Raw!CS58),Raw!CS58&gt;0),Raw!BK58,)</f>
        <v/>
      </c>
      <c r="AM58" s="214" t="str">
        <f>if(AND(Raw!BK58&gt;0,Raw!BM58&gt;0,isnumber(Raw!CS58),Raw!CS58&gt;0),Raw!BM58,)</f>
        <v/>
      </c>
      <c r="AN58" s="214" t="str">
        <f>if(AND(Raw!BK58&gt;0,Raw!BM58&gt;0,isnumber(Raw!CS58),Raw!CS58&gt;0),Raw!BK58,)</f>
        <v/>
      </c>
      <c r="AO58" s="214" t="str">
        <f t="array" ref="AO58">if(Raw!H58="Vinland",max(AO$1:indirect("AO"&amp;(row()-1)))+1,)</f>
        <v/>
      </c>
      <c r="AP58" s="214" t="str">
        <f t="array" ref="AP58">if(Raw!H58="Icelandic",max(AP$1:indirect("AP"&amp;(row()-1)))+1,)</f>
        <v/>
      </c>
      <c r="AQ58" s="214" t="str">
        <f t="array" ref="AQ58">if(Raw!H58="Turf-to-Tools",max(AQ$1:indirect("AQ"&amp;(row()-1)))+1,)</f>
        <v/>
      </c>
      <c r="AR58" s="216">
        <f>IFS(OR(iserror(Raw!BP58),iserror(Raw!BQ58)),"NR",OR(Raw!BP58="?",Raw!BQ58="?"),"?",1,(Raw!BP58+Raw!BQ58)*Raw!BH58/100)</f>
        <v>8.4745</v>
      </c>
      <c r="AS58" s="214"/>
      <c r="AT58" s="214"/>
      <c r="AU58" s="214"/>
      <c r="AV58" s="214"/>
      <c r="AW58" s="214"/>
      <c r="AX58" s="214"/>
      <c r="AY58" s="214"/>
    </row>
    <row r="59">
      <c r="A59" s="126">
        <f>Raw!A59</f>
        <v>56</v>
      </c>
      <c r="B59" s="208" t="str">
        <f>if(isnumber(O59),if(isblank(Raw!Z59),O59,concatenate(O59," (E)")),"ERROR")</f>
        <v>804.2 (E)</v>
      </c>
      <c r="C59" s="174">
        <f>ifs(Raw!S59="NR","NR",isblank(O59),"ERROR",1,O59*Raw!S59)</f>
        <v>36189</v>
      </c>
      <c r="D59" s="209">
        <f>ifs(AND(isnumber(Raw!X59),isnumber(Raw!Y59)),Raw!X59-Raw!Y59, AND(isnumber(Raw!U59),isnumber(Raw!V59)),Raw!U59-Raw!V59,1,)</f>
        <v>12</v>
      </c>
      <c r="E59" s="209">
        <f>IFS(isnumber(Raw!X59),Raw!X59/2,isnumber(Raw!U59),Raw!U59/2,1,)</f>
        <v>16</v>
      </c>
      <c r="F59" s="209">
        <f t="shared" si="2"/>
        <v>804.2</v>
      </c>
      <c r="G59" s="209">
        <f>if(and(isnumber(Raw!U59),isnumber(Raw!V59)),round(Raw!U59*Raw!V59,1),)</f>
        <v>864</v>
      </c>
      <c r="H59" s="209">
        <f>if(and(isnumber(Raw!U59),isnumber(Raw!V59)),round(pi()*Raw!U59/2*Raw!V59/2,1),)</f>
        <v>678.6</v>
      </c>
      <c r="I59" s="210">
        <f t="shared" si="3"/>
        <v>528.7300192</v>
      </c>
      <c r="J59" s="209">
        <f t="shared" si="4"/>
        <v>886.8</v>
      </c>
      <c r="K59" s="209">
        <f t="shared" si="5"/>
        <v>863</v>
      </c>
      <c r="L59" s="209">
        <f t="shared" si="6"/>
        <v>848.3</v>
      </c>
      <c r="M59" s="209">
        <f t="shared" si="7"/>
        <v>838.6</v>
      </c>
      <c r="N59" s="210" t="str">
        <f>if(and(isnumber(Raw!U59),isnumber(Raw!V59),isnumber(Raw!W59)),0.5*Pi()*(Raw!V59/2)^2+(Raw!W59*(Raw!U59-0.5*Raw!V59))+2*((Raw!V59-Raw!W59)/2*(Raw!U59-0.5*Raw!V59)),)</f>
        <v/>
      </c>
      <c r="O59" s="174">
        <f>ifs(Raw!M59="Rectangle",G59,Raw!M59="Cut-teardrop",N59,Raw!M59="Oval",H59,Raw!M59="Flat Circle",I59,Raw!M59="Oval to Circle",F59,Raw!M59="Circle",F59,AND(Raw!M59="Circle to Oval",isnumber(Raw!X59),isblank(Raw!Z59)),F59,Raw!M59="Hexagon",J59,Raw!M59="Septagon",K59,Raw!M59="Octagon",L59,Raw!M59="Nonagon",M59)</f>
        <v>804.2</v>
      </c>
      <c r="Q59" s="211">
        <f>if(AND(isnumber(Raw!BW59),isnumber(Raw!CJ59)),Raw!BW59+Raw!CJ59,Raw!CE59)</f>
        <v>404</v>
      </c>
      <c r="R59" s="126">
        <f>if(isnumber(Raw!CE59),Raw!CE59,)</f>
        <v>200</v>
      </c>
      <c r="S59" s="144">
        <f>if(isblank(Raw!AT59),Raw!AS59,Raw!AT59)</f>
        <v>540</v>
      </c>
      <c r="T59" s="145"/>
      <c r="U59" s="212">
        <f>ifs(istext(Raw!AT59),Raw!AT59,AND(Raw!AT59&gt;0,isblank(Raw!AS59)),Raw!AT59,1,Raw!AS59)</f>
        <v>540</v>
      </c>
      <c r="V59" s="144"/>
      <c r="W59" s="130"/>
      <c r="Y59" s="125" t="s">
        <v>123</v>
      </c>
      <c r="Z59" s="125" t="s">
        <v>123</v>
      </c>
      <c r="AA59" s="213">
        <f>ifs(AND(Raw!BH59=0,Raw!BK59&gt;0),Raw!BK59*Numbers!J$1,OR(iserror(AB59),Raw!BK59="NR"),"?",1,AB59*Raw!BH59+Raw!BK59*Numbers!J$1)</f>
        <v>15.88426869</v>
      </c>
      <c r="AB59" s="130">
        <f>(Raw!AY59*vlookup(Raw!AX59,Ores[],11,FALSE)+if(isblank(Raw!AZ59),0,Raw!BA59*vlookup(Raw!AZ59,Ores[],11,FALSE))+if(isblank(Raw!BB59),0,Raw!BC59*vlookup(Raw!BB59,Ores[],11,FALSE))+if(isblank(Raw!BD59),0,Raw!BE59*vlookup(Raw!BD59,Ores[],11,FALSE))+if(isblank(Raw!BF59),0,Raw!BG59*vlookup(Raw!BF59,Ores[],11,FALSE)))/Raw!BH59</f>
        <v>0.5123957643</v>
      </c>
      <c r="AC59" s="130">
        <f>if(AND(isblank(Raw!BK59),isblank(Raw!BM59),isnumber(Raw!CS59),Raw!CS59&gt;0),if(isnumber(Raw!BL59),Raw!CS59/Raw!BL59,Raw!BL59),)</f>
        <v>0.1677419355</v>
      </c>
      <c r="AD59" s="130" t="str">
        <f>if(AND(Raw!BK59&gt;0,isblank(Raw!BM59),isnumber(Raw!CS59),Raw!CS59&gt;0),if(isnumber(Raw!BL59),Raw!CS59/Raw!BL59,Raw!BL59),)</f>
        <v/>
      </c>
      <c r="AE59" s="130" t="str">
        <f>if(AND(isblank(Raw!BK59),Raw!BM59&gt;0,isnumber(Raw!CS59),Raw!CS59&gt;0),if(isnumber(Raw!BL59),Raw!CS59/Raw!BL59,Raw!BL59),)</f>
        <v/>
      </c>
      <c r="AF59" s="130" t="str">
        <f>if(AND(Raw!BK59&gt;0,Raw!BM59&gt;0,isnumber(Raw!CS59),Raw!CS59&gt;0),if(isnumber(Raw!BL59),Raw!CS59/Raw!BL59,Raw!BL59),)</f>
        <v/>
      </c>
      <c r="AG59" s="214" t="str">
        <f>if(AND(isblank(Raw!BK59),Raw!BM59&gt;0,isnumber(Raw!CS59),Raw!CS59&gt;0),Raw!BM59,)</f>
        <v/>
      </c>
      <c r="AH59" s="215">
        <f t="shared" si="8"/>
        <v>0.5123957643</v>
      </c>
      <c r="AI59" s="214" t="str">
        <f t="shared" ref="AI59:AK59" si="65">if(AND(AD59&gt;0,isnumber($AB59)),$AB59,)</f>
        <v/>
      </c>
      <c r="AJ59" s="214" t="str">
        <f t="shared" si="65"/>
        <v/>
      </c>
      <c r="AK59" s="214" t="str">
        <f t="shared" si="65"/>
        <v/>
      </c>
      <c r="AL59" s="214" t="str">
        <f>if(AND(Raw!BK59&gt;0,isblank(Raw!BM59),isnumber(Raw!CS59),Raw!CS59&gt;0),Raw!BK59,)</f>
        <v/>
      </c>
      <c r="AM59" s="214" t="str">
        <f>if(AND(Raw!BK59&gt;0,Raw!BM59&gt;0,isnumber(Raw!CS59),Raw!CS59&gt;0),Raw!BM59,)</f>
        <v/>
      </c>
      <c r="AN59" s="214" t="str">
        <f>if(AND(Raw!BK59&gt;0,Raw!BM59&gt;0,isnumber(Raw!CS59),Raw!CS59&gt;0),Raw!BK59,)</f>
        <v/>
      </c>
      <c r="AO59" s="214" t="str">
        <f t="array" ref="AO59">if(Raw!H59="Vinland",max(AO$1:indirect("AO"&amp;(row()-1)))+1,)</f>
        <v/>
      </c>
      <c r="AP59" s="214" t="str">
        <f t="array" ref="AP59">if(Raw!H59="Icelandic",max(AP$1:indirect("AP"&amp;(row()-1)))+1,)</f>
        <v/>
      </c>
      <c r="AQ59" s="214">
        <f t="array" ref="AQ59">if(Raw!H59="Turf-to-Tools",max(AQ$1:indirect("AQ"&amp;(row()-1)))+1,)</f>
        <v>1</v>
      </c>
      <c r="AR59" s="216">
        <f>IFS(OR(iserror(Raw!BP59),iserror(Raw!BQ59)),"NR",OR(Raw!BP59="?",Raw!BQ59="?"),"?",1,(Raw!BP59+Raw!BQ59)*Raw!BH59/100)</f>
        <v>2.14938813</v>
      </c>
      <c r="AS59" s="214"/>
      <c r="AT59" s="214"/>
      <c r="AU59" s="214"/>
      <c r="AV59" s="214"/>
      <c r="AW59" s="214"/>
      <c r="AX59" s="214"/>
      <c r="AY59" s="214"/>
    </row>
    <row r="60">
      <c r="A60" s="126">
        <f>Raw!A60</f>
        <v>57</v>
      </c>
      <c r="B60" s="208" t="str">
        <f>if(isnumber(O60),if(isblank(Raw!Z60),O60,concatenate(O60," (E)")),"ERROR")</f>
        <v>455.5 (E)</v>
      </c>
      <c r="C60" s="174">
        <f>ifs(Raw!S60="NR","NR",isblank(O60),"ERROR",1,O60*Raw!S60)</f>
        <v>20497.5</v>
      </c>
      <c r="D60" s="209">
        <f>ifs(AND(isnumber(Raw!X60),isnumber(Raw!Y60)),Raw!X60-Raw!Y60, AND(isnumber(Raw!U60),isnumber(Raw!V60)),Raw!U60-Raw!V60,1,)</f>
        <v>9</v>
      </c>
      <c r="E60" s="209">
        <f>IFS(isnumber(Raw!X60),Raw!X60/2,isnumber(Raw!U60),Raw!U60/2,1,)</f>
        <v>12</v>
      </c>
      <c r="F60" s="209">
        <f t="shared" si="2"/>
        <v>452.4</v>
      </c>
      <c r="G60" s="209">
        <f>if(and(isnumber(Raw!U60),isnumber(Raw!V60)),round(Raw!U60*Raw!V60,1),)</f>
        <v>580</v>
      </c>
      <c r="H60" s="209">
        <f>if(and(isnumber(Raw!U60),isnumber(Raw!V60)),round(pi()*Raw!U60/2*Raw!V60/2,1),)</f>
        <v>455.5</v>
      </c>
      <c r="I60" s="210">
        <f t="shared" si="3"/>
        <v>297.4481358</v>
      </c>
      <c r="J60" s="209">
        <f t="shared" si="4"/>
        <v>498.8</v>
      </c>
      <c r="K60" s="209">
        <f t="shared" si="5"/>
        <v>485.4</v>
      </c>
      <c r="L60" s="209">
        <f t="shared" si="6"/>
        <v>477.2</v>
      </c>
      <c r="M60" s="209">
        <f t="shared" si="7"/>
        <v>471.7</v>
      </c>
      <c r="N60" s="210" t="str">
        <f>if(and(isnumber(Raw!U60),isnumber(Raw!V60),isnumber(Raw!W60)),0.5*Pi()*(Raw!V60/2)^2+(Raw!W60*(Raw!U60-0.5*Raw!V60))+2*((Raw!V60-Raw!W60)/2*(Raw!U60-0.5*Raw!V60)),)</f>
        <v/>
      </c>
      <c r="O60" s="174">
        <f>ifs(Raw!M60="Rectangle",G60,Raw!M60="Cut-teardrop",N60,Raw!M60="Oval",H60,Raw!M60="Flat Circle",I60,Raw!M60="Oval to Circle",F60,Raw!M60="Circle",F60,AND(Raw!M60="Circle to Oval",isnumber(Raw!X60),isblank(Raw!Z60)),F60,Raw!M60="Hexagon",J60,Raw!M60="Septagon",K60,Raw!M60="Octagon",L60,Raw!M60="Nonagon",M60)</f>
        <v>455.5</v>
      </c>
      <c r="Q60" s="211">
        <f>if(AND(isnumber(Raw!BW60),isnumber(Raw!CJ60)),Raw!BW60+Raw!CJ60,Raw!CE60)</f>
        <v>207</v>
      </c>
      <c r="R60" s="126">
        <f>if(isnumber(Raw!CE60),Raw!CE60,)</f>
        <v>207</v>
      </c>
      <c r="S60" s="144" t="str">
        <f>if(isblank(Raw!AT60),Raw!AS60,Raw!AT60)</f>
        <v>?</v>
      </c>
      <c r="T60" s="145"/>
      <c r="U60" s="212" t="str">
        <f>ifs(istext(Raw!AT60),Raw!AT60,AND(Raw!AT60&gt;0,isblank(Raw!AS60)),Raw!AT60,1,Raw!AS60)</f>
        <v>?</v>
      </c>
      <c r="V60" s="144"/>
      <c r="W60" s="130"/>
      <c r="Z60" s="125" t="s">
        <v>123</v>
      </c>
      <c r="AA60" s="213">
        <f>ifs(AND(Raw!BH60=0,Raw!BK60&gt;0),Raw!BK60*Numbers!J$1,OR(iserror(AB60),Raw!BK60="NR"),"?",1,AB60*Raw!BH60+Raw!BK60*Numbers!J$1)</f>
        <v>12.4877388</v>
      </c>
      <c r="AB60" s="130">
        <f>(Raw!AY60*vlookup(Raw!AX60,Ores[],11,FALSE)+if(isblank(Raw!AZ60),0,Raw!BA60*vlookup(Raw!AZ60,Ores[],11,FALSE))+if(isblank(Raw!BB60),0,Raw!BC60*vlookup(Raw!BB60,Ores[],11,FALSE))+if(isblank(Raw!BD60),0,Raw!BE60*vlookup(Raw!BD60,Ores[],11,FALSE))+if(isblank(Raw!BF60),0,Raw!BG60*vlookup(Raw!BF60,Ores[],11,FALSE)))/Raw!BH60</f>
        <v>0.4162579599</v>
      </c>
      <c r="AC60" s="130">
        <f>if(AND(isblank(Raw!BK60),isblank(Raw!BM60),isnumber(Raw!CS60),Raw!CS60&gt;0),if(isnumber(Raw!BL60),Raw!CS60/Raw!BL60,Raw!BL60),)</f>
        <v>0.07666666667</v>
      </c>
      <c r="AD60" s="130" t="str">
        <f>if(AND(Raw!BK60&gt;0,isblank(Raw!BM60),isnumber(Raw!CS60),Raw!CS60&gt;0),if(isnumber(Raw!BL60),Raw!CS60/Raw!BL60,Raw!BL60),)</f>
        <v/>
      </c>
      <c r="AE60" s="130" t="str">
        <f>if(AND(isblank(Raw!BK60),Raw!BM60&gt;0,isnumber(Raw!CS60),Raw!CS60&gt;0),if(isnumber(Raw!BL60),Raw!CS60/Raw!BL60,Raw!BL60),)</f>
        <v/>
      </c>
      <c r="AF60" s="130" t="str">
        <f>if(AND(Raw!BK60&gt;0,Raw!BM60&gt;0,isnumber(Raw!CS60),Raw!CS60&gt;0),if(isnumber(Raw!BL60),Raw!CS60/Raw!BL60,Raw!BL60),)</f>
        <v/>
      </c>
      <c r="AG60" s="214" t="str">
        <f>if(AND(isblank(Raw!BK60),Raw!BM60&gt;0,isnumber(Raw!CS60),Raw!CS60&gt;0),Raw!BM60,)</f>
        <v/>
      </c>
      <c r="AH60" s="215">
        <f t="shared" si="8"/>
        <v>0.4162579599</v>
      </c>
      <c r="AI60" s="214" t="str">
        <f t="shared" ref="AI60:AK60" si="66">if(AND(AD60&gt;0,isnumber($AB60)),$AB60,)</f>
        <v/>
      </c>
      <c r="AJ60" s="214" t="str">
        <f t="shared" si="66"/>
        <v/>
      </c>
      <c r="AK60" s="214" t="str">
        <f t="shared" si="66"/>
        <v/>
      </c>
      <c r="AL60" s="214" t="str">
        <f>if(AND(Raw!BK60&gt;0,isblank(Raw!BM60),isnumber(Raw!CS60),Raw!CS60&gt;0),Raw!BK60,)</f>
        <v/>
      </c>
      <c r="AM60" s="214" t="str">
        <f>if(AND(Raw!BK60&gt;0,Raw!BM60&gt;0,isnumber(Raw!CS60),Raw!CS60&gt;0),Raw!BM60,)</f>
        <v/>
      </c>
      <c r="AN60" s="214" t="str">
        <f>if(AND(Raw!BK60&gt;0,Raw!BM60&gt;0,isnumber(Raw!CS60),Raw!CS60&gt;0),Raw!BK60,)</f>
        <v/>
      </c>
      <c r="AO60" s="214" t="str">
        <f t="array" ref="AO60">if(Raw!H60="Vinland",max(AO$1:indirect("AO"&amp;(row()-1)))+1,)</f>
        <v/>
      </c>
      <c r="AP60" s="214" t="str">
        <f t="array" ref="AP60">if(Raw!H60="Icelandic",max(AP$1:indirect("AP"&amp;(row()-1)))+1,)</f>
        <v/>
      </c>
      <c r="AQ60" s="214">
        <f t="array" ref="AQ60">if(Raw!H60="Turf-to-Tools",max(AQ$1:indirect("AQ"&amp;(row()-1)))+1,)</f>
        <v>2</v>
      </c>
      <c r="AR60" s="216">
        <f>IFS(OR(iserror(Raw!BP60),iserror(Raw!BQ60)),"NR",OR(Raw!BP60="?",Raw!BQ60="?"),"?",1,(Raw!BP60+Raw!BQ60)*Raw!BH60/100)</f>
        <v>9.88302</v>
      </c>
      <c r="AS60" s="214"/>
      <c r="AT60" s="214"/>
      <c r="AU60" s="214"/>
      <c r="AV60" s="214"/>
      <c r="AW60" s="214"/>
      <c r="AX60" s="214"/>
      <c r="AY60" s="214"/>
    </row>
    <row r="61">
      <c r="A61" s="126">
        <f>Raw!A61</f>
        <v>58</v>
      </c>
      <c r="B61" s="208" t="str">
        <f>if(isnumber(O61),if(isblank(Raw!Z61),O61,concatenate(O61," (E)")),"ERROR")</f>
        <v>455.5 (E)</v>
      </c>
      <c r="C61" s="174">
        <f>ifs(Raw!S61="NR","NR",isblank(O61),"ERROR",1,O61*Raw!S61)</f>
        <v>20497.5</v>
      </c>
      <c r="D61" s="209">
        <f>ifs(AND(isnumber(Raw!X61),isnumber(Raw!Y61)),Raw!X61-Raw!Y61, AND(isnumber(Raw!U61),isnumber(Raw!V61)),Raw!U61-Raw!V61,1,)</f>
        <v>9</v>
      </c>
      <c r="E61" s="209">
        <f>IFS(isnumber(Raw!X61),Raw!X61/2,isnumber(Raw!U61),Raw!U61/2,1,)</f>
        <v>12</v>
      </c>
      <c r="F61" s="209">
        <f t="shared" si="2"/>
        <v>452.4</v>
      </c>
      <c r="G61" s="209">
        <f>if(and(isnumber(Raw!U61),isnumber(Raw!V61)),round(Raw!U61*Raw!V61,1),)</f>
        <v>580</v>
      </c>
      <c r="H61" s="209">
        <f>if(and(isnumber(Raw!U61),isnumber(Raw!V61)),round(pi()*Raw!U61/2*Raw!V61/2,1),)</f>
        <v>455.5</v>
      </c>
      <c r="I61" s="210">
        <f t="shared" si="3"/>
        <v>297.4481358</v>
      </c>
      <c r="J61" s="209">
        <f t="shared" si="4"/>
        <v>498.8</v>
      </c>
      <c r="K61" s="209">
        <f t="shared" si="5"/>
        <v>485.4</v>
      </c>
      <c r="L61" s="209">
        <f t="shared" si="6"/>
        <v>477.2</v>
      </c>
      <c r="M61" s="209">
        <f t="shared" si="7"/>
        <v>471.7</v>
      </c>
      <c r="N61" s="210" t="str">
        <f>if(and(isnumber(Raw!U61),isnumber(Raw!V61),isnumber(Raw!W61)),0.5*Pi()*(Raw!V61/2)^2+(Raw!W61*(Raw!U61-0.5*Raw!V61))+2*((Raw!V61-Raw!W61)/2*(Raw!U61-0.5*Raw!V61)),)</f>
        <v/>
      </c>
      <c r="O61" s="174">
        <f>ifs(Raw!M61="Rectangle",G61,Raw!M61="Cut-teardrop",N61,Raw!M61="Oval",H61,Raw!M61="Flat Circle",I61,Raw!M61="Oval to Circle",F61,Raw!M61="Circle",F61,AND(Raw!M61="Circle to Oval",isnumber(Raw!X61),isblank(Raw!Z61)),F61,Raw!M61="Hexagon",J61,Raw!M61="Septagon",K61,Raw!M61="Octagon",L61,Raw!M61="Nonagon",M61)</f>
        <v>455.5</v>
      </c>
      <c r="Q61" s="211">
        <f>if(AND(isnumber(Raw!BW61),isnumber(Raw!CJ61)),Raw!BW61+Raw!CJ61,Raw!CE61)</f>
        <v>161</v>
      </c>
      <c r="R61" s="126">
        <f>if(isnumber(Raw!CE61),Raw!CE61,)</f>
        <v>161</v>
      </c>
      <c r="S61" s="144" t="str">
        <f>if(isblank(Raw!AT61),Raw!AS61,Raw!AT61)</f>
        <v>?</v>
      </c>
      <c r="T61" s="145"/>
      <c r="U61" s="212" t="str">
        <f>ifs(istext(Raw!AT61),Raw!AT61,AND(Raw!AT61&gt;0,isblank(Raw!AS61)),Raw!AT61,1,Raw!AS61)</f>
        <v>?</v>
      </c>
      <c r="V61" s="144"/>
      <c r="W61" s="130"/>
      <c r="Z61" s="125" t="s">
        <v>123</v>
      </c>
      <c r="AA61" s="213">
        <f>ifs(AND(Raw!BH61=0,Raw!BK61&gt;0),Raw!BK61*Numbers!J$1,OR(iserror(AB61),Raw!BK61="NR"),"?",1,AB61*Raw!BH61+Raw!BK61*Numbers!J$1)</f>
        <v>23.9586623</v>
      </c>
      <c r="AB61" s="130">
        <f>(Raw!AY61*vlookup(Raw!AX61,Ores[],11,FALSE)+if(isblank(Raw!AZ61),0,Raw!BA61*vlookup(Raw!AZ61,Ores[],11,FALSE))+if(isblank(Raw!BB61),0,Raw!BC61*vlookup(Raw!BB61,Ores[],11,FALSE))+if(isblank(Raw!BD61),0,Raw!BE61*vlookup(Raw!BD61,Ores[],11,FALSE))+if(isblank(Raw!BF61),0,Raw!BG61*vlookup(Raw!BF61,Ores[],11,FALSE)))/Raw!BH61</f>
        <v>0.584357617</v>
      </c>
      <c r="AC61" s="130">
        <f>if(AND(isblank(Raw!BK61),isblank(Raw!BM61),isnumber(Raw!CS61),Raw!CS61&gt;0),if(isnumber(Raw!BL61),Raw!CS61/Raw!BL61,Raw!BL61),)</f>
        <v>0.1146341463</v>
      </c>
      <c r="AD61" s="130" t="str">
        <f>if(AND(Raw!BK61&gt;0,isblank(Raw!BM61),isnumber(Raw!CS61),Raw!CS61&gt;0),if(isnumber(Raw!BL61),Raw!CS61/Raw!BL61,Raw!BL61),)</f>
        <v/>
      </c>
      <c r="AE61" s="130" t="str">
        <f>if(AND(isblank(Raw!BK61),Raw!BM61&gt;0,isnumber(Raw!CS61),Raw!CS61&gt;0),if(isnumber(Raw!BL61),Raw!CS61/Raw!BL61,Raw!BL61),)</f>
        <v/>
      </c>
      <c r="AF61" s="130" t="str">
        <f>if(AND(Raw!BK61&gt;0,Raw!BM61&gt;0,isnumber(Raw!CS61),Raw!CS61&gt;0),if(isnumber(Raw!BL61),Raw!CS61/Raw!BL61,Raw!BL61),)</f>
        <v/>
      </c>
      <c r="AG61" s="214" t="str">
        <f>if(AND(isblank(Raw!BK61),Raw!BM61&gt;0,isnumber(Raw!CS61),Raw!CS61&gt;0),Raw!BM61,)</f>
        <v/>
      </c>
      <c r="AH61" s="215">
        <f t="shared" si="8"/>
        <v>0.584357617</v>
      </c>
      <c r="AI61" s="214" t="str">
        <f t="shared" ref="AI61:AK61" si="67">if(AND(AD61&gt;0,isnumber($AB61)),$AB61,)</f>
        <v/>
      </c>
      <c r="AJ61" s="214" t="str">
        <f t="shared" si="67"/>
        <v/>
      </c>
      <c r="AK61" s="214" t="str">
        <f t="shared" si="67"/>
        <v/>
      </c>
      <c r="AL61" s="214" t="str">
        <f>if(AND(Raw!BK61&gt;0,isblank(Raw!BM61),isnumber(Raw!CS61),Raw!CS61&gt;0),Raw!BK61,)</f>
        <v/>
      </c>
      <c r="AM61" s="214" t="str">
        <f>if(AND(Raw!BK61&gt;0,Raw!BM61&gt;0,isnumber(Raw!CS61),Raw!CS61&gt;0),Raw!BM61,)</f>
        <v/>
      </c>
      <c r="AN61" s="214" t="str">
        <f>if(AND(Raw!BK61&gt;0,Raw!BM61&gt;0,isnumber(Raw!CS61),Raw!CS61&gt;0),Raw!BK61,)</f>
        <v/>
      </c>
      <c r="AO61" s="214" t="str">
        <f t="array" ref="AO61">if(Raw!H61="Vinland",max(AO$1:indirect("AO"&amp;(row()-1)))+1,)</f>
        <v/>
      </c>
      <c r="AP61" s="214" t="str">
        <f t="array" ref="AP61">if(Raw!H61="Icelandic",max(AP$1:indirect("AP"&amp;(row()-1)))+1,)</f>
        <v/>
      </c>
      <c r="AQ61" s="214">
        <f t="array" ref="AQ61">if(Raw!H61="Turf-to-Tools",max(AQ$1:indirect("AQ"&amp;(row()-1)))+1,)</f>
        <v>3</v>
      </c>
      <c r="AR61" s="216">
        <f>IFS(OR(iserror(Raw!BP61),iserror(Raw!BQ61)),"NR",OR(Raw!BP61="?",Raw!BQ61="?"),"?",1,(Raw!BP61+Raw!BQ61)*Raw!BH61/100)</f>
        <v>3.6691</v>
      </c>
      <c r="AS61" s="214"/>
      <c r="AT61" s="214"/>
      <c r="AU61" s="214"/>
      <c r="AV61" s="214"/>
      <c r="AW61" s="214"/>
      <c r="AX61" s="214"/>
      <c r="AY61" s="214"/>
    </row>
    <row r="62">
      <c r="A62" s="126">
        <f>Raw!A62</f>
        <v>59</v>
      </c>
      <c r="B62" s="208" t="str">
        <f>if(isnumber(O62),if(isblank(Raw!Z62),O62,concatenate(O62," (E)")),"ERROR")</f>
        <v>415.5 (E)</v>
      </c>
      <c r="C62" s="174">
        <f>ifs(Raw!S62="NR","NR",isblank(O62),"ERROR",1,O62*Raw!S62)</f>
        <v>24099</v>
      </c>
      <c r="D62" s="209" t="str">
        <f>ifs(AND(isnumber(Raw!X62),isnumber(Raw!Y62)),Raw!X62-Raw!Y62, AND(isnumber(Raw!U62),isnumber(Raw!V62)),Raw!U62-Raw!V62,1,)</f>
        <v/>
      </c>
      <c r="E62" s="209">
        <f>IFS(isnumber(Raw!X62),Raw!X62/2,isnumber(Raw!U62),Raw!U62/2,1,)</f>
        <v>11.5</v>
      </c>
      <c r="F62" s="209">
        <f t="shared" si="2"/>
        <v>415.5</v>
      </c>
      <c r="G62" s="209" t="str">
        <f>if(and(isnumber(Raw!U62),isnumber(Raw!V62)),round(Raw!U62*Raw!V62,1),)</f>
        <v/>
      </c>
      <c r="H62" s="209" t="str">
        <f>if(and(isnumber(Raw!U62),isnumber(Raw!V62)),round(pi()*Raw!U62/2*Raw!V62/2,1),)</f>
        <v/>
      </c>
      <c r="I62" s="210">
        <f t="shared" si="3"/>
        <v>415.5</v>
      </c>
      <c r="J62" s="209">
        <f t="shared" si="4"/>
        <v>458.1</v>
      </c>
      <c r="K62" s="209">
        <f t="shared" si="5"/>
        <v>445.8</v>
      </c>
      <c r="L62" s="209">
        <f t="shared" si="6"/>
        <v>438.2</v>
      </c>
      <c r="M62" s="209">
        <f t="shared" si="7"/>
        <v>433.2</v>
      </c>
      <c r="N62" s="210" t="str">
        <f>if(and(isnumber(Raw!U62),isnumber(Raw!V62),isnumber(Raw!W62)),0.5*Pi()*(Raw!V62/2)^2+(Raw!W62*(Raw!U62-0.5*Raw!V62))+2*((Raw!V62-Raw!W62)/2*(Raw!U62-0.5*Raw!V62)),)</f>
        <v/>
      </c>
      <c r="O62" s="174">
        <f>ifs(Raw!M62="Rectangle",G62,Raw!M62="Cut-teardrop",N62,Raw!M62="Oval",H62,Raw!M62="Flat Circle",I62,Raw!M62="Oval to Circle",F62,Raw!M62="Circle",F62,AND(Raw!M62="Circle to Oval",isnumber(Raw!X62),isblank(Raw!Z62)),F62,Raw!M62="Hexagon",J62,Raw!M62="Septagon",K62,Raw!M62="Octagon",L62,Raw!M62="Nonagon",M62)</f>
        <v>415.5</v>
      </c>
      <c r="Q62" s="211">
        <f>if(AND(isnumber(Raw!BW62),isnumber(Raw!CJ62)),Raw!BW62+Raw!CJ62,Raw!CE62)</f>
        <v>265</v>
      </c>
      <c r="R62" s="126">
        <f>if(isnumber(Raw!CE62),Raw!CE62,)</f>
        <v>265</v>
      </c>
      <c r="S62" s="144" t="str">
        <f>if(isblank(Raw!AT62),Raw!AS62,Raw!AT62)</f>
        <v>?</v>
      </c>
      <c r="T62" s="145"/>
      <c r="U62" s="212" t="str">
        <f>ifs(istext(Raw!AT62),Raw!AT62,AND(Raw!AT62&gt;0,isblank(Raw!AS62)),Raw!AT62,1,Raw!AS62)</f>
        <v>?</v>
      </c>
      <c r="V62" s="144"/>
      <c r="W62" s="130"/>
      <c r="Z62" s="125" t="s">
        <v>123</v>
      </c>
      <c r="AA62" s="213">
        <f>ifs(AND(Raw!BH62=0,Raw!BK62&gt;0),Raw!BK62*Numbers!J$1,OR(iserror(AB62),Raw!BK62="NR"),"?",1,AB62*Raw!BH62+Raw!BK62*Numbers!J$1)</f>
        <v>26.01989603</v>
      </c>
      <c r="AB62" s="130">
        <f>(Raw!AY62*vlookup(Raw!AX62,Ores[],11,FALSE)+if(isblank(Raw!AZ62),0,Raw!BA62*vlookup(Raw!AZ62,Ores[],11,FALSE))+if(isblank(Raw!BB62),0,Raw!BC62*vlookup(Raw!BB62,Ores[],11,FALSE))+if(isblank(Raw!BD62),0,Raw!BE62*vlookup(Raw!BD62,Ores[],11,FALSE))+if(isblank(Raw!BF62),0,Raw!BG62*vlookup(Raw!BF62,Ores[],11,FALSE)))/Raw!BH62</f>
        <v>0.6346316106</v>
      </c>
      <c r="AC62" s="130">
        <f>if(AND(isblank(Raw!BK62),isblank(Raw!BM62),isnumber(Raw!CS62),Raw!CS62&gt;0),if(isnumber(Raw!BL62),Raw!CS62/Raw!BL62,Raw!BL62),)</f>
        <v>0.2829268293</v>
      </c>
      <c r="AD62" s="130" t="str">
        <f>if(AND(Raw!BK62&gt;0,isblank(Raw!BM62),isnumber(Raw!CS62),Raw!CS62&gt;0),if(isnumber(Raw!BL62),Raw!CS62/Raw!BL62,Raw!BL62),)</f>
        <v/>
      </c>
      <c r="AE62" s="130" t="str">
        <f>if(AND(isblank(Raw!BK62),Raw!BM62&gt;0,isnumber(Raw!CS62),Raw!CS62&gt;0),if(isnumber(Raw!BL62),Raw!CS62/Raw!BL62,Raw!BL62),)</f>
        <v/>
      </c>
      <c r="AF62" s="130" t="str">
        <f>if(AND(Raw!BK62&gt;0,Raw!BM62&gt;0,isnumber(Raw!CS62),Raw!CS62&gt;0),if(isnumber(Raw!BL62),Raw!CS62/Raw!BL62,Raw!BL62),)</f>
        <v/>
      </c>
      <c r="AG62" s="214" t="str">
        <f>if(AND(isblank(Raw!BK62),Raw!BM62&gt;0,isnumber(Raw!CS62),Raw!CS62&gt;0),Raw!BM62,)</f>
        <v/>
      </c>
      <c r="AH62" s="215">
        <f t="shared" si="8"/>
        <v>0.6346316106</v>
      </c>
      <c r="AI62" s="214" t="str">
        <f t="shared" ref="AI62:AK62" si="68">if(AND(AD62&gt;0,isnumber($AB62)),$AB62,)</f>
        <v/>
      </c>
      <c r="AJ62" s="214" t="str">
        <f t="shared" si="68"/>
        <v/>
      </c>
      <c r="AK62" s="214" t="str">
        <f t="shared" si="68"/>
        <v/>
      </c>
      <c r="AL62" s="214" t="str">
        <f>if(AND(Raw!BK62&gt;0,isblank(Raw!BM62),isnumber(Raw!CS62),Raw!CS62&gt;0),Raw!BK62,)</f>
        <v/>
      </c>
      <c r="AM62" s="214" t="str">
        <f>if(AND(Raw!BK62&gt;0,Raw!BM62&gt;0,isnumber(Raw!CS62),Raw!CS62&gt;0),Raw!BM62,)</f>
        <v/>
      </c>
      <c r="AN62" s="214" t="str">
        <f>if(AND(Raw!BK62&gt;0,Raw!BM62&gt;0,isnumber(Raw!CS62),Raw!CS62&gt;0),Raw!BK62,)</f>
        <v/>
      </c>
      <c r="AO62" s="214" t="str">
        <f t="array" ref="AO62">if(Raw!H62="Vinland",max(AO$1:indirect("AO"&amp;(row()-1)))+1,)</f>
        <v/>
      </c>
      <c r="AP62" s="214" t="str">
        <f t="array" ref="AP62">if(Raw!H62="Icelandic",max(AP$1:indirect("AP"&amp;(row()-1)))+1,)</f>
        <v/>
      </c>
      <c r="AQ62" s="214">
        <f t="array" ref="AQ62">if(Raw!H62="Turf-to-Tools",max(AQ$1:indirect("AQ"&amp;(row()-1)))+1,)</f>
        <v>4</v>
      </c>
      <c r="AR62" s="216">
        <f>IFS(OR(iserror(Raw!BP62),iserror(Raw!BQ62)),"NR",OR(Raw!BP62="?",Raw!BQ62="?"),"?",1,(Raw!BP62+Raw!BQ62)*Raw!BH62/100)</f>
        <v>2.5264</v>
      </c>
      <c r="AS62" s="214"/>
      <c r="AT62" s="214"/>
      <c r="AU62" s="214"/>
      <c r="AV62" s="214"/>
      <c r="AW62" s="214"/>
      <c r="AX62" s="214"/>
      <c r="AY62" s="214"/>
    </row>
    <row r="63">
      <c r="A63" s="126" t="str">
        <f>Raw!A63</f>
        <v>T1</v>
      </c>
      <c r="B63" s="208" t="str">
        <f>if(isnumber(O63),if(isblank(Raw!Z63),O63,concatenate(O63," (E)")),"ERROR")</f>
        <v>415.5 (E)</v>
      </c>
      <c r="C63" s="174">
        <f>ifs(Raw!S63="NR","NR",isblank(O63),"ERROR",1,O63*Raw!S63)</f>
        <v>24099</v>
      </c>
      <c r="D63" s="209" t="str">
        <f>ifs(AND(isnumber(Raw!X63),isnumber(Raw!Y63)),Raw!X63-Raw!Y63, AND(isnumber(Raw!U63),isnumber(Raw!V63)),Raw!U63-Raw!V63,1,)</f>
        <v/>
      </c>
      <c r="E63" s="209">
        <f>IFS(isnumber(Raw!X63),Raw!X63/2,isnumber(Raw!U63),Raw!U63/2,1,)</f>
        <v>11.5</v>
      </c>
      <c r="F63" s="209">
        <f t="shared" si="2"/>
        <v>415.5</v>
      </c>
      <c r="G63" s="209" t="str">
        <f>if(and(isnumber(Raw!U63),isnumber(Raw!V63)),round(Raw!U63*Raw!V63,1),)</f>
        <v/>
      </c>
      <c r="H63" s="209" t="str">
        <f>if(and(isnumber(Raw!U63),isnumber(Raw!V63)),round(pi()*Raw!U63/2*Raw!V63/2,1),)</f>
        <v/>
      </c>
      <c r="I63" s="210">
        <f t="shared" si="3"/>
        <v>415.5</v>
      </c>
      <c r="J63" s="209">
        <f t="shared" si="4"/>
        <v>458.1</v>
      </c>
      <c r="K63" s="209">
        <f t="shared" si="5"/>
        <v>445.8</v>
      </c>
      <c r="L63" s="209">
        <f t="shared" si="6"/>
        <v>438.2</v>
      </c>
      <c r="M63" s="209">
        <f t="shared" si="7"/>
        <v>433.2</v>
      </c>
      <c r="N63" s="210" t="str">
        <f>if(and(isnumber(Raw!U63),isnumber(Raw!V63),isnumber(Raw!W63)),0.5*Pi()*(Raw!V63/2)^2+(Raw!W63*(Raw!U63-0.5*Raw!V63))+2*((Raw!V63-Raw!W63)/2*(Raw!U63-0.5*Raw!V63)),)</f>
        <v/>
      </c>
      <c r="O63" s="174">
        <f>ifs(Raw!M63="Rectangle",G63,Raw!M63="Cut-teardrop",N63,Raw!M63="Oval",H63,Raw!M63="Flat Circle",I63,Raw!M63="Oval to Circle",F63,Raw!M63="Circle",F63,AND(Raw!M63="Circle to Oval",isnumber(Raw!X63),isblank(Raw!Z63)),F63,Raw!M63="Hexagon",J63,Raw!M63="Septagon",K63,Raw!M63="Octagon",L63,Raw!M63="Nonagon",M63)</f>
        <v>415.5</v>
      </c>
      <c r="Q63" s="211">
        <f>if(AND(isnumber(Raw!BW63),isnumber(Raw!CJ63)),Raw!BW63+Raw!CJ63,Raw!CE63)</f>
        <v>60</v>
      </c>
      <c r="R63" s="126">
        <f>if(isnumber(Raw!CE63),Raw!CE63,)</f>
        <v>60</v>
      </c>
      <c r="S63" s="144" t="str">
        <f>if(isblank(Raw!AT63),Raw!AS63,Raw!AT63)</f>
        <v>?</v>
      </c>
      <c r="T63" s="145"/>
      <c r="U63" s="212" t="str">
        <f>ifs(istext(Raw!AT63),Raw!AT63,AND(Raw!AT63&gt;0,isblank(Raw!AS63)),Raw!AT63,1,Raw!AS63)</f>
        <v>?</v>
      </c>
      <c r="V63" s="144"/>
      <c r="W63" s="130"/>
      <c r="Z63" s="125" t="s">
        <v>110</v>
      </c>
      <c r="AA63" s="213" t="str">
        <f>ifs(AND(Raw!BH63=0,Raw!BK63&gt;0),Raw!BK63*Numbers!J$1,OR(iserror(AB63),Raw!BK63="NR"),"?",1,AB63*Raw!BH63+Raw!BK63*Numbers!J$1)</f>
        <v>?</v>
      </c>
      <c r="AB63" s="130" t="str">
        <f>(Raw!AY63*vlookup(Raw!AX63,Ores[],11,FALSE)+if(isblank(Raw!AZ63),0,Raw!BA63*vlookup(Raw!AZ63,Ores[],11,FALSE))+if(isblank(Raw!BB63),0,Raw!BC63*vlookup(Raw!BB63,Ores[],11,FALSE))+if(isblank(Raw!BD63),0,Raw!BE63*vlookup(Raw!BD63,Ores[],11,FALSE))+if(isblank(Raw!BF63),0,Raw!BG63*vlookup(Raw!BF63,Ores[],11,FALSE)))/Raw!BH63</f>
        <v>#N/A</v>
      </c>
      <c r="AC63" s="130" t="str">
        <f>if(AND(isblank(Raw!BK63),isblank(Raw!BM63),isnumber(Raw!CS63),Raw!CS63&gt;0),if(isnumber(Raw!BL63),Raw!CS63/Raw!BL63,Raw!BL63),)</f>
        <v/>
      </c>
      <c r="AD63" s="130" t="str">
        <f>if(AND(Raw!BK63&gt;0,isblank(Raw!BM63),isnumber(Raw!CS63),Raw!CS63&gt;0),if(isnumber(Raw!BL63),Raw!CS63/Raw!BL63,Raw!BL63),)</f>
        <v/>
      </c>
      <c r="AE63" s="130" t="str">
        <f>if(AND(isblank(Raw!BK63),Raw!BM63&gt;0,isnumber(Raw!CS63),Raw!CS63&gt;0),if(isnumber(Raw!BL63),Raw!CS63/Raw!BL63,Raw!BL63),)</f>
        <v/>
      </c>
      <c r="AF63" s="130" t="str">
        <f>if(AND(Raw!BK63&gt;0,Raw!BM63&gt;0,isnumber(Raw!CS63),Raw!CS63&gt;0),if(isnumber(Raw!BL63),Raw!CS63/Raw!BL63,Raw!BL63),)</f>
        <v/>
      </c>
      <c r="AG63" s="214" t="str">
        <f>if(AND(isblank(Raw!BK63),Raw!BM63&gt;0,isnumber(Raw!CS63),Raw!CS63&gt;0),Raw!BM63,)</f>
        <v/>
      </c>
      <c r="AH63" s="214" t="str">
        <f t="shared" si="8"/>
        <v/>
      </c>
      <c r="AI63" s="214" t="str">
        <f t="shared" ref="AI63:AK63" si="69">if(AND(AD63&gt;0,isnumber($AB63)),$AB63,)</f>
        <v/>
      </c>
      <c r="AJ63" s="214" t="str">
        <f t="shared" si="69"/>
        <v/>
      </c>
      <c r="AK63" s="214" t="str">
        <f t="shared" si="69"/>
        <v/>
      </c>
      <c r="AL63" s="214" t="str">
        <f>if(AND(Raw!BK63&gt;0,isblank(Raw!BM63),isnumber(Raw!CS63),Raw!CS63&gt;0),Raw!BK63,)</f>
        <v/>
      </c>
      <c r="AM63" s="214" t="str">
        <f>if(AND(Raw!BK63&gt;0,Raw!BM63&gt;0,isnumber(Raw!CS63),Raw!CS63&gt;0),Raw!BM63,)</f>
        <v/>
      </c>
      <c r="AN63" s="214" t="str">
        <f>if(AND(Raw!BK63&gt;0,Raw!BM63&gt;0,isnumber(Raw!CS63),Raw!CS63&gt;0),Raw!BK63,)</f>
        <v/>
      </c>
      <c r="AO63" s="214" t="str">
        <f t="array" ref="AO63">if(Raw!H63="Vinland",max(AO$1:indirect("AO"&amp;(row()-1)))+1,)</f>
        <v/>
      </c>
      <c r="AP63" s="214" t="str">
        <f t="array" ref="AP63">if(Raw!H63="Icelandic",max(AP$1:indirect("AP"&amp;(row()-1)))+1,)</f>
        <v/>
      </c>
      <c r="AQ63" s="214">
        <f t="array" ref="AQ63">if(Raw!H63="Turf-to-Tools",max(AQ$1:indirect("AQ"&amp;(row()-1)))+1,)</f>
        <v>5</v>
      </c>
      <c r="AR63" s="216">
        <f>IFS(OR(iserror(Raw!BP63),iserror(Raw!BQ63)),"NR",OR(Raw!BP63="?",Raw!BQ63="?"),"?",1,(Raw!BP63+Raw!BQ63)*Raw!BH63/100)</f>
        <v>0</v>
      </c>
      <c r="AS63" s="214"/>
      <c r="AT63" s="214"/>
      <c r="AU63" s="214"/>
      <c r="AV63" s="214"/>
      <c r="AW63" s="214"/>
      <c r="AX63" s="214"/>
      <c r="AY63" s="214"/>
    </row>
    <row r="64">
      <c r="A64" s="126" t="str">
        <f>Raw!A64</f>
        <v>60 / D28</v>
      </c>
      <c r="B64" s="208">
        <f>if(isnumber(O64),if(isblank(Raw!Z64),O64,concatenate(O64," (E)")),"ERROR")</f>
        <v>907.9</v>
      </c>
      <c r="C64" s="174">
        <f>ifs(Raw!S64="NR","NR",isblank(O64),"ERROR",1,O64*Raw!S64)</f>
        <v>45395</v>
      </c>
      <c r="D64" s="209" t="str">
        <f>ifs(AND(isnumber(Raw!X64),isnumber(Raw!Y64)),Raw!X64-Raw!Y64, AND(isnumber(Raw!U64),isnumber(Raw!V64)),Raw!U64-Raw!V64,1,)</f>
        <v/>
      </c>
      <c r="E64" s="209">
        <f>IFS(isnumber(Raw!X64),Raw!X64/2,isnumber(Raw!U64),Raw!U64/2,1,)</f>
        <v>17</v>
      </c>
      <c r="F64" s="209">
        <f t="shared" si="2"/>
        <v>907.9</v>
      </c>
      <c r="G64" s="209" t="str">
        <f>if(and(isnumber(Raw!U64),isnumber(Raw!V64)),round(Raw!U64*Raw!V64,1),)</f>
        <v/>
      </c>
      <c r="H64" s="209" t="str">
        <f>if(and(isnumber(Raw!U64),isnumber(Raw!V64)),round(pi()*Raw!U64/2*Raw!V64/2,1),)</f>
        <v/>
      </c>
      <c r="I64" s="210">
        <f t="shared" si="3"/>
        <v>907.9</v>
      </c>
      <c r="J64" s="209">
        <f t="shared" si="4"/>
        <v>1001.1</v>
      </c>
      <c r="K64" s="209">
        <f t="shared" si="5"/>
        <v>974.2</v>
      </c>
      <c r="L64" s="209">
        <f t="shared" si="6"/>
        <v>957.7</v>
      </c>
      <c r="M64" s="209">
        <f t="shared" si="7"/>
        <v>946.7</v>
      </c>
      <c r="N64" s="210" t="str">
        <f>if(and(isnumber(Raw!U64),isnumber(Raw!V64),isnumber(Raw!W64)),0.5*Pi()*(Raw!V64/2)^2+(Raw!W64*(Raw!U64-0.5*Raw!V64))+2*((Raw!V64-Raw!W64)/2*(Raw!U64-0.5*Raw!V64)),)</f>
        <v/>
      </c>
      <c r="O64" s="174">
        <f>ifs(Raw!M64="Rectangle",G64,Raw!M64="Cut-teardrop",N64,Raw!M64="Oval",H64,Raw!M64="Flat Circle",I64,Raw!M64="Oval to Circle",F64,Raw!M64="Circle",F64,AND(Raw!M64="Circle to Oval",isnumber(Raw!X64),isblank(Raw!Z64)),F64,Raw!M64="Hexagon",J64,Raw!M64="Septagon",K64,Raw!M64="Octagon",L64,Raw!M64="Nonagon",M64)</f>
        <v>907.9</v>
      </c>
      <c r="Q64" s="211">
        <f>if(AND(isnumber(Raw!BW64),isnumber(Raw!CJ64)),Raw!BW64+Raw!CJ64,Raw!CE64)</f>
        <v>251</v>
      </c>
      <c r="R64" s="126">
        <f>if(isnumber(Raw!CE64),Raw!CE64,)</f>
        <v>251</v>
      </c>
      <c r="S64" s="144">
        <f>if(isblank(Raw!AT64),Raw!AS64,Raw!AT64)</f>
        <v>1400</v>
      </c>
      <c r="T64" s="145"/>
      <c r="U64" s="212">
        <f>ifs(istext(Raw!AT64),Raw!AT64,AND(Raw!AT64&gt;0,isblank(Raw!AS64)),Raw!AT64,1,Raw!AS64)</f>
        <v>1400</v>
      </c>
      <c r="V64" s="144"/>
      <c r="W64" s="130"/>
      <c r="Y64" s="125" t="s">
        <v>123</v>
      </c>
      <c r="Z64" s="125" t="s">
        <v>123</v>
      </c>
      <c r="AA64" s="213">
        <f>ifs(AND(Raw!BH64=0,Raw!BK64&gt;0),Raw!BK64*Numbers!J$1,OR(iserror(AB64),Raw!BK64="NR"),"?",1,AB64*Raw!BH64+Raw!BK64*Numbers!J$1)</f>
        <v>17.41633075</v>
      </c>
      <c r="AB64" s="130">
        <f>(Raw!AY64*vlookup(Raw!AX64,Ores[],11,FALSE)+if(isblank(Raw!AZ64),0,Raw!BA64*vlookup(Raw!AZ64,Ores[],11,FALSE))+if(isblank(Raw!BB64),0,Raw!BC64*vlookup(Raw!BB64,Ores[],11,FALSE))+if(isblank(Raw!BD64),0,Raw!BE64*vlookup(Raw!BD64,Ores[],11,FALSE))+if(isblank(Raw!BF64),0,Raw!BG64*vlookup(Raw!BF64,Ores[],11,FALSE)))/Raw!BH64</f>
        <v>0.561817121</v>
      </c>
      <c r="AC64" s="130">
        <f>if(AND(isblank(Raw!BK64),isblank(Raw!BM64),isnumber(Raw!CS64),Raw!CS64&gt;0),if(isnumber(Raw!BL64),Raw!CS64/Raw!BL64,Raw!BL64),)</f>
        <v>0.2483870968</v>
      </c>
      <c r="AD64" s="130" t="str">
        <f>if(AND(Raw!BK64&gt;0,isblank(Raw!BM64),isnumber(Raw!CS64),Raw!CS64&gt;0),if(isnumber(Raw!BL64),Raw!CS64/Raw!BL64,Raw!BL64),)</f>
        <v/>
      </c>
      <c r="AE64" s="130" t="str">
        <f>if(AND(isblank(Raw!BK64),Raw!BM64&gt;0,isnumber(Raw!CS64),Raw!CS64&gt;0),if(isnumber(Raw!BL64),Raw!CS64/Raw!BL64,Raw!BL64),)</f>
        <v/>
      </c>
      <c r="AF64" s="130" t="str">
        <f>if(AND(Raw!BK64&gt;0,Raw!BM64&gt;0,isnumber(Raw!CS64),Raw!CS64&gt;0),if(isnumber(Raw!BL64),Raw!CS64/Raw!BL64,Raw!BL64),)</f>
        <v/>
      </c>
      <c r="AG64" s="214" t="str">
        <f>if(AND(isblank(Raw!BK64),Raw!BM64&gt;0,isnumber(Raw!CS64),Raw!CS64&gt;0),Raw!BM64,)</f>
        <v/>
      </c>
      <c r="AH64" s="215">
        <f t="shared" si="8"/>
        <v>0.561817121</v>
      </c>
      <c r="AI64" s="214" t="str">
        <f t="shared" ref="AI64:AK64" si="70">if(AND(AD64&gt;0,isnumber($AB64)),$AB64,)</f>
        <v/>
      </c>
      <c r="AJ64" s="214" t="str">
        <f t="shared" si="70"/>
        <v/>
      </c>
      <c r="AK64" s="214" t="str">
        <f t="shared" si="70"/>
        <v/>
      </c>
      <c r="AL64" s="214" t="str">
        <f>if(AND(Raw!BK64&gt;0,isblank(Raw!BM64),isnumber(Raw!CS64),Raw!CS64&gt;0),Raw!BK64,)</f>
        <v/>
      </c>
      <c r="AM64" s="214" t="str">
        <f>if(AND(Raw!BK64&gt;0,Raw!BM64&gt;0,isnumber(Raw!CS64),Raw!CS64&gt;0),Raw!BM64,)</f>
        <v/>
      </c>
      <c r="AN64" s="214" t="str">
        <f>if(AND(Raw!BK64&gt;0,Raw!BM64&gt;0,isnumber(Raw!CS64),Raw!CS64&gt;0),Raw!BK64,)</f>
        <v/>
      </c>
      <c r="AO64" s="214" t="str">
        <f t="array" ref="AO64">if(Raw!H64="Vinland",max(AO$1:indirect("AO"&amp;(row()-1)))+1,)</f>
        <v/>
      </c>
      <c r="AP64" s="214">
        <f t="array" ref="AP64">if(Raw!H64="Icelandic",max(AP$1:indirect("AP"&amp;(row()-1)))+1,)</f>
        <v>6</v>
      </c>
      <c r="AQ64" s="214" t="str">
        <f t="array" ref="AQ64">if(Raw!H64="Turf-to-Tools",max(AQ$1:indirect("AQ"&amp;(row()-1)))+1,)</f>
        <v/>
      </c>
      <c r="AR64" s="216">
        <f>IFS(OR(iserror(Raw!BP64),iserror(Raw!BQ64)),"NR",OR(Raw!BP64="?",Raw!BQ64="?"),"?",1,(Raw!BP64+Raw!BQ64)*Raw!BH64/100)</f>
        <v>2.052</v>
      </c>
      <c r="AS64" s="214"/>
      <c r="AT64" s="214"/>
      <c r="AU64" s="214"/>
      <c r="AV64" s="214"/>
      <c r="AW64" s="214"/>
      <c r="AX64" s="214"/>
      <c r="AY64" s="214"/>
    </row>
    <row r="65">
      <c r="A65" s="126" t="str">
        <f>Raw!A65</f>
        <v>61 / D29</v>
      </c>
      <c r="B65" s="208">
        <f>if(isnumber(O65),if(isblank(Raw!Z65),O65,concatenate(O65," (E)")),"ERROR")</f>
        <v>660.5</v>
      </c>
      <c r="C65" s="174">
        <f>ifs(Raw!S65="NR","NR",isblank(O65),"ERROR",1,O65*Raw!S65)</f>
        <v>47556</v>
      </c>
      <c r="D65" s="209" t="str">
        <f>ifs(AND(isnumber(Raw!X65),isnumber(Raw!Y65)),Raw!X65-Raw!Y65, AND(isnumber(Raw!U65),isnumber(Raw!V65)),Raw!U65-Raw!V65,1,)</f>
        <v/>
      </c>
      <c r="E65" s="209">
        <f>IFS(isnumber(Raw!X65),Raw!X65/2,isnumber(Raw!U65),Raw!U65/2,1,)</f>
        <v>14.5</v>
      </c>
      <c r="F65" s="209">
        <f t="shared" si="2"/>
        <v>660.5</v>
      </c>
      <c r="G65" s="209" t="str">
        <f>if(and(isnumber(Raw!U65),isnumber(Raw!V65)),round(Raw!U65*Raw!V65,1),)</f>
        <v/>
      </c>
      <c r="H65" s="209" t="str">
        <f>if(and(isnumber(Raw!U65),isnumber(Raw!V65)),round(pi()*Raw!U65/2*Raw!V65/2,1),)</f>
        <v/>
      </c>
      <c r="I65" s="210">
        <f t="shared" si="3"/>
        <v>660.5</v>
      </c>
      <c r="J65" s="209">
        <f t="shared" si="4"/>
        <v>728.3</v>
      </c>
      <c r="K65" s="209">
        <f t="shared" si="5"/>
        <v>708.8</v>
      </c>
      <c r="L65" s="209">
        <f t="shared" si="6"/>
        <v>696.7</v>
      </c>
      <c r="M65" s="209">
        <f t="shared" si="7"/>
        <v>688.7</v>
      </c>
      <c r="N65" s="210" t="str">
        <f>if(and(isnumber(Raw!U65),isnumber(Raw!V65),isnumber(Raw!W65)),0.5*Pi()*(Raw!V65/2)^2+(Raw!W65*(Raw!U65-0.5*Raw!V65))+2*((Raw!V65-Raw!W65)/2*(Raw!U65-0.5*Raw!V65)),)</f>
        <v/>
      </c>
      <c r="O65" s="174">
        <f>ifs(Raw!M65="Rectangle",G65,Raw!M65="Cut-teardrop",N65,Raw!M65="Oval",H65,Raw!M65="Flat Circle",I65,Raw!M65="Oval to Circle",F65,Raw!M65="Circle",F65,AND(Raw!M65="Circle to Oval",isnumber(Raw!X65),isblank(Raw!Z65)),F65,Raw!M65="Hexagon",J65,Raw!M65="Septagon",K65,Raw!M65="Octagon",L65,Raw!M65="Nonagon",M65)</f>
        <v>660.5</v>
      </c>
      <c r="Q65" s="211">
        <f>if(AND(isnumber(Raw!BW65),isnumber(Raw!CJ65)),Raw!BW65+Raw!CJ65,Raw!CE65)</f>
        <v>284</v>
      </c>
      <c r="R65" s="126">
        <f>if(isnumber(Raw!CE65),Raw!CE65,)</f>
        <v>284</v>
      </c>
      <c r="S65" s="144">
        <f>if(isblank(Raw!AT65),Raw!AS65,Raw!AT65)</f>
        <v>1000</v>
      </c>
      <c r="T65" s="145"/>
      <c r="U65" s="212">
        <f>ifs(istext(Raw!AT65),Raw!AT65,AND(Raw!AT65&gt;0,isblank(Raw!AS65)),Raw!AT65,1,Raw!AS65)</f>
        <v>1000</v>
      </c>
      <c r="V65" s="144"/>
      <c r="W65" s="130"/>
      <c r="Y65" s="125" t="s">
        <v>123</v>
      </c>
      <c r="Z65" s="125" t="s">
        <v>123</v>
      </c>
      <c r="AA65" s="213">
        <f>ifs(AND(Raw!BH65=0,Raw!BK65&gt;0),Raw!BK65*Numbers!J$1,OR(iserror(AB65),Raw!BK65="NR"),"?",1,AB65*Raw!BH65+Raw!BK65*Numbers!J$1)</f>
        <v>17.13542219</v>
      </c>
      <c r="AB65" s="130">
        <f>(Raw!AY65*vlookup(Raw!AX65,Ores[],11,FALSE)+if(isblank(Raw!AZ65),0,Raw!BA65*vlookup(Raw!AZ65,Ores[],11,FALSE))+if(isblank(Raw!BB65),0,Raw!BC65*vlookup(Raw!BB65,Ores[],11,FALSE))+if(isblank(Raw!BD65),0,Raw!BE65*vlookup(Raw!BD65,Ores[],11,FALSE))+if(isblank(Raw!BF65),0,Raw!BG65*vlookup(Raw!BF65,Ores[],11,FALSE)))/Raw!BH65</f>
        <v>0.561817121</v>
      </c>
      <c r="AC65" s="130">
        <f>if(AND(isblank(Raw!BK65),isblank(Raw!BM65),isnumber(Raw!CS65),Raw!CS65&gt;0),if(isnumber(Raw!BL65),Raw!CS65/Raw!BL65,Raw!BL65),)</f>
        <v>0.1409836066</v>
      </c>
      <c r="AD65" s="130" t="str">
        <f>if(AND(Raw!BK65&gt;0,isblank(Raw!BM65),isnumber(Raw!CS65),Raw!CS65&gt;0),if(isnumber(Raw!BL65),Raw!CS65/Raw!BL65,Raw!BL65),)</f>
        <v/>
      </c>
      <c r="AE65" s="130" t="str">
        <f>if(AND(isblank(Raw!BK65),Raw!BM65&gt;0,isnumber(Raw!CS65),Raw!CS65&gt;0),if(isnumber(Raw!BL65),Raw!CS65/Raw!BL65,Raw!BL65),)</f>
        <v/>
      </c>
      <c r="AF65" s="130" t="str">
        <f>if(AND(Raw!BK65&gt;0,Raw!BM65&gt;0,isnumber(Raw!CS65),Raw!CS65&gt;0),if(isnumber(Raw!BL65),Raw!CS65/Raw!BL65,Raw!BL65),)</f>
        <v/>
      </c>
      <c r="AG65" s="214" t="str">
        <f>if(AND(isblank(Raw!BK65),Raw!BM65&gt;0,isnumber(Raw!CS65),Raw!CS65&gt;0),Raw!BM65,)</f>
        <v/>
      </c>
      <c r="AH65" s="215">
        <f t="shared" si="8"/>
        <v>0.561817121</v>
      </c>
      <c r="AI65" s="214" t="str">
        <f t="shared" ref="AI65:AK65" si="71">if(AND(AD65&gt;0,isnumber($AB65)),$AB65,)</f>
        <v/>
      </c>
      <c r="AJ65" s="214" t="str">
        <f t="shared" si="71"/>
        <v/>
      </c>
      <c r="AK65" s="214" t="str">
        <f t="shared" si="71"/>
        <v/>
      </c>
      <c r="AL65" s="214" t="str">
        <f>if(AND(Raw!BK65&gt;0,isblank(Raw!BM65),isnumber(Raw!CS65),Raw!CS65&gt;0),Raw!BK65,)</f>
        <v/>
      </c>
      <c r="AM65" s="214" t="str">
        <f>if(AND(Raw!BK65&gt;0,Raw!BM65&gt;0,isnumber(Raw!CS65),Raw!CS65&gt;0),Raw!BM65,)</f>
        <v/>
      </c>
      <c r="AN65" s="214" t="str">
        <f>if(AND(Raw!BK65&gt;0,Raw!BM65&gt;0,isnumber(Raw!CS65),Raw!CS65&gt;0),Raw!BK65,)</f>
        <v/>
      </c>
      <c r="AO65" s="214" t="str">
        <f t="array" ref="AO65">if(Raw!H65="Vinland",max(AO$1:indirect("AO"&amp;(row()-1)))+1,)</f>
        <v/>
      </c>
      <c r="AP65" s="214">
        <f t="array" ref="AP65">if(Raw!H65="Icelandic",max(AP$1:indirect("AP"&amp;(row()-1)))+1,)</f>
        <v>7</v>
      </c>
      <c r="AQ65" s="214" t="str">
        <f t="array" ref="AQ65">if(Raw!H65="Turf-to-Tools",max(AQ$1:indirect("AQ"&amp;(row()-1)))+1,)</f>
        <v/>
      </c>
      <c r="AR65" s="216">
        <f>IFS(OR(iserror(Raw!BP65),iserror(Raw!BQ65)),"NR",OR(Raw!BP65="?",Raw!BQ65="?"),"?",1,(Raw!BP65+Raw!BQ65)*Raw!BH65/100)</f>
        <v>2.018903226</v>
      </c>
      <c r="AS65" s="214"/>
      <c r="AT65" s="214"/>
      <c r="AU65" s="214"/>
      <c r="AV65" s="214"/>
      <c r="AW65" s="214"/>
      <c r="AX65" s="214"/>
      <c r="AY65" s="214"/>
    </row>
    <row r="66">
      <c r="A66" s="126">
        <f>Raw!A66</f>
        <v>62</v>
      </c>
      <c r="B66" s="208">
        <f>if(isnumber(O66),if(isblank(Raw!Z66),O66,concatenate(O66," (E)")),"ERROR")</f>
        <v>615.8</v>
      </c>
      <c r="C66" s="174">
        <f>ifs(Raw!S66="NR","NR",isblank(O66),"ERROR",1,O66*Raw!S66)</f>
        <v>29558.4</v>
      </c>
      <c r="D66" s="209">
        <f>ifs(AND(isnumber(Raw!X66),isnumber(Raw!Y66)),Raw!X66-Raw!Y66, AND(isnumber(Raw!U66),isnumber(Raw!V66)),Raw!U66-Raw!V66,1,)</f>
        <v>3.5</v>
      </c>
      <c r="E66" s="209">
        <f>IFS(isnumber(Raw!X66),Raw!X66/2,isnumber(Raw!U66),Raw!U66/2,1,)</f>
        <v>14</v>
      </c>
      <c r="F66" s="209">
        <f t="shared" si="2"/>
        <v>615.8</v>
      </c>
      <c r="G66" s="209">
        <f>if(and(isnumber(Raw!U66),isnumber(Raw!V66)),round(Raw!U66*Raw!V66,1),)</f>
        <v>739.5</v>
      </c>
      <c r="H66" s="209">
        <f>if(and(isnumber(Raw!U66),isnumber(Raw!V66)),round(pi()*Raw!U66/2*Raw!V66/2,1),)</f>
        <v>580.8</v>
      </c>
      <c r="I66" s="210">
        <f t="shared" si="3"/>
        <v>571.3754481</v>
      </c>
      <c r="J66" s="209">
        <f t="shared" si="4"/>
        <v>679</v>
      </c>
      <c r="K66" s="209">
        <f t="shared" si="5"/>
        <v>660.7</v>
      </c>
      <c r="L66" s="209">
        <f t="shared" si="6"/>
        <v>649.5</v>
      </c>
      <c r="M66" s="209">
        <f t="shared" si="7"/>
        <v>642</v>
      </c>
      <c r="N66" s="210" t="str">
        <f>if(and(isnumber(Raw!U66),isnumber(Raw!V66),isnumber(Raw!W66)),0.5*Pi()*(Raw!V66/2)^2+(Raw!W66*(Raw!U66-0.5*Raw!V66))+2*((Raw!V66-Raw!W66)/2*(Raw!U66-0.5*Raw!V66)),)</f>
        <v/>
      </c>
      <c r="O66" s="174">
        <f>ifs(Raw!M66="Rectangle",G66,Raw!M66="Cut-teardrop",N66,Raw!M66="Oval",H66,Raw!M66="Flat Circle",I66,Raw!M66="Oval to Circle",F66,Raw!M66="Circle",F66,AND(Raw!M66="Circle to Oval",isnumber(Raw!X66),isblank(Raw!Z66)),F66,Raw!M66="Hexagon",J66,Raw!M66="Septagon",K66,Raw!M66="Octagon",L66,Raw!M66="Nonagon",M66)</f>
        <v>615.8</v>
      </c>
      <c r="Q66" s="211">
        <f>if(AND(isnumber(Raw!BW66),isnumber(Raw!CJ66)),Raw!BW66+Raw!CJ66,Raw!CE66)</f>
        <v>402</v>
      </c>
      <c r="R66" s="126">
        <f>if(isnumber(Raw!CE66),Raw!CE66,)</f>
        <v>238</v>
      </c>
      <c r="S66" s="144">
        <f>if(isblank(Raw!AT66),Raw!AS66,Raw!AT66)</f>
        <v>800</v>
      </c>
      <c r="T66" s="145"/>
      <c r="U66" s="212">
        <f>ifs(istext(Raw!AT66),Raw!AT66,AND(Raw!AT66&gt;0,isblank(Raw!AS66)),Raw!AT66,1,Raw!AS66)</f>
        <v>800</v>
      </c>
      <c r="V66" s="144"/>
      <c r="W66" s="130"/>
      <c r="Z66" s="125" t="s">
        <v>123</v>
      </c>
      <c r="AA66" s="213">
        <f>ifs(AND(Raw!BH66=0,Raw!BK66&gt;0),Raw!BK66*Numbers!J$1,OR(iserror(AB66),Raw!BK66="NR"),"?",1,AB66*Raw!BH66+Raw!BK66*Numbers!J$1)</f>
        <v>16.29269651</v>
      </c>
      <c r="AB66" s="130">
        <f>(Raw!AY66*vlookup(Raw!AX66,Ores[],11,FALSE)+if(isblank(Raw!AZ66),0,Raw!BA66*vlookup(Raw!AZ66,Ores[],11,FALSE))+if(isblank(Raw!BB66),0,Raw!BC66*vlookup(Raw!BB66,Ores[],11,FALSE))+if(isblank(Raw!BD66),0,Raw!BE66*vlookup(Raw!BD66,Ores[],11,FALSE))+if(isblank(Raw!BF66),0,Raw!BG66*vlookup(Raw!BF66,Ores[],11,FALSE)))/Raw!BH66</f>
        <v>0.561817121</v>
      </c>
      <c r="AC66" s="130" t="str">
        <f>if(AND(isblank(Raw!BK66),isblank(Raw!BM66),isnumber(Raw!CS66),Raw!CS66&gt;0),if(isnumber(Raw!BL66),Raw!CS66/Raw!BL66,Raw!BL66),)</f>
        <v/>
      </c>
      <c r="AD66" s="130" t="str">
        <f>if(AND(Raw!BK66&gt;0,isblank(Raw!BM66),isnumber(Raw!CS66),Raw!CS66&gt;0),if(isnumber(Raw!BL66),Raw!CS66/Raw!BL66,Raw!BL66),)</f>
        <v/>
      </c>
      <c r="AE66" s="130" t="str">
        <f>if(AND(isblank(Raw!BK66),Raw!BM66&gt;0,isnumber(Raw!CS66),Raw!CS66&gt;0),if(isnumber(Raw!BL66),Raw!CS66/Raw!BL66,Raw!BL66),)</f>
        <v/>
      </c>
      <c r="AF66" s="130" t="str">
        <f>if(AND(Raw!BK66&gt;0,Raw!BM66&gt;0,isnumber(Raw!CS66),Raw!CS66&gt;0),if(isnumber(Raw!BL66),Raw!CS66/Raw!BL66,Raw!BL66),)</f>
        <v/>
      </c>
      <c r="AG66" s="214" t="str">
        <f>if(AND(isblank(Raw!BK66),Raw!BM66&gt;0,isnumber(Raw!CS66),Raw!CS66&gt;0),Raw!BM66,)</f>
        <v/>
      </c>
      <c r="AH66" s="214" t="str">
        <f t="shared" si="8"/>
        <v/>
      </c>
      <c r="AI66" s="214" t="str">
        <f t="shared" ref="AI66:AK66" si="72">if(AND(AD66&gt;0,isnumber($AB66)),$AB66,)</f>
        <v/>
      </c>
      <c r="AJ66" s="214" t="str">
        <f t="shared" si="72"/>
        <v/>
      </c>
      <c r="AK66" s="214" t="str">
        <f t="shared" si="72"/>
        <v/>
      </c>
      <c r="AL66" s="214" t="str">
        <f>if(AND(Raw!BK66&gt;0,isblank(Raw!BM66),isnumber(Raw!CS66),Raw!CS66&gt;0),Raw!BK66,)</f>
        <v/>
      </c>
      <c r="AM66" s="214" t="str">
        <f>if(AND(Raw!BK66&gt;0,Raw!BM66&gt;0,isnumber(Raw!CS66),Raw!CS66&gt;0),Raw!BM66,)</f>
        <v/>
      </c>
      <c r="AN66" s="214" t="str">
        <f>if(AND(Raw!BK66&gt;0,Raw!BM66&gt;0,isnumber(Raw!CS66),Raw!CS66&gt;0),Raw!BK66,)</f>
        <v/>
      </c>
      <c r="AO66" s="214" t="str">
        <f t="array" ref="AO66">if(Raw!H66="Vinland",max(AO$1:indirect("AO"&amp;(row()-1)))+1,)</f>
        <v/>
      </c>
      <c r="AP66" s="214" t="str">
        <f t="array" ref="AP66">if(Raw!H66="Icelandic",max(AP$1:indirect("AP"&amp;(row()-1)))+1,)</f>
        <v/>
      </c>
      <c r="AQ66" s="214" t="str">
        <f t="array" ref="AQ66">if(Raw!H66="Turf-to-Tools",max(AQ$1:indirect("AQ"&amp;(row()-1)))+1,)</f>
        <v/>
      </c>
      <c r="AR66" s="216">
        <f>IFS(OR(iserror(Raw!BP66),iserror(Raw!BQ66)),"NR",OR(Raw!BP66="?",Raw!BQ66="?"),"?",1,(Raw!BP66+Raw!BQ66)*Raw!BH66/100)</f>
        <v>1.919612903</v>
      </c>
      <c r="AS66" s="214"/>
      <c r="AT66" s="214"/>
      <c r="AU66" s="214"/>
      <c r="AV66" s="214"/>
      <c r="AW66" s="214"/>
      <c r="AX66" s="214"/>
      <c r="AY66" s="214"/>
    </row>
    <row r="67">
      <c r="A67" s="126">
        <f>Raw!A67</f>
        <v>63</v>
      </c>
      <c r="B67" s="208">
        <f>if(isnumber(O67),if(isblank(Raw!Z67),O67,concatenate(O67," (E)")),"ERROR")</f>
        <v>530.9</v>
      </c>
      <c r="C67" s="174" t="str">
        <f>ifs(Raw!S67="NR","NR",isblank(O67),"ERROR",1,O67*Raw!S67)</f>
        <v>NR</v>
      </c>
      <c r="D67" s="209" t="str">
        <f>ifs(AND(isnumber(Raw!X67),isnumber(Raw!Y67)),Raw!X67-Raw!Y67, AND(isnumber(Raw!U67),isnumber(Raw!V67)),Raw!U67-Raw!V67,1,)</f>
        <v/>
      </c>
      <c r="E67" s="209">
        <f>IFS(isnumber(Raw!X67),Raw!X67/2,isnumber(Raw!U67),Raw!U67/2,1,)</f>
        <v>13</v>
      </c>
      <c r="F67" s="209">
        <f t="shared" si="2"/>
        <v>530.9</v>
      </c>
      <c r="G67" s="209" t="str">
        <f>if(and(isnumber(Raw!U67),isnumber(Raw!V67)),round(Raw!U67*Raw!V67,1),)</f>
        <v/>
      </c>
      <c r="H67" s="209" t="str">
        <f>if(and(isnumber(Raw!U67),isnumber(Raw!V67)),round(pi()*Raw!U67/2*Raw!V67/2,1),)</f>
        <v/>
      </c>
      <c r="I67" s="210">
        <f t="shared" si="3"/>
        <v>530.9</v>
      </c>
      <c r="J67" s="209">
        <f t="shared" si="4"/>
        <v>585.4</v>
      </c>
      <c r="K67" s="209">
        <f t="shared" si="5"/>
        <v>569.7</v>
      </c>
      <c r="L67" s="209">
        <f t="shared" si="6"/>
        <v>560</v>
      </c>
      <c r="M67" s="209">
        <f t="shared" si="7"/>
        <v>553.6</v>
      </c>
      <c r="N67" s="210" t="str">
        <f>if(and(isnumber(Raw!U67),isnumber(Raw!V67),isnumber(Raw!W67)),0.5*Pi()*(Raw!V67/2)^2+(Raw!W67*(Raw!U67-0.5*Raw!V67))+2*((Raw!V67-Raw!W67)/2*(Raw!U67-0.5*Raw!V67)),)</f>
        <v/>
      </c>
      <c r="O67" s="174">
        <f>ifs(Raw!M67="Rectangle",G67,Raw!M67="Cut-teardrop",N67,Raw!M67="Oval",H67,Raw!M67="Flat Circle",I67,Raw!M67="Oval to Circle",F67,Raw!M67="Circle",F67,AND(Raw!M67="Circle to Oval",isnumber(Raw!X67),isblank(Raw!Z67)),F67,Raw!M67="Hexagon",J67,Raw!M67="Septagon",K67,Raw!M67="Octagon",L67,Raw!M67="Nonagon",M67)</f>
        <v>530.9</v>
      </c>
      <c r="Q67" s="211">
        <f>if(AND(isnumber(Raw!BW67),isnumber(Raw!CJ67)),Raw!BW67+Raw!CJ67,Raw!CE67)</f>
        <v>420</v>
      </c>
      <c r="R67" s="126">
        <f>if(isnumber(Raw!CE67),Raw!CE67,)</f>
        <v>420</v>
      </c>
      <c r="S67" s="144" t="str">
        <f>if(isblank(Raw!AT67),Raw!AS67,Raw!AT67)</f>
        <v>NR</v>
      </c>
      <c r="T67" s="145"/>
      <c r="U67" s="212" t="str">
        <f>ifs(istext(Raw!AT67),Raw!AT67,AND(Raw!AT67&gt;0,isblank(Raw!AS67)),Raw!AT67,1,Raw!AS67)</f>
        <v>NR</v>
      </c>
      <c r="V67" s="144"/>
      <c r="W67" s="130"/>
      <c r="Z67" s="125" t="s">
        <v>123</v>
      </c>
      <c r="AA67" s="213">
        <f>ifs(AND(Raw!BH67=0,Raw!BK67&gt;0),Raw!BK67*Numbers!J$1,OR(iserror(AB67),Raw!BK67="NR"),"?",1,AB67*Raw!BH67+Raw!BK67*Numbers!J$1)</f>
        <v>10.50654743</v>
      </c>
      <c r="AB67" s="130">
        <f>(Raw!AY67*vlookup(Raw!AX67,Ores[],11,FALSE)+if(isblank(Raw!AZ67),0,Raw!BA67*vlookup(Raw!AZ67,Ores[],11,FALSE))+if(isblank(Raw!BB67),0,Raw!BC67*vlookup(Raw!BB67,Ores[],11,FALSE))+if(isblank(Raw!BD67),0,Raw!BE67*vlookup(Raw!BD67,Ores[],11,FALSE))+if(isblank(Raw!BF67),0,Raw!BG67*vlookup(Raw!BF67,Ores[],11,FALSE)))/Raw!BH67</f>
        <v>0.5333272807</v>
      </c>
      <c r="AC67" s="130">
        <f>if(AND(isblank(Raw!BK67),isblank(Raw!BM67),isnumber(Raw!CS67),Raw!CS67&gt;0),if(isnumber(Raw!BL67),Raw!CS67/Raw!BL67,Raw!BL67),)</f>
        <v>0.2487309645</v>
      </c>
      <c r="AD67" s="130" t="str">
        <f>if(AND(Raw!BK67&gt;0,isblank(Raw!BM67),isnumber(Raw!CS67),Raw!CS67&gt;0),if(isnumber(Raw!BL67),Raw!CS67/Raw!BL67,Raw!BL67),)</f>
        <v/>
      </c>
      <c r="AE67" s="130" t="str">
        <f>if(AND(isblank(Raw!BK67),Raw!BM67&gt;0,isnumber(Raw!CS67),Raw!CS67&gt;0),if(isnumber(Raw!BL67),Raw!CS67/Raw!BL67,Raw!BL67),)</f>
        <v/>
      </c>
      <c r="AF67" s="130" t="str">
        <f>if(AND(Raw!BK67&gt;0,Raw!BM67&gt;0,isnumber(Raw!CS67),Raw!CS67&gt;0),if(isnumber(Raw!BL67),Raw!CS67/Raw!BL67,Raw!BL67),)</f>
        <v/>
      </c>
      <c r="AG67" s="214" t="str">
        <f>if(AND(isblank(Raw!BK67),Raw!BM67&gt;0,isnumber(Raw!CS67),Raw!CS67&gt;0),Raw!BM67,)</f>
        <v/>
      </c>
      <c r="AH67" s="215">
        <f t="shared" si="8"/>
        <v>0.5333272807</v>
      </c>
      <c r="AI67" s="214" t="str">
        <f t="shared" ref="AI67:AK67" si="73">if(AND(AD67&gt;0,isnumber($AB67)),$AB67,)</f>
        <v/>
      </c>
      <c r="AJ67" s="214" t="str">
        <f t="shared" si="73"/>
        <v/>
      </c>
      <c r="AK67" s="214" t="str">
        <f t="shared" si="73"/>
        <v/>
      </c>
      <c r="AL67" s="214" t="str">
        <f>if(AND(Raw!BK67&gt;0,isblank(Raw!BM67),isnumber(Raw!CS67),Raw!CS67&gt;0),Raw!BK67,)</f>
        <v/>
      </c>
      <c r="AM67" s="214" t="str">
        <f>if(AND(Raw!BK67&gt;0,Raw!BM67&gt;0,isnumber(Raw!CS67),Raw!CS67&gt;0),Raw!BM67,)</f>
        <v/>
      </c>
      <c r="AN67" s="214" t="str">
        <f>if(AND(Raw!BK67&gt;0,Raw!BM67&gt;0,isnumber(Raw!CS67),Raw!CS67&gt;0),Raw!BK67,)</f>
        <v/>
      </c>
      <c r="AO67" s="214" t="str">
        <f t="array" ref="AO67">if(Raw!H67="Vinland",max(AO$1:indirect("AO"&amp;(row()-1)))+1,)</f>
        <v/>
      </c>
      <c r="AP67" s="214" t="str">
        <f t="array" ref="AP67">if(Raw!H67="Icelandic",max(AP$1:indirect("AP"&amp;(row()-1)))+1,)</f>
        <v/>
      </c>
      <c r="AQ67" s="214" t="str">
        <f t="array" ref="AQ67">if(Raw!H67="Turf-to-Tools",max(AQ$1:indirect("AQ"&amp;(row()-1)))+1,)</f>
        <v/>
      </c>
      <c r="AR67" s="216">
        <f>IFS(OR(iserror(Raw!BP67),iserror(Raw!BQ67)),"NR",OR(Raw!BP67="?",Raw!BQ67="?"),"?",1,(Raw!BP67+Raw!BQ67)*Raw!BH67/100)</f>
        <v>2.077510323</v>
      </c>
      <c r="AS67" s="214"/>
      <c r="AT67" s="214"/>
      <c r="AU67" s="214"/>
      <c r="AV67" s="214"/>
      <c r="AW67" s="214"/>
      <c r="AX67" s="214"/>
      <c r="AY67" s="214"/>
    </row>
    <row r="68">
      <c r="A68" s="126">
        <f>Raw!A68</f>
        <v>64</v>
      </c>
      <c r="B68" s="208">
        <f>if(isnumber(O68),if(isblank(Raw!Z68),O68,concatenate(O68," (E)")),"ERROR")</f>
        <v>615.8</v>
      </c>
      <c r="C68" s="174">
        <f>ifs(Raw!S68="NR","NR",isblank(O68),"ERROR",1,O68*Raw!S68)</f>
        <v>36948</v>
      </c>
      <c r="D68" s="209" t="str">
        <f>ifs(AND(isnumber(Raw!X68),isnumber(Raw!Y68)),Raw!X68-Raw!Y68, AND(isnumber(Raw!U68),isnumber(Raw!V68)),Raw!U68-Raw!V68,1,)</f>
        <v/>
      </c>
      <c r="E68" s="209">
        <f>IFS(isnumber(Raw!X68),Raw!X68/2,isnumber(Raw!U68),Raw!U68/2,1,)</f>
        <v>14</v>
      </c>
      <c r="F68" s="209">
        <f t="shared" si="2"/>
        <v>615.8</v>
      </c>
      <c r="G68" s="209" t="str">
        <f>if(and(isnumber(Raw!U68),isnumber(Raw!V68)),round(Raw!U68*Raw!V68,1),)</f>
        <v/>
      </c>
      <c r="H68" s="209" t="str">
        <f>if(and(isnumber(Raw!U68),isnumber(Raw!V68)),round(pi()*Raw!U68/2*Raw!V68/2,1),)</f>
        <v/>
      </c>
      <c r="I68" s="210">
        <f t="shared" si="3"/>
        <v>615.8</v>
      </c>
      <c r="J68" s="209">
        <f t="shared" si="4"/>
        <v>679</v>
      </c>
      <c r="K68" s="209">
        <f t="shared" si="5"/>
        <v>660.7</v>
      </c>
      <c r="L68" s="209">
        <f t="shared" si="6"/>
        <v>649.5</v>
      </c>
      <c r="M68" s="209">
        <f t="shared" si="7"/>
        <v>642</v>
      </c>
      <c r="N68" s="210" t="str">
        <f>if(and(isnumber(Raw!U68),isnumber(Raw!V68),isnumber(Raw!W68)),0.5*Pi()*(Raw!V68/2)^2+(Raw!W68*(Raw!U68-0.5*Raw!V68))+2*((Raw!V68-Raw!W68)/2*(Raw!U68-0.5*Raw!V68)),)</f>
        <v/>
      </c>
      <c r="O68" s="174">
        <f>ifs(Raw!M68="Rectangle",G68,Raw!M68="Cut-teardrop",N68,Raw!M68="Oval",H68,Raw!M68="Flat Circle",I68,Raw!M68="Oval to Circle",F68,Raw!M68="Circle",F68,AND(Raw!M68="Circle to Oval",isnumber(Raw!X68),isblank(Raw!Z68)),F68,Raw!M68="Hexagon",J68,Raw!M68="Septagon",K68,Raw!M68="Octagon",L68,Raw!M68="Nonagon",M68)</f>
        <v>615.8</v>
      </c>
      <c r="Q68" s="211">
        <f>if(AND(isnumber(Raw!BW68),isnumber(Raw!CJ68)),Raw!BW68+Raw!CJ68,Raw!CE68)</f>
        <v>164</v>
      </c>
      <c r="R68" s="126">
        <f>if(isnumber(Raw!CE68),Raw!CE68,)</f>
        <v>164</v>
      </c>
      <c r="S68" s="144" t="str">
        <f>if(isblank(Raw!AT68),Raw!AS68,Raw!AT68)</f>
        <v>?</v>
      </c>
      <c r="T68" s="145"/>
      <c r="U68" s="212" t="str">
        <f>ifs(istext(Raw!AT68),Raw!AT68,AND(Raw!AT68&gt;0,isblank(Raw!AS68)),Raw!AT68,1,Raw!AS68)</f>
        <v>?</v>
      </c>
      <c r="V68" s="144"/>
      <c r="W68" s="130"/>
      <c r="Z68" s="125" t="s">
        <v>123</v>
      </c>
      <c r="AA68" s="213" t="str">
        <f>ifs(AND(Raw!BH68=0,Raw!BK68&gt;0),Raw!BK68*Numbers!J$1,OR(iserror(AB68),Raw!BK68="NR"),"?",1,AB68*Raw!BH68+Raw!BK68*Numbers!J$1)</f>
        <v>?</v>
      </c>
      <c r="AB68" s="130" t="str">
        <f>(Raw!AY68*vlookup(Raw!AX68,Ores[],11,FALSE)+if(isblank(Raw!AZ68),0,Raw!BA68*vlookup(Raw!AZ68,Ores[],11,FALSE))+if(isblank(Raw!BB68),0,Raw!BC68*vlookup(Raw!BB68,Ores[],11,FALSE))+if(isblank(Raw!BD68),0,Raw!BE68*vlookup(Raw!BD68,Ores[],11,FALSE))+if(isblank(Raw!BF68),0,Raw!BG68*vlookup(Raw!BF68,Ores[],11,FALSE)))/Raw!BH68</f>
        <v>#VALUE!</v>
      </c>
      <c r="AC68" s="130">
        <f>if(AND(isblank(Raw!BK68),isblank(Raw!BM68),isnumber(Raw!CS68),Raw!CS68&gt;0),if(isnumber(Raw!BL68),Raw!CS68/Raw!BL68,Raw!BL68),)</f>
        <v>0.1933333333</v>
      </c>
      <c r="AD68" s="130" t="str">
        <f>if(AND(Raw!BK68&gt;0,isblank(Raw!BM68),isnumber(Raw!CS68),Raw!CS68&gt;0),if(isnumber(Raw!BL68),Raw!CS68/Raw!BL68,Raw!BL68),)</f>
        <v/>
      </c>
      <c r="AE68" s="130" t="str">
        <f>if(AND(isblank(Raw!BK68),Raw!BM68&gt;0,isnumber(Raw!CS68),Raw!CS68&gt;0),if(isnumber(Raw!BL68),Raw!CS68/Raw!BL68,Raw!BL68),)</f>
        <v/>
      </c>
      <c r="AF68" s="130" t="str">
        <f>if(AND(Raw!BK68&gt;0,Raw!BM68&gt;0,isnumber(Raw!CS68),Raw!CS68&gt;0),if(isnumber(Raw!BL68),Raw!CS68/Raw!BL68,Raw!BL68),)</f>
        <v/>
      </c>
      <c r="AG68" s="214" t="str">
        <f>if(AND(isblank(Raw!BK68),Raw!BM68&gt;0,isnumber(Raw!CS68),Raw!CS68&gt;0),Raw!BM68,)</f>
        <v/>
      </c>
      <c r="AH68" s="214" t="str">
        <f t="shared" si="8"/>
        <v/>
      </c>
      <c r="AI68" s="214" t="str">
        <f t="shared" ref="AI68:AK68" si="74">if(AND(AD68&gt;0,isnumber($AB68)),$AB68,)</f>
        <v/>
      </c>
      <c r="AJ68" s="214" t="str">
        <f t="shared" si="74"/>
        <v/>
      </c>
      <c r="AK68" s="214" t="str">
        <f t="shared" si="74"/>
        <v/>
      </c>
      <c r="AL68" s="214" t="str">
        <f>if(AND(Raw!BK68&gt;0,isblank(Raw!BM68),isnumber(Raw!CS68),Raw!CS68&gt;0),Raw!BK68,)</f>
        <v/>
      </c>
      <c r="AM68" s="214" t="str">
        <f>if(AND(Raw!BK68&gt;0,Raw!BM68&gt;0,isnumber(Raw!CS68),Raw!CS68&gt;0),Raw!BM68,)</f>
        <v/>
      </c>
      <c r="AN68" s="214" t="str">
        <f>if(AND(Raw!BK68&gt;0,Raw!BM68&gt;0,isnumber(Raw!CS68),Raw!CS68&gt;0),Raw!BK68,)</f>
        <v/>
      </c>
      <c r="AO68" s="214" t="str">
        <f t="array" ref="AO68">if(Raw!H68="Vinland",max(AO$1:indirect("AO"&amp;(row()-1)))+1,)</f>
        <v/>
      </c>
      <c r="AP68" s="214" t="str">
        <f t="array" ref="AP68">if(Raw!H68="Icelandic",max(AP$1:indirect("AP"&amp;(row()-1)))+1,)</f>
        <v/>
      </c>
      <c r="AQ68" s="214" t="str">
        <f t="array" ref="AQ68">if(Raw!H68="Turf-to-Tools",max(AQ$1:indirect("AQ"&amp;(row()-1)))+1,)</f>
        <v/>
      </c>
      <c r="AR68" s="216">
        <f>IFS(OR(iserror(Raw!BP68),iserror(Raw!BQ68)),"NR",OR(Raw!BP68="?",Raw!BQ68="?"),"?",1,(Raw!BP68+Raw!BQ68)*Raw!BH68/100)</f>
        <v>2.43</v>
      </c>
      <c r="AS68" s="214"/>
      <c r="AT68" s="214"/>
      <c r="AU68" s="214"/>
      <c r="AV68" s="214"/>
      <c r="AW68" s="214"/>
      <c r="AX68" s="214"/>
      <c r="AY68" s="214"/>
    </row>
    <row r="69">
      <c r="A69" s="126">
        <f>Raw!A69</f>
        <v>65</v>
      </c>
      <c r="B69" s="208" t="str">
        <f>if(isnumber(O69),if(isblank(Raw!Z69),O69,concatenate(O69," (E)")),"ERROR")</f>
        <v>615.8 (E)</v>
      </c>
      <c r="C69" s="174">
        <f>ifs(Raw!S69="NR","NR",isblank(O69),"ERROR",1,O69*Raw!S69)</f>
        <v>25863.6</v>
      </c>
      <c r="D69" s="209">
        <f>ifs(AND(isnumber(Raw!X69),isnumber(Raw!Y69)),Raw!X69-Raw!Y69, AND(isnumber(Raw!U69),isnumber(Raw!V69)),Raw!U69-Raw!V69,1,)</f>
        <v>8</v>
      </c>
      <c r="E69" s="209">
        <f>IFS(isnumber(Raw!X69),Raw!X69/2,isnumber(Raw!U69),Raw!U69/2,1,)</f>
        <v>14</v>
      </c>
      <c r="F69" s="209">
        <f t="shared" si="2"/>
        <v>615.8</v>
      </c>
      <c r="G69" s="209">
        <f>if(and(isnumber(Raw!U69),isnumber(Raw!V69)),round(Raw!U69*Raw!V69,1),)</f>
        <v>660</v>
      </c>
      <c r="H69" s="209">
        <f>if(and(isnumber(Raw!U69),isnumber(Raw!V69)),round(pi()*Raw!U69/2*Raw!V69/2,1),)</f>
        <v>518.4</v>
      </c>
      <c r="I69" s="210">
        <f t="shared" si="3"/>
        <v>470.6291484</v>
      </c>
      <c r="J69" s="209">
        <f t="shared" si="4"/>
        <v>679</v>
      </c>
      <c r="K69" s="209">
        <f t="shared" si="5"/>
        <v>660.7</v>
      </c>
      <c r="L69" s="209">
        <f t="shared" si="6"/>
        <v>649.5</v>
      </c>
      <c r="M69" s="209">
        <f t="shared" si="7"/>
        <v>642</v>
      </c>
      <c r="N69" s="210" t="str">
        <f>if(and(isnumber(Raw!U69),isnumber(Raw!V69),isnumber(Raw!W69)),0.5*Pi()*(Raw!V69/2)^2+(Raw!W69*(Raw!U69-0.5*Raw!V69))+2*((Raw!V69-Raw!W69)/2*(Raw!U69-0.5*Raw!V69)),)</f>
        <v/>
      </c>
      <c r="O69" s="174">
        <f>ifs(Raw!M69="Rectangle",G69,Raw!M69="Cut-teardrop",N69,Raw!M69="Oval",H69,Raw!M69="Flat Circle",I69,Raw!M69="Oval to Circle",F69,Raw!M69="Circle",F69,AND(Raw!M69="Circle to Oval",isnumber(Raw!X69),isblank(Raw!Z69)),F69,Raw!M69="Hexagon",J69,Raw!M69="Septagon",K69,Raw!M69="Octagon",L69,Raw!M69="Nonagon",M69)</f>
        <v>615.8</v>
      </c>
      <c r="Q69" s="211">
        <f>if(AND(isnumber(Raw!BW69),isnumber(Raw!CJ69)),Raw!BW69+Raw!CJ69,Raw!CE69)</f>
        <v>244</v>
      </c>
      <c r="R69" s="126">
        <f>if(isnumber(Raw!CE69),Raw!CE69,)</f>
        <v>244</v>
      </c>
      <c r="S69" s="144" t="str">
        <f>if(isblank(Raw!AT69),Raw!AS69,Raw!AT69)</f>
        <v>?</v>
      </c>
      <c r="T69" s="145"/>
      <c r="U69" s="212" t="str">
        <f>ifs(istext(Raw!AT69),Raw!AT69,AND(Raw!AT69&gt;0,isblank(Raw!AS69)),Raw!AT69,1,Raw!AS69)</f>
        <v>?</v>
      </c>
      <c r="V69" s="144"/>
      <c r="W69" s="130"/>
      <c r="Z69" s="125" t="s">
        <v>123</v>
      </c>
      <c r="AA69" s="213" t="str">
        <f>ifs(AND(Raw!BH69=0,Raw!BK69&gt;0),Raw!BK69*Numbers!J$1,OR(iserror(AB69),Raw!BK69="NR"),"?",1,AB69*Raw!BH69+Raw!BK69*Numbers!J$1)</f>
        <v>?</v>
      </c>
      <c r="AB69" s="130" t="str">
        <f>(Raw!AY69*vlookup(Raw!AX69,Ores[],11,FALSE)+if(isblank(Raw!AZ69),0,Raw!BA69*vlookup(Raw!AZ69,Ores[],11,FALSE))+if(isblank(Raw!BB69),0,Raw!BC69*vlookup(Raw!BB69,Ores[],11,FALSE))+if(isblank(Raw!BD69),0,Raw!BE69*vlookup(Raw!BD69,Ores[],11,FALSE))+if(isblank(Raw!BF69),0,Raw!BG69*vlookup(Raw!BF69,Ores[],11,FALSE)))/Raw!BH69</f>
        <v>#VALUE!</v>
      </c>
      <c r="AC69" s="130" t="str">
        <f>if(AND(isblank(Raw!BK69),isblank(Raw!BM69),isnumber(Raw!CS69),Raw!CS69&gt;0),if(isnumber(Raw!BL69),Raw!CS69/Raw!BL69,Raw!BL69),)</f>
        <v/>
      </c>
      <c r="AD69" s="130" t="str">
        <f>if(AND(Raw!BK69&gt;0,isblank(Raw!BM69),isnumber(Raw!CS69),Raw!CS69&gt;0),if(isnumber(Raw!BL69),Raw!CS69/Raw!BL69,Raw!BL69),)</f>
        <v/>
      </c>
      <c r="AE69" s="130">
        <f>if(AND(isblank(Raw!BK69),Raw!BM69&gt;0,isnumber(Raw!CS69),Raw!CS69&gt;0),if(isnumber(Raw!BL69),Raw!CS69/Raw!BL69,Raw!BL69),)</f>
        <v>0.2</v>
      </c>
      <c r="AF69" s="130" t="str">
        <f>if(AND(Raw!BK69&gt;0,Raw!BM69&gt;0,isnumber(Raw!CS69),Raw!CS69&gt;0),if(isnumber(Raw!BL69),Raw!CS69/Raw!BL69,Raw!BL69),)</f>
        <v/>
      </c>
      <c r="AG69" s="214">
        <f>if(AND(isblank(Raw!BK69),Raw!BM69&gt;0,isnumber(Raw!CS69),Raw!CS69&gt;0),Raw!BM69,)</f>
        <v>2</v>
      </c>
      <c r="AH69" s="214" t="str">
        <f t="shared" si="8"/>
        <v/>
      </c>
      <c r="AI69" s="214" t="str">
        <f t="shared" ref="AI69:AK69" si="75">if(AND(AD69&gt;0,isnumber($AB69)),$AB69,)</f>
        <v/>
      </c>
      <c r="AJ69" s="214" t="str">
        <f t="shared" si="75"/>
        <v/>
      </c>
      <c r="AK69" s="214" t="str">
        <f t="shared" si="75"/>
        <v/>
      </c>
      <c r="AL69" s="214" t="str">
        <f>if(AND(Raw!BK69&gt;0,isblank(Raw!BM69),isnumber(Raw!CS69),Raw!CS69&gt;0),Raw!BK69,)</f>
        <v/>
      </c>
      <c r="AM69" s="214" t="str">
        <f>if(AND(Raw!BK69&gt;0,Raw!BM69&gt;0,isnumber(Raw!CS69),Raw!CS69&gt;0),Raw!BM69,)</f>
        <v/>
      </c>
      <c r="AN69" s="214" t="str">
        <f>if(AND(Raw!BK69&gt;0,Raw!BM69&gt;0,isnumber(Raw!CS69),Raw!CS69&gt;0),Raw!BK69,)</f>
        <v/>
      </c>
      <c r="AO69" s="214" t="str">
        <f t="array" ref="AO69">if(Raw!H69="Vinland",max(AO$1:indirect("AO"&amp;(row()-1)))+1,)</f>
        <v/>
      </c>
      <c r="AP69" s="214" t="str">
        <f t="array" ref="AP69">if(Raw!H69="Icelandic",max(AP$1:indirect("AP"&amp;(row()-1)))+1,)</f>
        <v/>
      </c>
      <c r="AQ69" s="214" t="str">
        <f t="array" ref="AQ69">if(Raw!H69="Turf-to-Tools",max(AQ$1:indirect("AQ"&amp;(row()-1)))+1,)</f>
        <v/>
      </c>
      <c r="AR69" s="216">
        <f>IFS(OR(iserror(Raw!BP69),iserror(Raw!BQ69)),"NR",OR(Raw!BP69="?",Raw!BQ69="?"),"?",1,(Raw!BP69+Raw!BQ69)*Raw!BH69/100)</f>
        <v>3.321</v>
      </c>
      <c r="AS69" s="214"/>
      <c r="AT69" s="214"/>
      <c r="AU69" s="214"/>
      <c r="AV69" s="214"/>
      <c r="AW69" s="214"/>
      <c r="AX69" s="214"/>
      <c r="AY69" s="214"/>
    </row>
    <row r="70">
      <c r="A70" s="126">
        <f>Raw!A70</f>
        <v>66</v>
      </c>
      <c r="B70" s="208">
        <f>if(isnumber(O70),if(isblank(Raw!Z70),O70,concatenate(O70," (E)")),"ERROR")</f>
        <v>490.9</v>
      </c>
      <c r="C70" s="174">
        <f>ifs(Raw!S70="NR","NR",isblank(O70),"ERROR",1,O70*Raw!S70)</f>
        <v>24054.1</v>
      </c>
      <c r="D70" s="209">
        <f>ifs(AND(isnumber(Raw!X70),isnumber(Raw!Y70)),Raw!X70-Raw!Y70, AND(isnumber(Raw!U70),isnumber(Raw!V70)),Raw!U70-Raw!V70,1,)</f>
        <v>10</v>
      </c>
      <c r="E70" s="209">
        <f>IFS(isnumber(Raw!X70),Raw!X70/2,isnumber(Raw!U70),Raw!U70/2,1,)</f>
        <v>12.5</v>
      </c>
      <c r="F70" s="209">
        <f t="shared" si="2"/>
        <v>490.9</v>
      </c>
      <c r="G70" s="209">
        <f>if(and(isnumber(Raw!U70),isnumber(Raw!V70)),round(Raw!U70*Raw!V70,1),)</f>
        <v>600</v>
      </c>
      <c r="H70" s="209">
        <f>if(and(isnumber(Raw!U70),isnumber(Raw!V70)),round(pi()*Raw!U70/2*Raw!V70/2,1),)</f>
        <v>471.2</v>
      </c>
      <c r="I70" s="210">
        <f t="shared" si="3"/>
        <v>307.5438708</v>
      </c>
      <c r="J70" s="209">
        <f t="shared" si="4"/>
        <v>541.3</v>
      </c>
      <c r="K70" s="209">
        <f t="shared" si="5"/>
        <v>526.7</v>
      </c>
      <c r="L70" s="209">
        <f t="shared" si="6"/>
        <v>517.8</v>
      </c>
      <c r="M70" s="209">
        <f t="shared" si="7"/>
        <v>511.8</v>
      </c>
      <c r="N70" s="210" t="str">
        <f>if(and(isnumber(Raw!U70),isnumber(Raw!V70),isnumber(Raw!W70)),0.5*Pi()*(Raw!V70/2)^2+(Raw!W70*(Raw!U70-0.5*Raw!V70))+2*((Raw!V70-Raw!W70)/2*(Raw!U70-0.5*Raw!V70)),)</f>
        <v/>
      </c>
      <c r="O70" s="174">
        <f>ifs(Raw!M70="Rectangle",G70,Raw!M70="Cut-teardrop",N70,Raw!M70="Oval",H70,Raw!M70="Flat Circle",I70,Raw!M70="Oval to Circle",F70,Raw!M70="Circle",F70,AND(Raw!M70="Circle to Oval",isnumber(Raw!X70),isblank(Raw!Z70)),F70,Raw!M70="Hexagon",J70,Raw!M70="Septagon",K70,Raw!M70="Octagon",L70,Raw!M70="Nonagon",M70)</f>
        <v>490.9</v>
      </c>
      <c r="Q70" s="211">
        <f>if(AND(isnumber(Raw!BW70),isnumber(Raw!CJ70)),Raw!BW70+Raw!CJ70,Raw!CE70)</f>
        <v>465</v>
      </c>
      <c r="R70" s="126">
        <f>if(isnumber(Raw!CE70),Raw!CE70,)</f>
        <v>234</v>
      </c>
      <c r="S70" s="144" t="str">
        <f>if(isblank(Raw!AT70),Raw!AS70,Raw!AT70)</f>
        <v>?</v>
      </c>
      <c r="T70" s="145"/>
      <c r="U70" s="212" t="str">
        <f>ifs(istext(Raw!AT70),Raw!AT70,AND(Raw!AT70&gt;0,isblank(Raw!AS70)),Raw!AT70,1,Raw!AS70)</f>
        <v>?</v>
      </c>
      <c r="V70" s="144"/>
      <c r="W70" s="130"/>
      <c r="Z70" s="125" t="s">
        <v>123</v>
      </c>
      <c r="AA70" s="213" t="str">
        <f>ifs(AND(Raw!BH70=0,Raw!BK70&gt;0),Raw!BK70*Numbers!J$1,OR(iserror(AB70),Raw!BK70="NR"),"?",1,AB70*Raw!BH70+Raw!BK70*Numbers!J$1)</f>
        <v>?</v>
      </c>
      <c r="AB70" s="130" t="str">
        <f>(Raw!AY70*vlookup(Raw!AX70,Ores[],11,FALSE)+if(isblank(Raw!AZ70),0,Raw!BA70*vlookup(Raw!AZ70,Ores[],11,FALSE))+if(isblank(Raw!BB70),0,Raw!BC70*vlookup(Raw!BB70,Ores[],11,FALSE))+if(isblank(Raw!BD70),0,Raw!BE70*vlookup(Raw!BD70,Ores[],11,FALSE))+if(isblank(Raw!BF70),0,Raw!BG70*vlookup(Raw!BF70,Ores[],11,FALSE)))/Raw!BH70</f>
        <v>#VALUE!</v>
      </c>
      <c r="AC70" s="130">
        <f>if(AND(isblank(Raw!BK70),isblank(Raw!BM70),isnumber(Raw!CS70),Raw!CS70&gt;0),if(isnumber(Raw!BL70),Raw!CS70/Raw!BL70,Raw!BL70),)</f>
        <v>0.09589041096</v>
      </c>
      <c r="AD70" s="130" t="str">
        <f>if(AND(Raw!BK70&gt;0,isblank(Raw!BM70),isnumber(Raw!CS70),Raw!CS70&gt;0),if(isnumber(Raw!BL70),Raw!CS70/Raw!BL70,Raw!BL70),)</f>
        <v/>
      </c>
      <c r="AE70" s="130" t="str">
        <f>if(AND(isblank(Raw!BK70),Raw!BM70&gt;0,isnumber(Raw!CS70),Raw!CS70&gt;0),if(isnumber(Raw!BL70),Raw!CS70/Raw!BL70,Raw!BL70),)</f>
        <v/>
      </c>
      <c r="AF70" s="130" t="str">
        <f>if(AND(Raw!BK70&gt;0,Raw!BM70&gt;0,isnumber(Raw!CS70),Raw!CS70&gt;0),if(isnumber(Raw!BL70),Raw!CS70/Raw!BL70,Raw!BL70),)</f>
        <v/>
      </c>
      <c r="AG70" s="214" t="str">
        <f>if(AND(isblank(Raw!BK70),Raw!BM70&gt;0,isnumber(Raw!CS70),Raw!CS70&gt;0),Raw!BM70,)</f>
        <v/>
      </c>
      <c r="AH70" s="214" t="str">
        <f t="shared" si="8"/>
        <v/>
      </c>
      <c r="AI70" s="214" t="str">
        <f t="shared" ref="AI70:AK70" si="76">if(AND(AD70&gt;0,isnumber($AB70)),$AB70,)</f>
        <v/>
      </c>
      <c r="AJ70" s="214" t="str">
        <f t="shared" si="76"/>
        <v/>
      </c>
      <c r="AK70" s="214" t="str">
        <f t="shared" si="76"/>
        <v/>
      </c>
      <c r="AL70" s="214" t="str">
        <f>if(AND(Raw!BK70&gt;0,isblank(Raw!BM70),isnumber(Raw!CS70),Raw!CS70&gt;0),Raw!BK70,)</f>
        <v/>
      </c>
      <c r="AM70" s="214" t="str">
        <f>if(AND(Raw!BK70&gt;0,Raw!BM70&gt;0,isnumber(Raw!CS70),Raw!CS70&gt;0),Raw!BM70,)</f>
        <v/>
      </c>
      <c r="AN70" s="214" t="str">
        <f>if(AND(Raw!BK70&gt;0,Raw!BM70&gt;0,isnumber(Raw!CS70),Raw!CS70&gt;0),Raw!BK70,)</f>
        <v/>
      </c>
      <c r="AO70" s="214" t="str">
        <f t="array" ref="AO70">if(Raw!H70="Vinland",max(AO$1:indirect("AO"&amp;(row()-1)))+1,)</f>
        <v/>
      </c>
      <c r="AP70" s="214" t="str">
        <f t="array" ref="AP70">if(Raw!H70="Icelandic",max(AP$1:indirect("AP"&amp;(row()-1)))+1,)</f>
        <v/>
      </c>
      <c r="AQ70" s="214">
        <f t="array" ref="AQ70">if(Raw!H70="Turf-to-Tools",max(AQ$1:indirect("AQ"&amp;(row()-1)))+1,)</f>
        <v>6</v>
      </c>
      <c r="AR70" s="216">
        <f>IFS(OR(iserror(Raw!BP70),iserror(Raw!BQ70)),"NR",OR(Raw!BP70="?",Raw!BQ70="?"),"?",1,(Raw!BP70+Raw!BQ70)*Raw!BH70/100)</f>
        <v>0</v>
      </c>
      <c r="AS70" s="214"/>
      <c r="AT70" s="214"/>
      <c r="AU70" s="214"/>
      <c r="AV70" s="214"/>
      <c r="AW70" s="214"/>
      <c r="AX70" s="214"/>
      <c r="AY70" s="214"/>
    </row>
    <row r="71">
      <c r="A71" s="126">
        <f>Raw!A71</f>
        <v>67</v>
      </c>
      <c r="B71" s="208">
        <f>if(isnumber(O71),if(isblank(Raw!Z71),O71,concatenate(O71," (E)")),"ERROR")</f>
        <v>490.9</v>
      </c>
      <c r="C71" s="174">
        <f>ifs(Raw!S71="NR","NR",isblank(O71),"ERROR",1,O71*Raw!S71)</f>
        <v>24054.1</v>
      </c>
      <c r="D71" s="209">
        <f>ifs(AND(isnumber(Raw!X71),isnumber(Raw!Y71)),Raw!X71-Raw!Y71, AND(isnumber(Raw!U71),isnumber(Raw!V71)),Raw!U71-Raw!V71,1,)</f>
        <v>10</v>
      </c>
      <c r="E71" s="209">
        <f>IFS(isnumber(Raw!X71),Raw!X71/2,isnumber(Raw!U71),Raw!U71/2,1,)</f>
        <v>12.5</v>
      </c>
      <c r="F71" s="209">
        <f t="shared" si="2"/>
        <v>490.9</v>
      </c>
      <c r="G71" s="209">
        <f>if(and(isnumber(Raw!U71),isnumber(Raw!V71)),round(Raw!U71*Raw!V71,1),)</f>
        <v>600</v>
      </c>
      <c r="H71" s="209">
        <f>if(and(isnumber(Raw!U71),isnumber(Raw!V71)),round(pi()*Raw!U71/2*Raw!V71/2,1),)</f>
        <v>471.2</v>
      </c>
      <c r="I71" s="210">
        <f t="shared" si="3"/>
        <v>307.5438708</v>
      </c>
      <c r="J71" s="209">
        <f t="shared" si="4"/>
        <v>541.3</v>
      </c>
      <c r="K71" s="209">
        <f t="shared" si="5"/>
        <v>526.7</v>
      </c>
      <c r="L71" s="209">
        <f t="shared" si="6"/>
        <v>517.8</v>
      </c>
      <c r="M71" s="209">
        <f t="shared" si="7"/>
        <v>511.8</v>
      </c>
      <c r="N71" s="210" t="str">
        <f>if(and(isnumber(Raw!U71),isnumber(Raw!V71),isnumber(Raw!W71)),0.5*Pi()*(Raw!V71/2)^2+(Raw!W71*(Raw!U71-0.5*Raw!V71))+2*((Raw!V71-Raw!W71)/2*(Raw!U71-0.5*Raw!V71)),)</f>
        <v/>
      </c>
      <c r="O71" s="174">
        <f>ifs(Raw!M71="Rectangle",G71,Raw!M71="Cut-teardrop",N71,Raw!M71="Oval",H71,Raw!M71="Flat Circle",I71,Raw!M71="Oval to Circle",F71,Raw!M71="Circle",F71,AND(Raw!M71="Circle to Oval",isnumber(Raw!X71),isblank(Raw!Z71)),F71,Raw!M71="Hexagon",J71,Raw!M71="Septagon",K71,Raw!M71="Octagon",L71,Raw!M71="Nonagon",M71)</f>
        <v>490.9</v>
      </c>
      <c r="Q71" s="211">
        <f>if(AND(isnumber(Raw!BW71),isnumber(Raw!CJ71)),Raw!BW71+Raw!CJ71,Raw!CE71)</f>
        <v>322</v>
      </c>
      <c r="R71" s="126">
        <f>if(isnumber(Raw!CE71),Raw!CE71,)</f>
        <v>110</v>
      </c>
      <c r="S71" s="144" t="str">
        <f>if(isblank(Raw!AT71),Raw!AS71,Raw!AT71)</f>
        <v>?</v>
      </c>
      <c r="T71" s="145"/>
      <c r="U71" s="212" t="str">
        <f>ifs(istext(Raw!AT71),Raw!AT71,AND(Raw!AT71&gt;0,isblank(Raw!AS71)),Raw!AT71,1,Raw!AS71)</f>
        <v>?</v>
      </c>
      <c r="V71" s="144"/>
      <c r="W71" s="130"/>
      <c r="Z71" s="125" t="s">
        <v>123</v>
      </c>
      <c r="AA71" s="213">
        <f>ifs(AND(Raw!BH71=0,Raw!BK71&gt;0),Raw!BK71*Numbers!J$1,OR(iserror(AB71),Raw!BK71="NR"),"?",1,AB71*Raw!BH71+Raw!BK71*Numbers!J$1)</f>
        <v>19.95679023</v>
      </c>
      <c r="AB71" s="130">
        <f>(Raw!AY71*vlookup(Raw!AX71,Ores[],11,FALSE)+if(isblank(Raw!AZ71),0,Raw!BA71*vlookup(Raw!AZ71,Ores[],11,FALSE))+if(isblank(Raw!BB71),0,Raw!BC71*vlookup(Raw!BB71,Ores[],11,FALSE))+if(isblank(Raw!BD71),0,Raw!BE71*vlookup(Raw!BD71,Ores[],11,FALSE))+if(isblank(Raw!BF71),0,Raw!BG71*vlookup(Raw!BF71,Ores[],11,FALSE)))/Raw!BH71</f>
        <v>0.5482634678</v>
      </c>
      <c r="AC71" s="130" t="str">
        <f>if(AND(isblank(Raw!BK71),isblank(Raw!BM71),isnumber(Raw!CS71),Raw!CS71&gt;0),if(isnumber(Raw!BL71),Raw!CS71/Raw!BL71,Raw!BL71),)</f>
        <v/>
      </c>
      <c r="AD71" s="130" t="str">
        <f>if(AND(Raw!BK71&gt;0,isblank(Raw!BM71),isnumber(Raw!CS71),Raw!CS71&gt;0),if(isnumber(Raw!BL71),Raw!CS71/Raw!BL71,Raw!BL71),)</f>
        <v/>
      </c>
      <c r="AE71" s="130">
        <f>if(AND(isblank(Raw!BK71),Raw!BM71&gt;0,isnumber(Raw!CS71),Raw!CS71&gt;0),if(isnumber(Raw!BL71),Raw!CS71/Raw!BL71,Raw!BL71),)</f>
        <v>0.04120879121</v>
      </c>
      <c r="AF71" s="130" t="str">
        <f>if(AND(Raw!BK71&gt;0,Raw!BM71&gt;0,isnumber(Raw!CS71),Raw!CS71&gt;0),if(isnumber(Raw!BL71),Raw!CS71/Raw!BL71,Raw!BL71),)</f>
        <v/>
      </c>
      <c r="AG71" s="214">
        <f>if(AND(isblank(Raw!BK71),Raw!BM71&gt;0,isnumber(Raw!CS71),Raw!CS71&gt;0),Raw!BM71,)</f>
        <v>3</v>
      </c>
      <c r="AH71" s="214" t="str">
        <f t="shared" si="8"/>
        <v/>
      </c>
      <c r="AI71" s="214" t="str">
        <f t="shared" ref="AI71:AK71" si="77">if(AND(AD71&gt;0,isnumber($AB71)),$AB71,)</f>
        <v/>
      </c>
      <c r="AJ71" s="215">
        <f t="shared" si="77"/>
        <v>0.5482634678</v>
      </c>
      <c r="AK71" s="214" t="str">
        <f t="shared" si="77"/>
        <v/>
      </c>
      <c r="AL71" s="214" t="str">
        <f>if(AND(Raw!BK71&gt;0,isblank(Raw!BM71),isnumber(Raw!CS71),Raw!CS71&gt;0),Raw!BK71,)</f>
        <v/>
      </c>
      <c r="AM71" s="214" t="str">
        <f>if(AND(Raw!BK71&gt;0,Raw!BM71&gt;0,isnumber(Raw!CS71),Raw!CS71&gt;0),Raw!BM71,)</f>
        <v/>
      </c>
      <c r="AN71" s="214" t="str">
        <f>if(AND(Raw!BK71&gt;0,Raw!BM71&gt;0,isnumber(Raw!CS71),Raw!CS71&gt;0),Raw!BK71,)</f>
        <v/>
      </c>
      <c r="AO71" s="214" t="str">
        <f t="array" ref="AO71">if(Raw!H71="Vinland",max(AO$1:indirect("AO"&amp;(row()-1)))+1,)</f>
        <v/>
      </c>
      <c r="AP71" s="214" t="str">
        <f t="array" ref="AP71">if(Raw!H71="Icelandic",max(AP$1:indirect("AP"&amp;(row()-1)))+1,)</f>
        <v/>
      </c>
      <c r="AQ71" s="214">
        <f t="array" ref="AQ71">if(Raw!H71="Turf-to-Tools",max(AQ$1:indirect("AQ"&amp;(row()-1)))+1,)</f>
        <v>7</v>
      </c>
      <c r="AR71" s="216">
        <f>IFS(OR(iserror(Raw!BP71),iserror(Raw!BQ71)),"NR",OR(Raw!BP71="?",Raw!BQ71="?"),"?",1,(Raw!BP71+Raw!BQ71)*Raw!BH71/100)</f>
        <v>3.9858</v>
      </c>
      <c r="AS71" s="214"/>
      <c r="AT71" s="214"/>
      <c r="AU71" s="214"/>
      <c r="AV71" s="214"/>
      <c r="AW71" s="214"/>
      <c r="AX71" s="214"/>
      <c r="AY71" s="214"/>
    </row>
    <row r="72">
      <c r="A72" s="126">
        <f>Raw!A72</f>
        <v>68</v>
      </c>
      <c r="B72" s="208">
        <f>if(isnumber(O72),if(isblank(Raw!Z72),O72,concatenate(O72," (E)")),"ERROR")</f>
        <v>490.9</v>
      </c>
      <c r="C72" s="174">
        <f>ifs(Raw!S72="NR","NR",isblank(O72),"ERROR",1,O72*Raw!S72)</f>
        <v>24054.1</v>
      </c>
      <c r="D72" s="209">
        <f>ifs(AND(isnumber(Raw!X72),isnumber(Raw!Y72)),Raw!X72-Raw!Y72, AND(isnumber(Raw!U72),isnumber(Raw!V72)),Raw!U72-Raw!V72,1,)</f>
        <v>10</v>
      </c>
      <c r="E72" s="209">
        <f>IFS(isnumber(Raw!X72),Raw!X72/2,isnumber(Raw!U72),Raw!U72/2,1,)</f>
        <v>12.5</v>
      </c>
      <c r="F72" s="209">
        <f t="shared" si="2"/>
        <v>490.9</v>
      </c>
      <c r="G72" s="209">
        <f>if(and(isnumber(Raw!U72),isnumber(Raw!V72)),round(Raw!U72*Raw!V72,1),)</f>
        <v>600</v>
      </c>
      <c r="H72" s="209">
        <f>if(and(isnumber(Raw!U72),isnumber(Raw!V72)),round(pi()*Raw!U72/2*Raw!V72/2,1),)</f>
        <v>471.2</v>
      </c>
      <c r="I72" s="210">
        <f t="shared" si="3"/>
        <v>307.5438708</v>
      </c>
      <c r="J72" s="209">
        <f t="shared" si="4"/>
        <v>541.3</v>
      </c>
      <c r="K72" s="209">
        <f t="shared" si="5"/>
        <v>526.7</v>
      </c>
      <c r="L72" s="209">
        <f t="shared" si="6"/>
        <v>517.8</v>
      </c>
      <c r="M72" s="209">
        <f t="shared" si="7"/>
        <v>511.8</v>
      </c>
      <c r="N72" s="210" t="str">
        <f>if(and(isnumber(Raw!U72),isnumber(Raw!V72),isnumber(Raw!W72)),0.5*Pi()*(Raw!V72/2)^2+(Raw!W72*(Raw!U72-0.5*Raw!V72))+2*((Raw!V72-Raw!W72)/2*(Raw!U72-0.5*Raw!V72)),)</f>
        <v/>
      </c>
      <c r="O72" s="174">
        <f>ifs(Raw!M72="Rectangle",G72,Raw!M72="Cut-teardrop",N72,Raw!M72="Oval",H72,Raw!M72="Flat Circle",I72,Raw!M72="Oval to Circle",F72,Raw!M72="Circle",F72,AND(Raw!M72="Circle to Oval",isnumber(Raw!X72),isblank(Raw!Z72)),F72,Raw!M72="Hexagon",J72,Raw!M72="Septagon",K72,Raw!M72="Octagon",L72,Raw!M72="Nonagon",M72)</f>
        <v>490.9</v>
      </c>
      <c r="Q72" s="211">
        <f>if(AND(isnumber(Raw!BW72),isnumber(Raw!CJ72)),Raw!BW72+Raw!CJ72,Raw!CE72)</f>
        <v>155</v>
      </c>
      <c r="R72" s="126">
        <f>if(isnumber(Raw!CE72),Raw!CE72,)</f>
        <v>155</v>
      </c>
      <c r="S72" s="144" t="str">
        <f>if(isblank(Raw!AT72),Raw!AS72,Raw!AT72)</f>
        <v>?</v>
      </c>
      <c r="T72" s="145"/>
      <c r="U72" s="212" t="str">
        <f>ifs(istext(Raw!AT72),Raw!AT72,AND(Raw!AT72&gt;0,isblank(Raw!AS72)),Raw!AT72,1,Raw!AS72)</f>
        <v>?</v>
      </c>
      <c r="V72" s="144"/>
      <c r="W72" s="130"/>
      <c r="Z72" s="125" t="s">
        <v>123</v>
      </c>
      <c r="AA72" s="213" t="str">
        <f>ifs(AND(Raw!BH72=0,Raw!BK72&gt;0),Raw!BK72*Numbers!J$1,OR(iserror(AB72),Raw!BK72="NR"),"?",1,AB72*Raw!BH72+Raw!BK72*Numbers!J$1)</f>
        <v>?</v>
      </c>
      <c r="AB72" s="130" t="str">
        <f>(Raw!AY72*vlookup(Raw!AX72,Ores[],11,FALSE)+if(isblank(Raw!AZ72),0,Raw!BA72*vlookup(Raw!AZ72,Ores[],11,FALSE))+if(isblank(Raw!BB72),0,Raw!BC72*vlookup(Raw!BB72,Ores[],11,FALSE))+if(isblank(Raw!BD72),0,Raw!BE72*vlookup(Raw!BD72,Ores[],11,FALSE))+if(isblank(Raw!BF72),0,Raw!BG72*vlookup(Raw!BF72,Ores[],11,FALSE)))/Raw!BH72</f>
        <v>#VALUE!</v>
      </c>
      <c r="AC72" s="130" t="str">
        <f>if(AND(isblank(Raw!BK72),isblank(Raw!BM72),isnumber(Raw!CS72),Raw!CS72&gt;0),if(isnumber(Raw!BL72),Raw!CS72/Raw!BL72,Raw!BL72),)</f>
        <v/>
      </c>
      <c r="AD72" s="130" t="str">
        <f>if(AND(Raw!BK72&gt;0,isblank(Raw!BM72),isnumber(Raw!CS72),Raw!CS72&gt;0),if(isnumber(Raw!BL72),Raw!CS72/Raw!BL72,Raw!BL72),)</f>
        <v/>
      </c>
      <c r="AE72" s="130" t="str">
        <f>if(AND(isblank(Raw!BK72),Raw!BM72&gt;0,isnumber(Raw!CS72),Raw!CS72&gt;0),if(isnumber(Raw!BL72),Raw!CS72/Raw!BL72,Raw!BL72),)</f>
        <v/>
      </c>
      <c r="AF72" s="130">
        <f>if(AND(Raw!BK72&gt;0,Raw!BM72&gt;0,isnumber(Raw!CS72),Raw!CS72&gt;0),if(isnumber(Raw!BL72),Raw!CS72/Raw!BL72,Raw!BL72),)</f>
        <v>0.2647058824</v>
      </c>
      <c r="AG72" s="214" t="str">
        <f>if(AND(isblank(Raw!BK72),Raw!BM72&gt;0,isnumber(Raw!CS72),Raw!CS72&gt;0),Raw!BM72,)</f>
        <v/>
      </c>
      <c r="AH72" s="214" t="str">
        <f t="shared" si="8"/>
        <v/>
      </c>
      <c r="AI72" s="214" t="str">
        <f t="shared" ref="AI72:AK72" si="78">if(AND(AD72&gt;0,isnumber($AB72)),$AB72,)</f>
        <v/>
      </c>
      <c r="AJ72" s="214" t="str">
        <f t="shared" si="78"/>
        <v/>
      </c>
      <c r="AK72" s="214" t="str">
        <f t="shared" si="78"/>
        <v/>
      </c>
      <c r="AL72" s="214" t="str">
        <f>if(AND(Raw!BK72&gt;0,isblank(Raw!BM72),isnumber(Raw!CS72),Raw!CS72&gt;0),Raw!BK72,)</f>
        <v/>
      </c>
      <c r="AM72" s="214">
        <f>if(AND(Raw!BK72&gt;0,Raw!BM72&gt;0,isnumber(Raw!CS72),Raw!CS72&gt;0),Raw!BM72,)</f>
        <v>3</v>
      </c>
      <c r="AN72" s="214">
        <f>if(AND(Raw!BK72&gt;0,Raw!BM72&gt;0,isnumber(Raw!CS72),Raw!CS72&gt;0),Raw!BK72,)</f>
        <v>6</v>
      </c>
      <c r="AO72" s="214" t="str">
        <f t="array" ref="AO72">if(Raw!H72="Vinland",max(AO$1:indirect("AO"&amp;(row()-1)))+1,)</f>
        <v/>
      </c>
      <c r="AP72" s="214" t="str">
        <f t="array" ref="AP72">if(Raw!H72="Icelandic",max(AP$1:indirect("AP"&amp;(row()-1)))+1,)</f>
        <v/>
      </c>
      <c r="AQ72" s="214">
        <f t="array" ref="AQ72">if(Raw!H72="Turf-to-Tools",max(AQ$1:indirect("AQ"&amp;(row()-1)))+1,)</f>
        <v>8</v>
      </c>
      <c r="AR72" s="216">
        <f>IFS(OR(iserror(Raw!BP72),iserror(Raw!BQ72)),"NR",OR(Raw!BP72="?",Raw!BQ72="?"),"?",1,(Raw!BP72+Raw!BQ72)*Raw!BH72/100)</f>
        <v>1.1198</v>
      </c>
      <c r="AS72" s="214"/>
      <c r="AT72" s="214"/>
      <c r="AU72" s="214"/>
      <c r="AV72" s="214"/>
      <c r="AW72" s="214"/>
      <c r="AX72" s="214"/>
      <c r="AY72" s="214"/>
    </row>
    <row r="73">
      <c r="A73" s="126">
        <f>Raw!A73</f>
        <v>69</v>
      </c>
      <c r="B73" s="208">
        <f>if(isnumber(O73),if(isblank(Raw!Z73),O73,concatenate(O73," (E)")),"ERROR")</f>
        <v>962.1</v>
      </c>
      <c r="C73" s="174">
        <f>ifs(Raw!S73="NR","NR",isblank(O73),"ERROR",1,O73*Raw!S73)</f>
        <v>39446.1</v>
      </c>
      <c r="D73" s="209">
        <f>ifs(AND(isnumber(Raw!X73),isnumber(Raw!Y73)),Raw!X73-Raw!Y73, AND(isnumber(Raw!U73),isnumber(Raw!V73)),Raw!U73-Raw!V73,1,)</f>
        <v>20</v>
      </c>
      <c r="E73" s="209">
        <f>IFS(isnumber(Raw!X73),Raw!X73/2,isnumber(Raw!U73),Raw!U73/2,1,)</f>
        <v>17.5</v>
      </c>
      <c r="F73" s="209">
        <f t="shared" si="2"/>
        <v>962.1</v>
      </c>
      <c r="G73" s="209">
        <f>if(and(isnumber(Raw!U73),isnumber(Raw!V73)),round(Raw!U73*Raw!V73,1),)</f>
        <v>800</v>
      </c>
      <c r="H73" s="209">
        <f>if(and(isnumber(Raw!U73),isnumber(Raw!V73)),round(pi()*Raw!U73/2*Raw!V73/2,1),)</f>
        <v>628.3</v>
      </c>
      <c r="I73" s="210">
        <f t="shared" si="3"/>
        <v>393.8421618</v>
      </c>
      <c r="J73" s="209">
        <f t="shared" si="4"/>
        <v>1060.9</v>
      </c>
      <c r="K73" s="209">
        <f t="shared" si="5"/>
        <v>1032.4</v>
      </c>
      <c r="L73" s="209">
        <f t="shared" si="6"/>
        <v>1014.8</v>
      </c>
      <c r="M73" s="209">
        <f t="shared" si="7"/>
        <v>1003.2</v>
      </c>
      <c r="N73" s="210" t="str">
        <f>if(and(isnumber(Raw!U73),isnumber(Raw!V73),isnumber(Raw!W73)),0.5*Pi()*(Raw!V73/2)^2+(Raw!W73*(Raw!U73-0.5*Raw!V73))+2*((Raw!V73-Raw!W73)/2*(Raw!U73-0.5*Raw!V73)),)</f>
        <v/>
      </c>
      <c r="O73" s="174">
        <f>ifs(Raw!M73="Rectangle",G73,Raw!M73="Cut-teardrop",N73,Raw!M73="Oval",H73,Raw!M73="Flat Circle",I73,Raw!M73="Oval to Circle",F73,Raw!M73="Circle",F73,AND(Raw!M73="Circle to Oval",isnumber(Raw!X73),isblank(Raw!Z73)),F73,Raw!M73="Hexagon",J73,Raw!M73="Septagon",K73,Raw!M73="Octagon",L73,Raw!M73="Nonagon",M73)</f>
        <v>962.1</v>
      </c>
      <c r="Q73" s="211" t="str">
        <f>if(AND(isnumber(Raw!BW73),isnumber(Raw!CJ73)),Raw!BW73+Raw!CJ73,Raw!CE73)</f>
        <v>na</v>
      </c>
      <c r="R73" s="126" t="str">
        <f>if(isnumber(Raw!CE73),Raw!CE73,)</f>
        <v/>
      </c>
      <c r="S73" s="144" t="str">
        <f>if(isblank(Raw!AT73),Raw!AS73,Raw!AT73)</f>
        <v>?</v>
      </c>
      <c r="T73" s="145"/>
      <c r="U73" s="212" t="str">
        <f>ifs(istext(Raw!AT73),Raw!AT73,AND(Raw!AT73&gt;0,isblank(Raw!AS73)),Raw!AT73,1,Raw!AS73)</f>
        <v>?</v>
      </c>
      <c r="V73" s="144"/>
      <c r="W73" s="130"/>
      <c r="Z73" s="125" t="s">
        <v>123</v>
      </c>
      <c r="AA73" s="213" t="str">
        <f>ifs(AND(Raw!BH73=0,Raw!BK73&gt;0),Raw!BK73*Numbers!J$1,OR(iserror(AB73),Raw!BK73="NR"),"?",1,AB73*Raw!BH73+Raw!BK73*Numbers!J$1)</f>
        <v>?</v>
      </c>
      <c r="AB73" s="130" t="str">
        <f>(Raw!AY73*vlookup(Raw!AX73,Ores[],11,FALSE)+if(isblank(Raw!AZ73),0,Raw!BA73*vlookup(Raw!AZ73,Ores[],11,FALSE))+if(isblank(Raw!BB73),0,Raw!BC73*vlookup(Raw!BB73,Ores[],11,FALSE))+if(isblank(Raw!BD73),0,Raw!BE73*vlookup(Raw!BD73,Ores[],11,FALSE))+if(isblank(Raw!BF73),0,Raw!BG73*vlookup(Raw!BF73,Ores[],11,FALSE)))/Raw!BH73</f>
        <v>#N/A</v>
      </c>
      <c r="AC73" s="130" t="str">
        <f>if(AND(isblank(Raw!BK73),isblank(Raw!BM73),isnumber(Raw!CS73),Raw!CS73&gt;0),if(isnumber(Raw!BL73),Raw!CS73/Raw!BL73,Raw!BL73),)</f>
        <v/>
      </c>
      <c r="AD73" s="130" t="str">
        <f>if(AND(Raw!BK73&gt;0,isblank(Raw!BM73),isnumber(Raw!CS73),Raw!CS73&gt;0),if(isnumber(Raw!BL73),Raw!CS73/Raw!BL73,Raw!BL73),)</f>
        <v/>
      </c>
      <c r="AE73" s="130" t="str">
        <f>if(AND(isblank(Raw!BK73),Raw!BM73&gt;0,isnumber(Raw!CS73),Raw!CS73&gt;0),if(isnumber(Raw!BL73),Raw!CS73/Raw!BL73,Raw!BL73),)</f>
        <v/>
      </c>
      <c r="AF73" s="130" t="str">
        <f>if(AND(Raw!BK73&gt;0,Raw!BM73&gt;0,isnumber(Raw!CS73),Raw!CS73&gt;0),if(isnumber(Raw!BL73),Raw!CS73/Raw!BL73,Raw!BL73),)</f>
        <v/>
      </c>
      <c r="AG73" s="214" t="str">
        <f>if(AND(isblank(Raw!BK73),Raw!BM73&gt;0,isnumber(Raw!CS73),Raw!CS73&gt;0),Raw!BM73,)</f>
        <v/>
      </c>
      <c r="AH73" s="214" t="str">
        <f t="shared" si="8"/>
        <v/>
      </c>
      <c r="AI73" s="214" t="str">
        <f t="shared" ref="AI73:AK73" si="79">if(AND(AD73&gt;0,isnumber($AB73)),$AB73,)</f>
        <v/>
      </c>
      <c r="AJ73" s="214" t="str">
        <f t="shared" si="79"/>
        <v/>
      </c>
      <c r="AK73" s="214" t="str">
        <f t="shared" si="79"/>
        <v/>
      </c>
      <c r="AL73" s="214" t="str">
        <f>if(AND(Raw!BK73&gt;0,isblank(Raw!BM73),isnumber(Raw!CS73),Raw!CS73&gt;0),Raw!BK73,)</f>
        <v/>
      </c>
      <c r="AM73" s="214" t="str">
        <f>if(AND(Raw!BK73&gt;0,Raw!BM73&gt;0,isnumber(Raw!CS73),Raw!CS73&gt;0),Raw!BM73,)</f>
        <v/>
      </c>
      <c r="AN73" s="214" t="str">
        <f>if(AND(Raw!BK73&gt;0,Raw!BM73&gt;0,isnumber(Raw!CS73),Raw!CS73&gt;0),Raw!BK73,)</f>
        <v/>
      </c>
      <c r="AO73" s="214" t="str">
        <f t="array" ref="AO73">if(Raw!H73="Vinland",max(AO$1:indirect("AO"&amp;(row()-1)))+1,)</f>
        <v/>
      </c>
      <c r="AP73" s="214" t="str">
        <f t="array" ref="AP73">if(Raw!H73="Icelandic",max(AP$1:indirect("AP"&amp;(row()-1)))+1,)</f>
        <v/>
      </c>
      <c r="AQ73" s="214" t="str">
        <f t="array" ref="AQ73">if(Raw!H73="Turf-to-Tools",max(AQ$1:indirect("AQ"&amp;(row()-1)))+1,)</f>
        <v/>
      </c>
      <c r="AR73" s="216">
        <f>IFS(OR(iserror(Raw!BP73),iserror(Raw!BQ73)),"NR",OR(Raw!BP73="?",Raw!BQ73="?"),"?",1,(Raw!BP73+Raw!BQ73)*Raw!BH73/100)</f>
        <v>0</v>
      </c>
      <c r="AS73" s="214"/>
      <c r="AT73" s="214"/>
      <c r="AU73" s="214"/>
      <c r="AV73" s="214"/>
      <c r="AW73" s="214"/>
      <c r="AX73" s="214"/>
      <c r="AY73" s="214"/>
    </row>
    <row r="74">
      <c r="A74" s="126" t="str">
        <f>Raw!A74</f>
        <v>70 / D30</v>
      </c>
      <c r="B74" s="208">
        <f>if(isnumber(O74),if(isblank(Raw!Z74),O74,concatenate(O74," (E)")),"ERROR")</f>
        <v>785.4645792</v>
      </c>
      <c r="C74" s="174">
        <f>ifs(Raw!S74="NR","NR",isblank(O74),"ERROR",1,O74*Raw!S74)</f>
        <v>43200.55186</v>
      </c>
      <c r="D74" s="209">
        <f>ifs(AND(isnumber(Raw!X74),isnumber(Raw!Y74)),Raw!X74-Raw!Y74, AND(isnumber(Raw!U74),isnumber(Raw!V74)),Raw!U74-Raw!V74,1,)</f>
        <v>7</v>
      </c>
      <c r="E74" s="209">
        <f>IFS(isnumber(Raw!X74),Raw!X74/2,isnumber(Raw!U74),Raw!U74/2,1,)</f>
        <v>16.5</v>
      </c>
      <c r="F74" s="209">
        <f t="shared" si="2"/>
        <v>855.3</v>
      </c>
      <c r="G74" s="209">
        <f>if(and(isnumber(Raw!U74),isnumber(Raw!V74)),round(Raw!U74*Raw!V74,1),)</f>
        <v>858</v>
      </c>
      <c r="H74" s="209">
        <f>if(and(isnumber(Raw!U74),isnumber(Raw!V74)),round(pi()*Raw!U74/2*Raw!V74/2,1),)</f>
        <v>673.9</v>
      </c>
      <c r="I74" s="210">
        <f t="shared" si="3"/>
        <v>722.8463604</v>
      </c>
      <c r="J74" s="209">
        <f t="shared" si="4"/>
        <v>943.1</v>
      </c>
      <c r="K74" s="209">
        <f t="shared" si="5"/>
        <v>917.8</v>
      </c>
      <c r="L74" s="209">
        <f t="shared" si="6"/>
        <v>902.2</v>
      </c>
      <c r="M74" s="209">
        <f t="shared" si="7"/>
        <v>891.8</v>
      </c>
      <c r="N74" s="210">
        <f>if(and(isnumber(Raw!U74),isnumber(Raw!V74),isnumber(Raw!W74)),0.5*Pi()*(Raw!V74/2)^2+(Raw!W74*(Raw!U74-0.5*Raw!V74))+2*((Raw!V74-Raw!W74)/2*(Raw!U74-0.5*Raw!V74)),)</f>
        <v>785.4645792</v>
      </c>
      <c r="O74" s="174">
        <f>ifs(Raw!M74="Rectangle",G74,Raw!M74="Cut-teardrop",N74,Raw!M74="Oval",H74,Raw!M74="Flat Circle",I74,Raw!M74="Oval to Circle",F74,Raw!M74="Circle",F74,AND(Raw!M74="Circle to Oval",isnumber(Raw!X74),isblank(Raw!Z74)),F74,Raw!M74="Hexagon",J74,Raw!M74="Septagon",K74,Raw!M74="Octagon",L74,Raw!M74="Nonagon",M74)</f>
        <v>785.4645792</v>
      </c>
      <c r="Q74" s="211">
        <f>if(AND(isnumber(Raw!BW74),isnumber(Raw!CJ74)),Raw!BW74+Raw!CJ74,Raw!CE74)</f>
        <v>410</v>
      </c>
      <c r="R74" s="126">
        <f>if(isnumber(Raw!CE74),Raw!CE74,)</f>
        <v>222</v>
      </c>
      <c r="S74" s="144">
        <f>if(isblank(Raw!AT74),Raw!AS74,Raw!AT74)</f>
        <v>1400</v>
      </c>
      <c r="T74" s="145"/>
      <c r="U74" s="212">
        <f>ifs(istext(Raw!AT74),Raw!AT74,AND(Raw!AT74&gt;0,isblank(Raw!AS74)),Raw!AT74,1,Raw!AS74)</f>
        <v>1400</v>
      </c>
      <c r="V74" s="144"/>
      <c r="W74" s="130"/>
      <c r="Y74" s="125" t="s">
        <v>123</v>
      </c>
      <c r="Z74" s="125" t="s">
        <v>123</v>
      </c>
      <c r="AA74" s="213">
        <f>ifs(AND(Raw!BH74=0,Raw!BK74&gt;0),Raw!BK74*Numbers!J$1,OR(iserror(AB74),Raw!BK74="NR"),"?",1,AB74*Raw!BH74+Raw!BK74*Numbers!J$1)</f>
        <v>13.7065867</v>
      </c>
      <c r="AB74" s="130">
        <f>(Raw!AY74*vlookup(Raw!AX74,Ores[],11,FALSE)+if(isblank(Raw!AZ74),0,Raw!BA74*vlookup(Raw!AZ74,Ores[],11,FALSE))+if(isblank(Raw!BB74),0,Raw!BC74*vlookup(Raw!BB74,Ores[],11,FALSE))+if(isblank(Raw!BD74),0,Raw!BE74*vlookup(Raw!BD74,Ores[],11,FALSE))+if(isblank(Raw!BF74),0,Raw!BG74*vlookup(Raw!BF74,Ores[],11,FALSE)))/Raw!BH74</f>
        <v>0.5482634678</v>
      </c>
      <c r="AC74" s="130">
        <f>if(AND(isblank(Raw!BK74),isblank(Raw!BM74),isnumber(Raw!CS74),Raw!CS74&gt;0),if(isnumber(Raw!BL74),Raw!CS74/Raw!BL74,Raw!BL74),)</f>
        <v>0.1</v>
      </c>
      <c r="AD74" s="130" t="str">
        <f>if(AND(Raw!BK74&gt;0,isblank(Raw!BM74),isnumber(Raw!CS74),Raw!CS74&gt;0),if(isnumber(Raw!BL74),Raw!CS74/Raw!BL74,Raw!BL74),)</f>
        <v/>
      </c>
      <c r="AE74" s="130" t="str">
        <f>if(AND(isblank(Raw!BK74),Raw!BM74&gt;0,isnumber(Raw!CS74),Raw!CS74&gt;0),if(isnumber(Raw!BL74),Raw!CS74/Raw!BL74,Raw!BL74),)</f>
        <v/>
      </c>
      <c r="AF74" s="130" t="str">
        <f>if(AND(Raw!BK74&gt;0,Raw!BM74&gt;0,isnumber(Raw!CS74),Raw!CS74&gt;0),if(isnumber(Raw!BL74),Raw!CS74/Raw!BL74,Raw!BL74),)</f>
        <v/>
      </c>
      <c r="AG74" s="214" t="str">
        <f>if(AND(isblank(Raw!BK74),Raw!BM74&gt;0,isnumber(Raw!CS74),Raw!CS74&gt;0),Raw!BM74,)</f>
        <v/>
      </c>
      <c r="AH74" s="215">
        <f t="shared" si="8"/>
        <v>0.5482634678</v>
      </c>
      <c r="AI74" s="214" t="str">
        <f t="shared" ref="AI74:AK74" si="80">if(AND(AD74&gt;0,isnumber($AB74)),$AB74,)</f>
        <v/>
      </c>
      <c r="AJ74" s="214" t="str">
        <f t="shared" si="80"/>
        <v/>
      </c>
      <c r="AK74" s="214" t="str">
        <f t="shared" si="80"/>
        <v/>
      </c>
      <c r="AL74" s="214" t="str">
        <f>if(AND(Raw!BK74&gt;0,isblank(Raw!BM74),isnumber(Raw!CS74),Raw!CS74&gt;0),Raw!BK74,)</f>
        <v/>
      </c>
      <c r="AM74" s="214" t="str">
        <f>if(AND(Raw!BK74&gt;0,Raw!BM74&gt;0,isnumber(Raw!CS74),Raw!CS74&gt;0),Raw!BM74,)</f>
        <v/>
      </c>
      <c r="AN74" s="214" t="str">
        <f>if(AND(Raw!BK74&gt;0,Raw!BM74&gt;0,isnumber(Raw!CS74),Raw!CS74&gt;0),Raw!BK74,)</f>
        <v/>
      </c>
      <c r="AO74" s="214" t="str">
        <f t="array" ref="AO74">if(Raw!H74="Vinland",max(AO$1:indirect("AO"&amp;(row()-1)))+1,)</f>
        <v/>
      </c>
      <c r="AP74" s="214">
        <f t="array" ref="AP74">if(Raw!H74="Icelandic",max(AP$1:indirect("AP"&amp;(row()-1)))+1,)</f>
        <v>8</v>
      </c>
      <c r="AQ74" s="214" t="str">
        <f t="array" ref="AQ74">if(Raw!H74="Turf-to-Tools",max(AQ$1:indirect("AQ"&amp;(row()-1)))+1,)</f>
        <v/>
      </c>
      <c r="AR74" s="216">
        <f>IFS(OR(iserror(Raw!BP74),iserror(Raw!BQ74)),"NR",OR(Raw!BP74="?",Raw!BQ74="?"),"?",1,(Raw!BP74+Raw!BQ74)*Raw!BH74/100)</f>
        <v>1.838709677</v>
      </c>
      <c r="AS74" s="214"/>
      <c r="AT74" s="214"/>
      <c r="AU74" s="214"/>
      <c r="AV74" s="214"/>
      <c r="AW74" s="214"/>
      <c r="AX74" s="214"/>
      <c r="AY74" s="214"/>
    </row>
    <row r="75">
      <c r="A75" s="126">
        <f>Raw!A75</f>
        <v>71</v>
      </c>
      <c r="B75" s="208">
        <f>if(isnumber(O75),if(isblank(Raw!Z75),O75,concatenate(O75," (E)")),"ERROR")</f>
        <v>490.9</v>
      </c>
      <c r="C75" s="174">
        <f>ifs(Raw!S75="NR","NR",isblank(O75),"ERROR",1,O75*Raw!S75)</f>
        <v>22090.5</v>
      </c>
      <c r="D75" s="209" t="str">
        <f>ifs(AND(isnumber(Raw!X75),isnumber(Raw!Y75)),Raw!X75-Raw!Y75, AND(isnumber(Raw!U75),isnumber(Raw!V75)),Raw!U75-Raw!V75,1,)</f>
        <v/>
      </c>
      <c r="E75" s="209">
        <f>IFS(isnumber(Raw!X75),Raw!X75/2,isnumber(Raw!U75),Raw!U75/2,1,)</f>
        <v>12.5</v>
      </c>
      <c r="F75" s="209">
        <f t="shared" si="2"/>
        <v>490.9</v>
      </c>
      <c r="G75" s="209" t="str">
        <f>if(and(isnumber(Raw!U75),isnumber(Raw!V75)),round(Raw!U75*Raw!V75,1),)</f>
        <v/>
      </c>
      <c r="H75" s="209" t="str">
        <f>if(and(isnumber(Raw!U75),isnumber(Raw!V75)),round(pi()*Raw!U75/2*Raw!V75/2,1),)</f>
        <v/>
      </c>
      <c r="I75" s="210">
        <f t="shared" si="3"/>
        <v>490.9</v>
      </c>
      <c r="J75" s="209">
        <f t="shared" si="4"/>
        <v>541.3</v>
      </c>
      <c r="K75" s="209">
        <f t="shared" si="5"/>
        <v>526.7</v>
      </c>
      <c r="L75" s="209">
        <f t="shared" si="6"/>
        <v>517.8</v>
      </c>
      <c r="M75" s="209">
        <f t="shared" si="7"/>
        <v>511.8</v>
      </c>
      <c r="N75" s="210" t="str">
        <f>if(and(isnumber(Raw!U75),isnumber(Raw!V75),isnumber(Raw!W75)),0.5*Pi()*(Raw!V75/2)^2+(Raw!W75*(Raw!U75-0.5*Raw!V75))+2*((Raw!V75-Raw!W75)/2*(Raw!U75-0.5*Raw!V75)),)</f>
        <v/>
      </c>
      <c r="O75" s="174">
        <f>ifs(Raw!M75="Rectangle",G75,Raw!M75="Cut-teardrop",N75,Raw!M75="Oval",H75,Raw!M75="Flat Circle",I75,Raw!M75="Oval to Circle",F75,Raw!M75="Circle",F75,AND(Raw!M75="Circle to Oval",isnumber(Raw!X75),isblank(Raw!Z75)),F75,Raw!M75="Hexagon",J75,Raw!M75="Septagon",K75,Raw!M75="Octagon",L75,Raw!M75="Nonagon",M75)</f>
        <v>490.9</v>
      </c>
      <c r="Q75" s="211">
        <f>if(AND(isnumber(Raw!BW75),isnumber(Raw!CJ75)),Raw!BW75+Raw!CJ75,Raw!CE75)</f>
        <v>70</v>
      </c>
      <c r="R75" s="126">
        <f>if(isnumber(Raw!CE75),Raw!CE75,)</f>
        <v>70</v>
      </c>
      <c r="S75" s="144">
        <f>if(isblank(Raw!AT75),Raw!AS75,Raw!AT75)</f>
        <v>400</v>
      </c>
      <c r="T75" s="145"/>
      <c r="U75" s="212">
        <f>ifs(istext(Raw!AT75),Raw!AT75,AND(Raw!AT75&gt;0,isblank(Raw!AS75)),Raw!AT75,1,Raw!AS75)</f>
        <v>400</v>
      </c>
      <c r="V75" s="144"/>
      <c r="W75" s="130"/>
      <c r="Y75" s="125" t="s">
        <v>123</v>
      </c>
      <c r="Z75" s="125" t="s">
        <v>123</v>
      </c>
      <c r="AA75" s="213">
        <f>ifs(AND(Raw!BH75=0,Raw!BK75&gt;0),Raw!BK75*Numbers!J$1,OR(iserror(AB75),Raw!BK75="NR"),"?",1,AB75*Raw!BH75+Raw!BK75*Numbers!J$1)</f>
        <v>2.193053871</v>
      </c>
      <c r="AB75" s="130">
        <f>(Raw!AY75*vlookup(Raw!AX75,Ores[],11,FALSE)+if(isblank(Raw!AZ75),0,Raw!BA75*vlookup(Raw!AZ75,Ores[],11,FALSE))+if(isblank(Raw!BB75),0,Raw!BC75*vlookup(Raw!BB75,Ores[],11,FALSE))+if(isblank(Raw!BD75),0,Raw!BE75*vlookup(Raw!BD75,Ores[],11,FALSE))+if(isblank(Raw!BF75),0,Raw!BG75*vlookup(Raw!BF75,Ores[],11,FALSE)))/Raw!BH75</f>
        <v>0.5482634678</v>
      </c>
      <c r="AC75" s="130" t="str">
        <f>if(AND(isblank(Raw!BK75),isblank(Raw!BM75),isnumber(Raw!CS75),Raw!CS75&gt;0),if(isnumber(Raw!BL75),Raw!CS75/Raw!BL75,Raw!BL75),)</f>
        <v/>
      </c>
      <c r="AD75" s="130" t="str">
        <f>if(AND(Raw!BK75&gt;0,isblank(Raw!BM75),isnumber(Raw!CS75),Raw!CS75&gt;0),if(isnumber(Raw!BL75),Raw!CS75/Raw!BL75,Raw!BL75),)</f>
        <v/>
      </c>
      <c r="AE75" s="130" t="str">
        <f>if(AND(isblank(Raw!BK75),Raw!BM75&gt;0,isnumber(Raw!CS75),Raw!CS75&gt;0),if(isnumber(Raw!BL75),Raw!CS75/Raw!BL75,Raw!BL75),)</f>
        <v/>
      </c>
      <c r="AF75" s="130" t="str">
        <f>if(AND(Raw!BK75&gt;0,Raw!BM75&gt;0,isnumber(Raw!CS75),Raw!CS75&gt;0),if(isnumber(Raw!BL75),Raw!CS75/Raw!BL75,Raw!BL75),)</f>
        <v/>
      </c>
      <c r="AG75" s="214" t="str">
        <f>if(AND(isblank(Raw!BK75),Raw!BM75&gt;0,isnumber(Raw!CS75),Raw!CS75&gt;0),Raw!BM75,)</f>
        <v/>
      </c>
      <c r="AH75" s="214" t="str">
        <f t="shared" si="8"/>
        <v/>
      </c>
      <c r="AI75" s="214" t="str">
        <f t="shared" ref="AI75:AK75" si="81">if(AND(AD75&gt;0,isnumber($AB75)),$AB75,)</f>
        <v/>
      </c>
      <c r="AJ75" s="214" t="str">
        <f t="shared" si="81"/>
        <v/>
      </c>
      <c r="AK75" s="214" t="str">
        <f t="shared" si="81"/>
        <v/>
      </c>
      <c r="AL75" s="214" t="str">
        <f>if(AND(Raw!BK75&gt;0,isblank(Raw!BM75),isnumber(Raw!CS75),Raw!CS75&gt;0),Raw!BK75,)</f>
        <v/>
      </c>
      <c r="AM75" s="214" t="str">
        <f>if(AND(Raw!BK75&gt;0,Raw!BM75&gt;0,isnumber(Raw!CS75),Raw!CS75&gt;0),Raw!BM75,)</f>
        <v/>
      </c>
      <c r="AN75" s="214" t="str">
        <f>if(AND(Raw!BK75&gt;0,Raw!BM75&gt;0,isnumber(Raw!CS75),Raw!CS75&gt;0),Raw!BK75,)</f>
        <v/>
      </c>
      <c r="AO75" s="214" t="str">
        <f t="array" ref="AO75">if(Raw!H75="Vinland",max(AO$1:indirect("AO"&amp;(row()-1)))+1,)</f>
        <v/>
      </c>
      <c r="AP75" s="214" t="str">
        <f t="array" ref="AP75">if(Raw!H75="Icelandic",max(AP$1:indirect("AP"&amp;(row()-1)))+1,)</f>
        <v/>
      </c>
      <c r="AQ75" s="214" t="str">
        <f t="array" ref="AQ75">if(Raw!H75="Turf-to-Tools",max(AQ$1:indirect("AQ"&amp;(row()-1)))+1,)</f>
        <v/>
      </c>
      <c r="AR75" s="216">
        <f>IFS(OR(iserror(Raw!BP75),iserror(Raw!BQ75)),"NR",OR(Raw!BP75="?",Raw!BQ75="?"),"?",1,(Raw!BP75+Raw!BQ75)*Raw!BH75/100)</f>
        <v>0.2941935484</v>
      </c>
      <c r="AS75" s="214"/>
      <c r="AT75" s="214"/>
      <c r="AU75" s="214"/>
      <c r="AV75" s="214"/>
      <c r="AW75" s="214"/>
      <c r="AX75" s="214"/>
      <c r="AY75" s="214"/>
    </row>
    <row r="76">
      <c r="A76" s="126">
        <f>Raw!A76</f>
        <v>72</v>
      </c>
      <c r="B76" s="208">
        <f>if(isnumber(O76),if(isblank(Raw!Z76),O76,concatenate(O76," (E)")),"ERROR")</f>
        <v>490.9</v>
      </c>
      <c r="C76" s="174">
        <f>ifs(Raw!S76="NR","NR",isblank(O76),"ERROR",1,O76*Raw!S76)</f>
        <v>24545</v>
      </c>
      <c r="D76" s="209" t="str">
        <f>ifs(AND(isnumber(Raw!X76),isnumber(Raw!Y76)),Raw!X76-Raw!Y76, AND(isnumber(Raw!U76),isnumber(Raw!V76)),Raw!U76-Raw!V76,1,)</f>
        <v/>
      </c>
      <c r="E76" s="209">
        <f>IFS(isnumber(Raw!X76),Raw!X76/2,isnumber(Raw!U76),Raw!U76/2,1,)</f>
        <v>12.5</v>
      </c>
      <c r="F76" s="209">
        <f t="shared" si="2"/>
        <v>490.9</v>
      </c>
      <c r="G76" s="209" t="str">
        <f>if(and(isnumber(Raw!U76),isnumber(Raw!V76)),round(Raw!U76*Raw!V76,1),)</f>
        <v/>
      </c>
      <c r="H76" s="209" t="str">
        <f>if(and(isnumber(Raw!U76),isnumber(Raw!V76)),round(pi()*Raw!U76/2*Raw!V76/2,1),)</f>
        <v/>
      </c>
      <c r="I76" s="210">
        <f t="shared" si="3"/>
        <v>490.9</v>
      </c>
      <c r="J76" s="209">
        <f t="shared" si="4"/>
        <v>541.3</v>
      </c>
      <c r="K76" s="209">
        <f t="shared" si="5"/>
        <v>526.7</v>
      </c>
      <c r="L76" s="209">
        <f t="shared" si="6"/>
        <v>517.8</v>
      </c>
      <c r="M76" s="209">
        <f t="shared" si="7"/>
        <v>511.8</v>
      </c>
      <c r="N76" s="210" t="str">
        <f>if(and(isnumber(Raw!U76),isnumber(Raw!V76),isnumber(Raw!W76)),0.5*Pi()*(Raw!V76/2)^2+(Raw!W76*(Raw!U76-0.5*Raw!V76))+2*((Raw!V76-Raw!W76)/2*(Raw!U76-0.5*Raw!V76)),)</f>
        <v/>
      </c>
      <c r="O76" s="174">
        <f>ifs(Raw!M76="Rectangle",G76,Raw!M76="Cut-teardrop",N76,Raw!M76="Oval",H76,Raw!M76="Flat Circle",I76,Raw!M76="Oval to Circle",F76,Raw!M76="Circle",F76,AND(Raw!M76="Circle to Oval",isnumber(Raw!X76),isblank(Raw!Z76)),F76,Raw!M76="Hexagon",J76,Raw!M76="Septagon",K76,Raw!M76="Octagon",L76,Raw!M76="Nonagon",M76)</f>
        <v>490.9</v>
      </c>
      <c r="Q76" s="211">
        <f>if(AND(isnumber(Raw!BW76),isnumber(Raw!CJ76)),Raw!BW76+Raw!CJ76,Raw!CE76)</f>
        <v>615</v>
      </c>
      <c r="R76" s="126">
        <f>if(isnumber(Raw!CE76),Raw!CE76,)</f>
        <v>271</v>
      </c>
      <c r="S76" s="144">
        <f>if(isblank(Raw!AT76),Raw!AS76,Raw!AT76)</f>
        <v>465</v>
      </c>
      <c r="T76" s="145"/>
      <c r="U76" s="212">
        <f>ifs(istext(Raw!AT76),Raw!AT76,AND(Raw!AT76&gt;0,isblank(Raw!AS76)),Raw!AT76,1,Raw!AS76)</f>
        <v>465</v>
      </c>
      <c r="V76" s="144"/>
      <c r="W76" s="130"/>
      <c r="Z76" s="125" t="s">
        <v>123</v>
      </c>
      <c r="AA76" s="213">
        <f>ifs(AND(Raw!BH76=0,Raw!BK76&gt;0),Raw!BK76*Numbers!J$1,OR(iserror(AB76),Raw!BK76="NR"),"?",1,AB76*Raw!BH76+Raw!BK76*Numbers!J$1)</f>
        <v>17.92779145</v>
      </c>
      <c r="AB76" s="130">
        <f>(Raw!AY76*vlookup(Raw!AX76,Ores[],11,FALSE)+if(isblank(Raw!AZ76),0,Raw!BA76*vlookup(Raw!AZ76,Ores[],11,FALSE))+if(isblank(Raw!BB76),0,Raw!BC76*vlookup(Raw!BB76,Ores[],11,FALSE))+if(isblank(Raw!BD76),0,Raw!BE76*vlookup(Raw!BD76,Ores[],11,FALSE))+if(isblank(Raw!BF76),0,Raw!BG76*vlookup(Raw!BF76,Ores[],11,FALSE)))/Raw!BH76</f>
        <v>0.5655454716</v>
      </c>
      <c r="AC76" s="130">
        <f>if(AND(isblank(Raw!BK76),isblank(Raw!BM76),isnumber(Raw!CS76),Raw!CS76&gt;0),if(isnumber(Raw!BL76),Raw!CS76/Raw!BL76,Raw!BL76),)</f>
        <v>0.2460567823</v>
      </c>
      <c r="AD76" s="130" t="str">
        <f>if(AND(Raw!BK76&gt;0,isblank(Raw!BM76),isnumber(Raw!CS76),Raw!CS76&gt;0),if(isnumber(Raw!BL76),Raw!CS76/Raw!BL76,Raw!BL76),)</f>
        <v/>
      </c>
      <c r="AE76" s="130" t="str">
        <f>if(AND(isblank(Raw!BK76),Raw!BM76&gt;0,isnumber(Raw!CS76),Raw!CS76&gt;0),if(isnumber(Raw!BL76),Raw!CS76/Raw!BL76,Raw!BL76),)</f>
        <v/>
      </c>
      <c r="AF76" s="130" t="str">
        <f>if(AND(Raw!BK76&gt;0,Raw!BM76&gt;0,isnumber(Raw!CS76),Raw!CS76&gt;0),if(isnumber(Raw!BL76),Raw!CS76/Raw!BL76,Raw!BL76),)</f>
        <v/>
      </c>
      <c r="AG76" s="214" t="str">
        <f>if(AND(isblank(Raw!BK76),Raw!BM76&gt;0,isnumber(Raw!CS76),Raw!CS76&gt;0),Raw!BM76,)</f>
        <v/>
      </c>
      <c r="AH76" s="215">
        <f t="shared" si="8"/>
        <v>0.5655454716</v>
      </c>
      <c r="AI76" s="214" t="str">
        <f t="shared" ref="AI76:AK76" si="82">if(AND(AD76&gt;0,isnumber($AB76)),$AB76,)</f>
        <v/>
      </c>
      <c r="AJ76" s="214" t="str">
        <f t="shared" si="82"/>
        <v/>
      </c>
      <c r="AK76" s="214" t="str">
        <f t="shared" si="82"/>
        <v/>
      </c>
      <c r="AL76" s="214" t="str">
        <f>if(AND(Raw!BK76&gt;0,isblank(Raw!BM76),isnumber(Raw!CS76),Raw!CS76&gt;0),Raw!BK76,)</f>
        <v/>
      </c>
      <c r="AM76" s="214" t="str">
        <f>if(AND(Raw!BK76&gt;0,Raw!BM76&gt;0,isnumber(Raw!CS76),Raw!CS76&gt;0),Raw!BM76,)</f>
        <v/>
      </c>
      <c r="AN76" s="214" t="str">
        <f>if(AND(Raw!BK76&gt;0,Raw!BM76&gt;0,isnumber(Raw!CS76),Raw!CS76&gt;0),Raw!BK76,)</f>
        <v/>
      </c>
      <c r="AO76" s="214" t="str">
        <f t="array" ref="AO76">if(Raw!H76="Vinland",max(AO$1:indirect("AO"&amp;(row()-1)))+1,)</f>
        <v/>
      </c>
      <c r="AP76" s="214" t="str">
        <f t="array" ref="AP76">if(Raw!H76="Icelandic",max(AP$1:indirect("AP"&amp;(row()-1)))+1,)</f>
        <v/>
      </c>
      <c r="AQ76" s="214" t="str">
        <f t="array" ref="AQ76">if(Raw!H76="Turf-to-Tools",max(AQ$1:indirect("AQ"&amp;(row()-1)))+1,)</f>
        <v/>
      </c>
      <c r="AR76" s="216">
        <f>IFS(OR(iserror(Raw!BP76),iserror(Raw!BQ76)),"NR",OR(Raw!BP76="?",Raw!BQ76="?"),"?",1,(Raw!BP76+Raw!BQ76)*Raw!BH76/100)</f>
        <v>2.368127419</v>
      </c>
      <c r="AS76" s="214"/>
      <c r="AT76" s="214"/>
      <c r="AU76" s="214"/>
      <c r="AV76" s="214"/>
      <c r="AW76" s="214"/>
      <c r="AX76" s="214"/>
      <c r="AY76" s="214"/>
    </row>
    <row r="77">
      <c r="A77" s="126">
        <f>Raw!A77</f>
        <v>73</v>
      </c>
      <c r="B77" s="208">
        <f>if(isnumber(O77),if(isblank(Raw!Z77),O77,concatenate(O77," (E)")),"ERROR")</f>
        <v>490.9</v>
      </c>
      <c r="C77" s="174">
        <f>ifs(Raw!S77="NR","NR",isblank(O77),"ERROR",1,O77*Raw!S77)</f>
        <v>29944.9</v>
      </c>
      <c r="D77" s="209" t="str">
        <f>ifs(AND(isnumber(Raw!X77),isnumber(Raw!Y77)),Raw!X77-Raw!Y77, AND(isnumber(Raw!U77),isnumber(Raw!V77)),Raw!U77-Raw!V77,1,)</f>
        <v/>
      </c>
      <c r="E77" s="209">
        <f>IFS(isnumber(Raw!X77),Raw!X77/2,isnumber(Raw!U77),Raw!U77/2,1,)</f>
        <v>12.5</v>
      </c>
      <c r="F77" s="209">
        <f t="shared" si="2"/>
        <v>490.9</v>
      </c>
      <c r="G77" s="209" t="str">
        <f>if(and(isnumber(Raw!U77),isnumber(Raw!V77)),round(Raw!U77*Raw!V77,1),)</f>
        <v/>
      </c>
      <c r="H77" s="209" t="str">
        <f>if(and(isnumber(Raw!U77),isnumber(Raw!V77)),round(pi()*Raw!U77/2*Raw!V77/2,1),)</f>
        <v/>
      </c>
      <c r="I77" s="210">
        <f t="shared" si="3"/>
        <v>490.9</v>
      </c>
      <c r="J77" s="209">
        <f t="shared" si="4"/>
        <v>541.3</v>
      </c>
      <c r="K77" s="209">
        <f t="shared" si="5"/>
        <v>526.7</v>
      </c>
      <c r="L77" s="209">
        <f t="shared" si="6"/>
        <v>517.8</v>
      </c>
      <c r="M77" s="209">
        <f t="shared" si="7"/>
        <v>511.8</v>
      </c>
      <c r="N77" s="210" t="str">
        <f>if(and(isnumber(Raw!U77),isnumber(Raw!V77),isnumber(Raw!W77)),0.5*Pi()*(Raw!V77/2)^2+(Raw!W77*(Raw!U77-0.5*Raw!V77))+2*((Raw!V77-Raw!W77)/2*(Raw!U77-0.5*Raw!V77)),)</f>
        <v/>
      </c>
      <c r="O77" s="174">
        <f>ifs(Raw!M77="Rectangle",G77,Raw!M77="Cut-teardrop",N77,Raw!M77="Oval",H77,Raw!M77="Flat Circle",I77,Raw!M77="Oval to Circle",F77,Raw!M77="Circle",F77,AND(Raw!M77="Circle to Oval",isnumber(Raw!X77),isblank(Raw!Z77)),F77,Raw!M77="Hexagon",J77,Raw!M77="Septagon",K77,Raw!M77="Octagon",L77,Raw!M77="Nonagon",M77)</f>
        <v>490.9</v>
      </c>
      <c r="Q77" s="211">
        <f>if(AND(isnumber(Raw!BW77),isnumber(Raw!CJ77)),Raw!BW77+Raw!CJ77,Raw!CE77)</f>
        <v>400</v>
      </c>
      <c r="R77" s="126">
        <f>if(isnumber(Raw!CE77),Raw!CE77,)</f>
        <v>400</v>
      </c>
      <c r="S77" s="144">
        <f>if(isblank(Raw!AT77),Raw!AS77,Raw!AT77)</f>
        <v>480</v>
      </c>
      <c r="T77" s="145"/>
      <c r="U77" s="212">
        <f>ifs(istext(Raw!AT77),Raw!AT77,AND(Raw!AT77&gt;0,isblank(Raw!AS77)),Raw!AT77,1,Raw!AS77)</f>
        <v>480</v>
      </c>
      <c r="V77" s="144"/>
      <c r="W77" s="130"/>
      <c r="Y77" s="125" t="s">
        <v>123</v>
      </c>
      <c r="Z77" s="125" t="s">
        <v>123</v>
      </c>
      <c r="AA77" s="213">
        <f>ifs(AND(Raw!BH77=0,Raw!BK77&gt;0),Raw!BK77*Numbers!J$1,OR(iserror(AB77),Raw!BK77="NR"),"?",1,AB77*Raw!BH77+Raw!BK77*Numbers!J$1)</f>
        <v>15.11288056</v>
      </c>
      <c r="AB77" s="130">
        <f>(Raw!AY77*vlookup(Raw!AX77,Ores[],11,FALSE)+if(isblank(Raw!AZ77),0,Raw!BA77*vlookup(Raw!AZ77,Ores[],11,FALSE))+if(isblank(Raw!BB77),0,Raw!BC77*vlookup(Raw!BB77,Ores[],11,FALSE))+if(isblank(Raw!BD77),0,Raw!BE77*vlookup(Raw!BD77,Ores[],11,FALSE))+if(isblank(Raw!BF77),0,Raw!BG77*vlookup(Raw!BF77,Ores[],11,FALSE)))/Raw!BH77</f>
        <v>0.561817121</v>
      </c>
      <c r="AC77" s="130" t="str">
        <f>if(AND(isblank(Raw!BK77),isblank(Raw!BM77),isnumber(Raw!CS77),Raw!CS77&gt;0),if(isnumber(Raw!BL77),Raw!CS77/Raw!BL77,Raw!BL77),)</f>
        <v/>
      </c>
      <c r="AD77" s="130" t="str">
        <f>if(AND(Raw!BK77&gt;0,isblank(Raw!BM77),isnumber(Raw!CS77),Raw!CS77&gt;0),if(isnumber(Raw!BL77),Raw!CS77/Raw!BL77,Raw!BL77),)</f>
        <v/>
      </c>
      <c r="AE77" s="130">
        <f>if(AND(isblank(Raw!BK77),Raw!BM77&gt;0,isnumber(Raw!CS77),Raw!CS77&gt;0),if(isnumber(Raw!BL77),Raw!CS77/Raw!BL77,Raw!BL77),)</f>
        <v>0.1821561338</v>
      </c>
      <c r="AF77" s="130" t="str">
        <f>if(AND(Raw!BK77&gt;0,Raw!BM77&gt;0,isnumber(Raw!CS77),Raw!CS77&gt;0),if(isnumber(Raw!BL77),Raw!CS77/Raw!BL77,Raw!BL77),)</f>
        <v/>
      </c>
      <c r="AG77" s="214">
        <f>if(AND(isblank(Raw!BK77),Raw!BM77&gt;0,isnumber(Raw!CS77),Raw!CS77&gt;0),Raw!BM77,)</f>
        <v>3</v>
      </c>
      <c r="AH77" s="214" t="str">
        <f t="shared" si="8"/>
        <v/>
      </c>
      <c r="AI77" s="214" t="str">
        <f t="shared" ref="AI77:AK77" si="83">if(AND(AD77&gt;0,isnumber($AB77)),$AB77,)</f>
        <v/>
      </c>
      <c r="AJ77" s="215">
        <f t="shared" si="83"/>
        <v>0.561817121</v>
      </c>
      <c r="AK77" s="214" t="str">
        <f t="shared" si="83"/>
        <v/>
      </c>
      <c r="AL77" s="214" t="str">
        <f>if(AND(Raw!BK77&gt;0,isblank(Raw!BM77),isnumber(Raw!CS77),Raw!CS77&gt;0),Raw!BK77,)</f>
        <v/>
      </c>
      <c r="AM77" s="214" t="str">
        <f>if(AND(Raw!BK77&gt;0,Raw!BM77&gt;0,isnumber(Raw!CS77),Raw!CS77&gt;0),Raw!BM77,)</f>
        <v/>
      </c>
      <c r="AN77" s="214" t="str">
        <f>if(AND(Raw!BK77&gt;0,Raw!BM77&gt;0,isnumber(Raw!CS77),Raw!CS77&gt;0),Raw!BK77,)</f>
        <v/>
      </c>
      <c r="AO77" s="214" t="str">
        <f t="array" ref="AO77">if(Raw!H77="Vinland",max(AO$1:indirect("AO"&amp;(row()-1)))+1,)</f>
        <v/>
      </c>
      <c r="AP77" s="214" t="str">
        <f t="array" ref="AP77">if(Raw!H77="Icelandic",max(AP$1:indirect("AP"&amp;(row()-1)))+1,)</f>
        <v/>
      </c>
      <c r="AQ77" s="214" t="str">
        <f t="array" ref="AQ77">if(Raw!H77="Turf-to-Tools",max(AQ$1:indirect("AQ"&amp;(row()-1)))+1,)</f>
        <v/>
      </c>
      <c r="AR77" s="216">
        <f>IFS(OR(iserror(Raw!BP77),iserror(Raw!BQ77)),"NR",OR(Raw!BP77="?",Raw!BQ77="?"),"?",1,(Raw!BP77+Raw!BQ77)*Raw!BH77/100)</f>
        <v>1.780606452</v>
      </c>
      <c r="AS77" s="214"/>
      <c r="AT77" s="214"/>
      <c r="AU77" s="214"/>
      <c r="AV77" s="214"/>
      <c r="AW77" s="214"/>
      <c r="AX77" s="214"/>
      <c r="AY77" s="214"/>
    </row>
    <row r="78">
      <c r="A78" s="126">
        <f>Raw!A78</f>
        <v>74</v>
      </c>
      <c r="B78" s="208">
        <f>if(isnumber(O78),if(isblank(Raw!Z78),O78,concatenate(O78," (E)")),"ERROR")</f>
        <v>433.7</v>
      </c>
      <c r="C78" s="174">
        <f>ifs(Raw!S78="NR","NR",isblank(O78),"ERROR",1,O78*Raw!S78)</f>
        <v>18432.25</v>
      </c>
      <c r="D78" s="209" t="str">
        <f>ifs(AND(isnumber(Raw!X78),isnumber(Raw!Y78)),Raw!X78-Raw!Y78, AND(isnumber(Raw!U78),isnumber(Raw!V78)),Raw!U78-Raw!V78,1,)</f>
        <v/>
      </c>
      <c r="E78" s="209">
        <f>IFS(isnumber(Raw!X78),Raw!X78/2,isnumber(Raw!U78),Raw!U78/2,1,)</f>
        <v>11.75</v>
      </c>
      <c r="F78" s="209">
        <f t="shared" si="2"/>
        <v>433.7</v>
      </c>
      <c r="G78" s="209" t="str">
        <f>if(and(isnumber(Raw!U78),isnumber(Raw!V78)),round(Raw!U78*Raw!V78,1),)</f>
        <v/>
      </c>
      <c r="H78" s="209" t="str">
        <f>if(and(isnumber(Raw!U78),isnumber(Raw!V78)),round(pi()*Raw!U78/2*Raw!V78/2,1),)</f>
        <v/>
      </c>
      <c r="I78" s="210">
        <f t="shared" si="3"/>
        <v>433.7</v>
      </c>
      <c r="J78" s="209">
        <f t="shared" si="4"/>
        <v>478.3</v>
      </c>
      <c r="K78" s="209">
        <f t="shared" si="5"/>
        <v>465.4</v>
      </c>
      <c r="L78" s="209">
        <f t="shared" si="6"/>
        <v>457.5</v>
      </c>
      <c r="M78" s="209">
        <f t="shared" si="7"/>
        <v>452.3</v>
      </c>
      <c r="N78" s="210" t="str">
        <f>if(and(isnumber(Raw!U78),isnumber(Raw!V78),isnumber(Raw!W78)),0.5*Pi()*(Raw!V78/2)^2+(Raw!W78*(Raw!U78-0.5*Raw!V78))+2*((Raw!V78-Raw!W78)/2*(Raw!U78-0.5*Raw!V78)),)</f>
        <v/>
      </c>
      <c r="O78" s="174">
        <f>ifs(Raw!M78="Rectangle",G78,Raw!M78="Cut-teardrop",N78,Raw!M78="Oval",H78,Raw!M78="Flat Circle",I78,Raw!M78="Oval to Circle",F78,Raw!M78="Circle",F78,AND(Raw!M78="Circle to Oval",isnumber(Raw!X78),isblank(Raw!Z78)),F78,Raw!M78="Hexagon",J78,Raw!M78="Septagon",K78,Raw!M78="Octagon",L78,Raw!M78="Nonagon",M78)</f>
        <v>433.7</v>
      </c>
      <c r="Q78" s="211">
        <f>if(AND(isnumber(Raw!BW78),isnumber(Raw!CJ78)),Raw!BW78+Raw!CJ78,Raw!CE78)</f>
        <v>705</v>
      </c>
      <c r="R78" s="126">
        <f>if(isnumber(Raw!CE78),Raw!CE78,)</f>
        <v>323</v>
      </c>
      <c r="S78" s="144">
        <f>if(isblank(Raw!AT78),Raw!AS78,Raw!AT78)</f>
        <v>500</v>
      </c>
      <c r="T78" s="145"/>
      <c r="U78" s="212">
        <f>ifs(istext(Raw!AT78),Raw!AT78,AND(Raw!AT78&gt;0,isblank(Raw!AS78)),Raw!AT78,1,Raw!AS78)</f>
        <v>500</v>
      </c>
      <c r="V78" s="144"/>
      <c r="W78" s="130"/>
      <c r="Y78" s="125" t="s">
        <v>123</v>
      </c>
      <c r="Z78" s="125" t="s">
        <v>123</v>
      </c>
      <c r="AA78" s="213">
        <f>ifs(AND(Raw!BH78=0,Raw!BK78&gt;0),Raw!BK78*Numbers!J$1,OR(iserror(AB78),Raw!BK78="NR"),"?",1,AB78*Raw!BH78+Raw!BK78*Numbers!J$1)</f>
        <v>15.07724537</v>
      </c>
      <c r="AB78" s="130">
        <f>(Raw!AY78*vlookup(Raw!AX78,Ores[],11,FALSE)+if(isblank(Raw!AZ78),0,Raw!BA78*vlookup(Raw!AZ78,Ores[],11,FALSE))+if(isblank(Raw!BB78),0,Raw!BC78*vlookup(Raw!BB78,Ores[],11,FALSE))+if(isblank(Raw!BD78),0,Raw!BE78*vlookup(Raw!BD78,Ores[],11,FALSE))+if(isblank(Raw!BF78),0,Raw!BG78*vlookup(Raw!BF78,Ores[],11,FALSE)))/Raw!BH78</f>
        <v>0.5482634678</v>
      </c>
      <c r="AC78" s="130">
        <f>if(AND(isblank(Raw!BK78),isblank(Raw!BM78),isnumber(Raw!CS78),Raw!CS78&gt;0),if(isnumber(Raw!BL78),Raw!CS78/Raw!BL78,Raw!BL78),)</f>
        <v>0.2</v>
      </c>
      <c r="AD78" s="130" t="str">
        <f>if(AND(Raw!BK78&gt;0,isblank(Raw!BM78),isnumber(Raw!CS78),Raw!CS78&gt;0),if(isnumber(Raw!BL78),Raw!CS78/Raw!BL78,Raw!BL78),)</f>
        <v/>
      </c>
      <c r="AE78" s="130" t="str">
        <f>if(AND(isblank(Raw!BK78),Raw!BM78&gt;0,isnumber(Raw!CS78),Raw!CS78&gt;0),if(isnumber(Raw!BL78),Raw!CS78/Raw!BL78,Raw!BL78),)</f>
        <v/>
      </c>
      <c r="AF78" s="130" t="str">
        <f>if(AND(Raw!BK78&gt;0,Raw!BM78&gt;0,isnumber(Raw!CS78),Raw!CS78&gt;0),if(isnumber(Raw!BL78),Raw!CS78/Raw!BL78,Raw!BL78),)</f>
        <v/>
      </c>
      <c r="AG78" s="214" t="str">
        <f>if(AND(isblank(Raw!BK78),Raw!BM78&gt;0,isnumber(Raw!CS78),Raw!CS78&gt;0),Raw!BM78,)</f>
        <v/>
      </c>
      <c r="AH78" s="215">
        <f t="shared" si="8"/>
        <v>0.5482634678</v>
      </c>
      <c r="AI78" s="214" t="str">
        <f t="shared" ref="AI78:AK78" si="84">if(AND(AD78&gt;0,isnumber($AB78)),$AB78,)</f>
        <v/>
      </c>
      <c r="AJ78" s="214" t="str">
        <f t="shared" si="84"/>
        <v/>
      </c>
      <c r="AK78" s="214" t="str">
        <f t="shared" si="84"/>
        <v/>
      </c>
      <c r="AL78" s="214" t="str">
        <f>if(AND(Raw!BK78&gt;0,isblank(Raw!BM78),isnumber(Raw!CS78),Raw!CS78&gt;0),Raw!BK78,)</f>
        <v/>
      </c>
      <c r="AM78" s="214" t="str">
        <f>if(AND(Raw!BK78&gt;0,Raw!BM78&gt;0,isnumber(Raw!CS78),Raw!CS78&gt;0),Raw!BM78,)</f>
        <v/>
      </c>
      <c r="AN78" s="214" t="str">
        <f>if(AND(Raw!BK78&gt;0,Raw!BM78&gt;0,isnumber(Raw!CS78),Raw!CS78&gt;0),Raw!BK78,)</f>
        <v/>
      </c>
      <c r="AO78" s="214">
        <f t="array" ref="AO78">if(Raw!H78="Vinland",max(AO$1:indirect("AO"&amp;(row()-1)))+1,)</f>
        <v>8</v>
      </c>
      <c r="AP78" s="214" t="str">
        <f t="array" ref="AP78">if(Raw!H78="Icelandic",max(AP$1:indirect("AP"&amp;(row()-1)))+1,)</f>
        <v/>
      </c>
      <c r="AQ78" s="214" t="str">
        <f t="array" ref="AQ78">if(Raw!H78="Turf-to-Tools",max(AQ$1:indirect("AQ"&amp;(row()-1)))+1,)</f>
        <v/>
      </c>
      <c r="AR78" s="216">
        <f>IFS(OR(iserror(Raw!BP78),iserror(Raw!BQ78)),"NR",OR(Raw!BP78="?",Raw!BQ78="?"),"?",1,(Raw!BP78+Raw!BQ78)*Raw!BH78/100)</f>
        <v>2.022580645</v>
      </c>
      <c r="AS78" s="214"/>
      <c r="AT78" s="214"/>
      <c r="AU78" s="214"/>
      <c r="AV78" s="214"/>
      <c r="AW78" s="214"/>
      <c r="AX78" s="214"/>
      <c r="AY78" s="214"/>
    </row>
    <row r="79">
      <c r="A79" s="126">
        <f>Raw!A79</f>
        <v>75</v>
      </c>
      <c r="B79" s="208" t="str">
        <f>if(isnumber(O79),if(isblank(Raw!Z79),O79,concatenate(O79," (E)")),"ERROR")</f>
        <v>490.9 (E)</v>
      </c>
      <c r="C79" s="174">
        <f>ifs(Raw!S79="NR","NR",isblank(O79),"ERROR",1,O79*Raw!S79)</f>
        <v>22581.4</v>
      </c>
      <c r="D79" s="209">
        <f>ifs(AND(isnumber(Raw!X79),isnumber(Raw!Y79)),Raw!X79-Raw!Y79, AND(isnumber(Raw!U79),isnumber(Raw!V79)),Raw!U79-Raw!V79,1,)</f>
        <v>8</v>
      </c>
      <c r="E79" s="209">
        <f>IFS(isnumber(Raw!X79),Raw!X79/2,isnumber(Raw!U79),Raw!U79/2,1,)</f>
        <v>12.5</v>
      </c>
      <c r="F79" s="209">
        <f t="shared" si="2"/>
        <v>490.9</v>
      </c>
      <c r="G79" s="209">
        <f>if(and(isnumber(Raw!U79),isnumber(Raw!V79)),round(Raw!U79*Raw!V79,1),)</f>
        <v>660</v>
      </c>
      <c r="H79" s="209">
        <f>if(and(isnumber(Raw!U79),isnumber(Raw!V79)),round(pi()*Raw!U79/2*Raw!V79/2,1),)</f>
        <v>518.4</v>
      </c>
      <c r="I79" s="210">
        <f t="shared" si="3"/>
        <v>355.4834993</v>
      </c>
      <c r="J79" s="209">
        <f t="shared" si="4"/>
        <v>541.3</v>
      </c>
      <c r="K79" s="209">
        <f t="shared" si="5"/>
        <v>526.7</v>
      </c>
      <c r="L79" s="209">
        <f t="shared" si="6"/>
        <v>517.8</v>
      </c>
      <c r="M79" s="209">
        <f t="shared" si="7"/>
        <v>511.8</v>
      </c>
      <c r="N79" s="210" t="str">
        <f>if(and(isnumber(Raw!U79),isnumber(Raw!V79),isnumber(Raw!W79)),0.5*Pi()*(Raw!V79/2)^2+(Raw!W79*(Raw!U79-0.5*Raw!V79))+2*((Raw!V79-Raw!W79)/2*(Raw!U79-0.5*Raw!V79)),)</f>
        <v/>
      </c>
      <c r="O79" s="174">
        <f>ifs(Raw!M79="Rectangle",G79,Raw!M79="Cut-teardrop",N79,Raw!M79="Oval",H79,Raw!M79="Flat Circle",I79,Raw!M79="Oval to Circle",F79,Raw!M79="Circle",F79,AND(Raw!M79="Circle to Oval",isnumber(Raw!X79),isblank(Raw!Z79)),F79,Raw!M79="Hexagon",J79,Raw!M79="Septagon",K79,Raw!M79="Octagon",L79,Raw!M79="Nonagon",M79)</f>
        <v>490.9</v>
      </c>
      <c r="Q79" s="211">
        <f>if(AND(isnumber(Raw!BW79),isnumber(Raw!CJ79)),Raw!BW79+Raw!CJ79,Raw!CE79)</f>
        <v>120</v>
      </c>
      <c r="R79" s="126">
        <f>if(isnumber(Raw!CE79),Raw!CE79,)</f>
        <v>120</v>
      </c>
      <c r="S79" s="144" t="str">
        <f>if(isblank(Raw!AT79),Raw!AS79,Raw!AT79)</f>
        <v>NR</v>
      </c>
      <c r="T79" s="145"/>
      <c r="U79" s="212" t="str">
        <f>ifs(istext(Raw!AT79),Raw!AT79,AND(Raw!AT79&gt;0,isblank(Raw!AS79)),Raw!AT79,1,Raw!AS79)</f>
        <v>NR</v>
      </c>
      <c r="V79" s="144"/>
      <c r="W79" s="130"/>
      <c r="Z79" s="125" t="s">
        <v>123</v>
      </c>
      <c r="AA79" s="213">
        <f>ifs(AND(Raw!BH79=0,Raw!BK79&gt;0),Raw!BK79*Numbers!J$1,OR(iserror(AB79),Raw!BK79="NR"),"?",1,AB79*Raw!BH79+Raw!BK79*Numbers!J$1)</f>
        <v>10.96526936</v>
      </c>
      <c r="AB79" s="130">
        <f>(Raw!AY79*vlookup(Raw!AX79,Ores[],11,FALSE)+if(isblank(Raw!AZ79),0,Raw!BA79*vlookup(Raw!AZ79,Ores[],11,FALSE))+if(isblank(Raw!BB79),0,Raw!BC79*vlookup(Raw!BB79,Ores[],11,FALSE))+if(isblank(Raw!BD79),0,Raw!BE79*vlookup(Raw!BD79,Ores[],11,FALSE))+if(isblank(Raw!BF79),0,Raw!BG79*vlookup(Raw!BF79,Ores[],11,FALSE)))/Raw!BH79</f>
        <v>0.5482634678</v>
      </c>
      <c r="AC79" s="130">
        <f>if(AND(isblank(Raw!BK79),isblank(Raw!BM79),isnumber(Raw!CS79),Raw!CS79&gt;0),if(isnumber(Raw!BL79),Raw!CS79/Raw!BL79,Raw!BL79),)</f>
        <v>0.145</v>
      </c>
      <c r="AD79" s="130" t="str">
        <f>if(AND(Raw!BK79&gt;0,isblank(Raw!BM79),isnumber(Raw!CS79),Raw!CS79&gt;0),if(isnumber(Raw!BL79),Raw!CS79/Raw!BL79,Raw!BL79),)</f>
        <v/>
      </c>
      <c r="AE79" s="130" t="str">
        <f>if(AND(isblank(Raw!BK79),Raw!BM79&gt;0,isnumber(Raw!CS79),Raw!CS79&gt;0),if(isnumber(Raw!BL79),Raw!CS79/Raw!BL79,Raw!BL79),)</f>
        <v/>
      </c>
      <c r="AF79" s="130" t="str">
        <f>if(AND(Raw!BK79&gt;0,Raw!BM79&gt;0,isnumber(Raw!CS79),Raw!CS79&gt;0),if(isnumber(Raw!BL79),Raw!CS79/Raw!BL79,Raw!BL79),)</f>
        <v/>
      </c>
      <c r="AG79" s="214" t="str">
        <f>if(AND(isblank(Raw!BK79),Raw!BM79&gt;0,isnumber(Raw!CS79),Raw!CS79&gt;0),Raw!BM79,)</f>
        <v/>
      </c>
      <c r="AH79" s="215">
        <f t="shared" si="8"/>
        <v>0.5482634678</v>
      </c>
      <c r="AI79" s="214" t="str">
        <f t="shared" ref="AI79:AK79" si="85">if(AND(AD79&gt;0,isnumber($AB79)),$AB79,)</f>
        <v/>
      </c>
      <c r="AJ79" s="214" t="str">
        <f t="shared" si="85"/>
        <v/>
      </c>
      <c r="AK79" s="214" t="str">
        <f t="shared" si="85"/>
        <v/>
      </c>
      <c r="AL79" s="214" t="str">
        <f>if(AND(Raw!BK79&gt;0,isblank(Raw!BM79),isnumber(Raw!CS79),Raw!CS79&gt;0),Raw!BK79,)</f>
        <v/>
      </c>
      <c r="AM79" s="214" t="str">
        <f>if(AND(Raw!BK79&gt;0,Raw!BM79&gt;0,isnumber(Raw!CS79),Raw!CS79&gt;0),Raw!BM79,)</f>
        <v/>
      </c>
      <c r="AN79" s="214" t="str">
        <f>if(AND(Raw!BK79&gt;0,Raw!BM79&gt;0,isnumber(Raw!CS79),Raw!CS79&gt;0),Raw!BK79,)</f>
        <v/>
      </c>
      <c r="AO79" s="214" t="str">
        <f t="array" ref="AO79">if(Raw!H79="Vinland",max(AO$1:indirect("AO"&amp;(row()-1)))+1,)</f>
        <v/>
      </c>
      <c r="AP79" s="214" t="str">
        <f t="array" ref="AP79">if(Raw!H79="Icelandic",max(AP$1:indirect("AP"&amp;(row()-1)))+1,)</f>
        <v/>
      </c>
      <c r="AQ79" s="214" t="str">
        <f t="array" ref="AQ79">if(Raw!H79="Turf-to-Tools",max(AQ$1:indirect("AQ"&amp;(row()-1)))+1,)</f>
        <v/>
      </c>
      <c r="AR79" s="216">
        <f>IFS(OR(iserror(Raw!BP79),iserror(Raw!BQ79)),"NR",OR(Raw!BP79="?",Raw!BQ79="?"),"?",1,(Raw!BP79+Raw!BQ79)*Raw!BH79/100)</f>
        <v>1.470967742</v>
      </c>
      <c r="AS79" s="214"/>
      <c r="AT79" s="214"/>
      <c r="AU79" s="214"/>
      <c r="AV79" s="214"/>
      <c r="AW79" s="214"/>
      <c r="AX79" s="214"/>
      <c r="AY79" s="214"/>
    </row>
    <row r="80">
      <c r="A80" s="126">
        <f>Raw!A80</f>
        <v>76</v>
      </c>
      <c r="B80" s="208">
        <f>if(isnumber(O80),if(isblank(Raw!Z80),O80,concatenate(O80," (E)")),"ERROR")</f>
        <v>615.8</v>
      </c>
      <c r="C80" s="174">
        <f>ifs(Raw!S80="NR","NR",isblank(O80),"ERROR",1,O80*Raw!S80)</f>
        <v>29558.4</v>
      </c>
      <c r="D80" s="209">
        <f>ifs(AND(isnumber(Raw!X80),isnumber(Raw!Y80)),Raw!X80-Raw!Y80, AND(isnumber(Raw!U80),isnumber(Raw!V80)),Raw!U80-Raw!V80,1,)</f>
        <v>3.5</v>
      </c>
      <c r="E80" s="209">
        <f>IFS(isnumber(Raw!X80),Raw!X80/2,isnumber(Raw!U80),Raw!U80/2,1,)</f>
        <v>14</v>
      </c>
      <c r="F80" s="209">
        <f t="shared" si="2"/>
        <v>615.8</v>
      </c>
      <c r="G80" s="209">
        <f>if(and(isnumber(Raw!U80),isnumber(Raw!V80)),round(Raw!U80*Raw!V80,1),)</f>
        <v>739.5</v>
      </c>
      <c r="H80" s="209">
        <f>if(and(isnumber(Raw!U80),isnumber(Raw!V80)),round(pi()*Raw!U80/2*Raw!V80/2,1),)</f>
        <v>580.8</v>
      </c>
      <c r="I80" s="210">
        <f t="shared" si="3"/>
        <v>571.3754481</v>
      </c>
      <c r="J80" s="209">
        <f t="shared" si="4"/>
        <v>679</v>
      </c>
      <c r="K80" s="209">
        <f t="shared" si="5"/>
        <v>660.7</v>
      </c>
      <c r="L80" s="209">
        <f t="shared" si="6"/>
        <v>649.5</v>
      </c>
      <c r="M80" s="209">
        <f t="shared" si="7"/>
        <v>642</v>
      </c>
      <c r="N80" s="210" t="str">
        <f>if(and(isnumber(Raw!U80),isnumber(Raw!V80),isnumber(Raw!W80)),0.5*Pi()*(Raw!V80/2)^2+(Raw!W80*(Raw!U80-0.5*Raw!V80))+2*((Raw!V80-Raw!W80)/2*(Raw!U80-0.5*Raw!V80)),)</f>
        <v/>
      </c>
      <c r="O80" s="174">
        <f>ifs(Raw!M80="Rectangle",G80,Raw!M80="Cut-teardrop",N80,Raw!M80="Oval",H80,Raw!M80="Flat Circle",I80,Raw!M80="Oval to Circle",F80,Raw!M80="Circle",F80,AND(Raw!M80="Circle to Oval",isnumber(Raw!X80),isblank(Raw!Z80)),F80,Raw!M80="Hexagon",J80,Raw!M80="Septagon",K80,Raw!M80="Octagon",L80,Raw!M80="Nonagon",M80)</f>
        <v>615.8</v>
      </c>
      <c r="Q80" s="211">
        <f>if(AND(isnumber(Raw!BW80),isnumber(Raw!CJ80)),Raw!BW80+Raw!CJ80,Raw!CE80)</f>
        <v>241</v>
      </c>
      <c r="R80" s="126">
        <f>if(isnumber(Raw!CE80),Raw!CE80,)</f>
        <v>241</v>
      </c>
      <c r="S80" s="144">
        <f>if(isblank(Raw!AT80),Raw!AS80,Raw!AT80)</f>
        <v>950</v>
      </c>
      <c r="T80" s="145"/>
      <c r="U80" s="212">
        <f>ifs(istext(Raw!AT80),Raw!AT80,AND(Raw!AT80&gt;0,isblank(Raw!AS80)),Raw!AT80,1,Raw!AS80)</f>
        <v>1000</v>
      </c>
      <c r="V80" s="144"/>
      <c r="W80" s="130"/>
      <c r="Y80" s="125" t="s">
        <v>123</v>
      </c>
      <c r="Z80" s="125" t="s">
        <v>123</v>
      </c>
      <c r="AA80" s="213">
        <f>ifs(AND(Raw!BH80=0,Raw!BK80&gt;0),Raw!BK80*Numbers!J$1,OR(iserror(AB80),Raw!BK80="NR"),"?",1,AB80*Raw!BH80+Raw!BK80*Numbers!J$1)</f>
        <v>17.24324281</v>
      </c>
      <c r="AB80" s="130">
        <f>(Raw!AY80*vlookup(Raw!AX80,Ores[],11,FALSE)+if(isblank(Raw!AZ80),0,Raw!BA80*vlookup(Raw!AZ80,Ores[],11,FALSE))+if(isblank(Raw!BB80),0,Raw!BC80*vlookup(Raw!BB80,Ores[],11,FALSE))+if(isblank(Raw!BD80),0,Raw!BE80*vlookup(Raw!BD80,Ores[],11,FALSE))+if(isblank(Raw!BF80),0,Raw!BG80*vlookup(Raw!BF80,Ores[],11,FALSE)))/Raw!BH80</f>
        <v>0.561817121</v>
      </c>
      <c r="AC80" s="130" t="str">
        <f>if(AND(isblank(Raw!BK80),isblank(Raw!BM80),isnumber(Raw!CS80),Raw!CS80&gt;0),if(isnumber(Raw!BL80),Raw!CS80/Raw!BL80,Raw!BL80),)</f>
        <v/>
      </c>
      <c r="AD80" s="130" t="str">
        <f>if(AND(Raw!BK80&gt;0,isblank(Raw!BM80),isnumber(Raw!CS80),Raw!CS80&gt;0),if(isnumber(Raw!BL80),Raw!CS80/Raw!BL80,Raw!BL80),)</f>
        <v/>
      </c>
      <c r="AE80" s="130" t="str">
        <f>if(AND(isblank(Raw!BK80),Raw!BM80&gt;0,isnumber(Raw!CS80),Raw!CS80&gt;0),if(isnumber(Raw!BL80),Raw!CS80/Raw!BL80,Raw!BL80),)</f>
        <v/>
      </c>
      <c r="AF80" s="130">
        <f>if(AND(Raw!BK80&gt;0,Raw!BM80&gt;0,isnumber(Raw!CS80),Raw!CS80&gt;0),if(isnumber(Raw!BL80),Raw!CS80/Raw!BL80,Raw!BL80),)</f>
        <v>0.201986755</v>
      </c>
      <c r="AG80" s="214" t="str">
        <f>if(AND(isblank(Raw!BK80),Raw!BM80&gt;0,isnumber(Raw!CS80),Raw!CS80&gt;0),Raw!BM80,)</f>
        <v/>
      </c>
      <c r="AH80" s="214" t="str">
        <f t="shared" si="8"/>
        <v/>
      </c>
      <c r="AI80" s="214" t="str">
        <f t="shared" ref="AI80:AK80" si="86">if(AND(AD80&gt;0,isnumber($AB80)),$AB80,)</f>
        <v/>
      </c>
      <c r="AJ80" s="214" t="str">
        <f t="shared" si="86"/>
        <v/>
      </c>
      <c r="AK80" s="215">
        <f t="shared" si="86"/>
        <v>0.561817121</v>
      </c>
      <c r="AL80" s="214" t="str">
        <f>if(AND(Raw!BK80&gt;0,isblank(Raw!BM80),isnumber(Raw!CS80),Raw!CS80&gt;0),Raw!BK80,)</f>
        <v/>
      </c>
      <c r="AM80" s="214">
        <f>if(AND(Raw!BK80&gt;0,Raw!BM80&gt;0,isnumber(Raw!CS80),Raw!CS80&gt;0),Raw!BM80,)</f>
        <v>2</v>
      </c>
      <c r="AN80" s="214">
        <f>if(AND(Raw!BK80&gt;0,Raw!BM80&gt;0,isnumber(Raw!CS80),Raw!CS80&gt;0),Raw!BK80,)</f>
        <v>2</v>
      </c>
      <c r="AO80" s="214" t="str">
        <f t="array" ref="AO80">if(Raw!H80="Vinland",max(AO$1:indirect("AO"&amp;(row()-1)))+1,)</f>
        <v/>
      </c>
      <c r="AP80" s="214" t="str">
        <f t="array" ref="AP80">if(Raw!H80="Icelandic",max(AP$1:indirect("AP"&amp;(row()-1)))+1,)</f>
        <v/>
      </c>
      <c r="AQ80" s="214" t="str">
        <f t="array" ref="AQ80">if(Raw!H80="Turf-to-Tools",max(AQ$1:indirect("AQ"&amp;(row()-1)))+1,)</f>
        <v/>
      </c>
      <c r="AR80" s="216">
        <f>IFS(OR(iserror(Raw!BP80),iserror(Raw!BQ80)),"NR",OR(Raw!BP80="?",Raw!BQ80="?"),"?",1,(Raw!BP80+Raw!BQ80)*Raw!BH80/100)</f>
        <v>1.866658065</v>
      </c>
      <c r="AS80" s="214"/>
      <c r="AT80" s="214"/>
      <c r="AU80" s="214"/>
      <c r="AV80" s="214"/>
      <c r="AW80" s="214"/>
      <c r="AX80" s="214"/>
      <c r="AY80" s="214"/>
    </row>
    <row r="81">
      <c r="A81" s="126">
        <f>Raw!A81</f>
        <v>77</v>
      </c>
      <c r="B81" s="208">
        <f>if(isnumber(O81),if(isblank(Raw!Z81),O81,concatenate(O81," (E)")),"ERROR")</f>
        <v>855.3</v>
      </c>
      <c r="C81" s="174">
        <f>ifs(Raw!S81="NR","NR",isblank(O81),"ERROR",1,O81*Raw!S81)</f>
        <v>43620.3</v>
      </c>
      <c r="D81" s="209">
        <f>ifs(AND(isnumber(Raw!X81),isnumber(Raw!Y81)),Raw!X81-Raw!Y81, AND(isnumber(Raw!U81),isnumber(Raw!V81)),Raw!U81-Raw!V81,1,)</f>
        <v>17</v>
      </c>
      <c r="E81" s="209">
        <f>IFS(isnumber(Raw!X81),Raw!X81/2,isnumber(Raw!U81),Raw!U81/2,1,)</f>
        <v>16.5</v>
      </c>
      <c r="F81" s="209">
        <f t="shared" si="2"/>
        <v>855.3</v>
      </c>
      <c r="G81" s="209">
        <f>if(and(isnumber(Raw!U81),isnumber(Raw!V81)),round(Raw!U81*Raw!V81,1),)</f>
        <v>684</v>
      </c>
      <c r="H81" s="209">
        <f>if(and(isnumber(Raw!U81),isnumber(Raw!V81)),round(pi()*Raw!U81/2*Raw!V81/2,1),)</f>
        <v>537.2</v>
      </c>
      <c r="I81" s="210">
        <f t="shared" si="3"/>
        <v>411.1532256</v>
      </c>
      <c r="J81" s="209">
        <f t="shared" si="4"/>
        <v>943.1</v>
      </c>
      <c r="K81" s="209">
        <f t="shared" si="5"/>
        <v>917.8</v>
      </c>
      <c r="L81" s="209">
        <f t="shared" si="6"/>
        <v>902.2</v>
      </c>
      <c r="M81" s="209">
        <f t="shared" si="7"/>
        <v>891.8</v>
      </c>
      <c r="N81" s="210" t="str">
        <f>if(and(isnumber(Raw!U81),isnumber(Raw!V81),isnumber(Raw!W81)),0.5*Pi()*(Raw!V81/2)^2+(Raw!W81*(Raw!U81-0.5*Raw!V81))+2*((Raw!V81-Raw!W81)/2*(Raw!U81-0.5*Raw!V81)),)</f>
        <v/>
      </c>
      <c r="O81" s="174">
        <f>ifs(Raw!M81="Rectangle",G81,Raw!M81="Cut-teardrop",N81,Raw!M81="Oval",H81,Raw!M81="Flat Circle",I81,Raw!M81="Oval to Circle",F81,Raw!M81="Circle",F81,AND(Raw!M81="Circle to Oval",isnumber(Raw!X81),isblank(Raw!Z81)),F81,Raw!M81="Hexagon",J81,Raw!M81="Septagon",K81,Raw!M81="Octagon",L81,Raw!M81="Nonagon",M81)</f>
        <v>855.3</v>
      </c>
      <c r="Q81" s="211">
        <f>if(AND(isnumber(Raw!BW81),isnumber(Raw!CJ81)),Raw!BW81+Raw!CJ81,Raw!CE81)</f>
        <v>229</v>
      </c>
      <c r="R81" s="126">
        <f>if(isnumber(Raw!CE81),Raw!CE81,)</f>
        <v>229</v>
      </c>
      <c r="S81" s="144">
        <f>if(isblank(Raw!AT81),Raw!AS81,Raw!AT81)</f>
        <v>900</v>
      </c>
      <c r="T81" s="145"/>
      <c r="U81" s="212">
        <f>ifs(istext(Raw!AT81),Raw!AT81,AND(Raw!AT81&gt;0,isblank(Raw!AS81)),Raw!AT81,1,Raw!AS81)</f>
        <v>900</v>
      </c>
      <c r="V81" s="144"/>
      <c r="W81" s="130"/>
      <c r="Y81" s="125" t="s">
        <v>123</v>
      </c>
      <c r="Z81" s="125" t="s">
        <v>123</v>
      </c>
      <c r="AA81" s="213">
        <f>ifs(AND(Raw!BH81=0,Raw!BK81&gt;0),Raw!BK81*Numbers!J$1,OR(iserror(AB81),Raw!BK81="NR"),"?",1,AB81*Raw!BH81+Raw!BK81*Numbers!J$1)</f>
        <v>17.16124165</v>
      </c>
      <c r="AB81" s="130">
        <f>(Raw!AY81*vlookup(Raw!AX81,Ores[],11,FALSE)+if(isblank(Raw!AZ81),0,Raw!BA81*vlookup(Raw!AZ81,Ores[],11,FALSE))+if(isblank(Raw!BB81),0,Raw!BC81*vlookup(Raw!BB81,Ores[],11,FALSE))+if(isblank(Raw!BD81),0,Raw!BE81*vlookup(Raw!BD81,Ores[],11,FALSE))+if(isblank(Raw!BF81),0,Raw!BG81*vlookup(Raw!BF81,Ores[],11,FALSE)))/Raw!BH81</f>
        <v>0.561817121</v>
      </c>
      <c r="AC81" s="130" t="str">
        <f>if(AND(isblank(Raw!BK81),isblank(Raw!BM81),isnumber(Raw!CS81),Raw!CS81&gt;0),if(isnumber(Raw!BL81),Raw!CS81/Raw!BL81,Raw!BL81),)</f>
        <v/>
      </c>
      <c r="AD81" s="130" t="str">
        <f>if(AND(Raw!BK81&gt;0,isblank(Raw!BM81),isnumber(Raw!CS81),Raw!CS81&gt;0),if(isnumber(Raw!BL81),Raw!CS81/Raw!BL81,Raw!BL81),)</f>
        <v/>
      </c>
      <c r="AE81" s="130" t="str">
        <f>if(AND(isblank(Raw!BK81),Raw!BM81&gt;0,isnumber(Raw!CS81),Raw!CS81&gt;0),if(isnumber(Raw!BL81),Raw!CS81/Raw!BL81,Raw!BL81),)</f>
        <v/>
      </c>
      <c r="AF81" s="130">
        <f>if(AND(Raw!BK81&gt;0,Raw!BM81&gt;0,isnumber(Raw!CS81),Raw!CS81&gt;0),if(isnumber(Raw!BL81),Raw!CS81/Raw!BL81,Raw!BL81),)</f>
        <v>0.3630363036</v>
      </c>
      <c r="AG81" s="214" t="str">
        <f>if(AND(isblank(Raw!BK81),Raw!BM81&gt;0,isnumber(Raw!CS81),Raw!CS81&gt;0),Raw!BM81,)</f>
        <v/>
      </c>
      <c r="AH81" s="214" t="str">
        <f t="shared" si="8"/>
        <v/>
      </c>
      <c r="AI81" s="214" t="str">
        <f t="shared" ref="AI81:AK81" si="87">if(AND(AD81&gt;0,isnumber($AB81)),$AB81,)</f>
        <v/>
      </c>
      <c r="AJ81" s="214" t="str">
        <f t="shared" si="87"/>
        <v/>
      </c>
      <c r="AK81" s="215">
        <f t="shared" si="87"/>
        <v>0.561817121</v>
      </c>
      <c r="AL81" s="214" t="str">
        <f>if(AND(Raw!BK81&gt;0,isblank(Raw!BM81),isnumber(Raw!CS81),Raw!CS81&gt;0),Raw!BK81,)</f>
        <v/>
      </c>
      <c r="AM81" s="214">
        <f>if(AND(Raw!BK81&gt;0,Raw!BM81&gt;0,isnumber(Raw!CS81),Raw!CS81&gt;0),Raw!BM81,)</f>
        <v>5</v>
      </c>
      <c r="AN81" s="214">
        <f>if(AND(Raw!BK81&gt;0,Raw!BM81&gt;0,isnumber(Raw!CS81),Raw!CS81&gt;0),Raw!BK81,)</f>
        <v>1</v>
      </c>
      <c r="AO81" s="214" t="str">
        <f t="array" ref="AO81">if(Raw!H81="Vinland",max(AO$1:indirect("AO"&amp;(row()-1)))+1,)</f>
        <v/>
      </c>
      <c r="AP81" s="214" t="str">
        <f t="array" ref="AP81">if(Raw!H81="Icelandic",max(AP$1:indirect("AP"&amp;(row()-1)))+1,)</f>
        <v/>
      </c>
      <c r="AQ81" s="214" t="str">
        <f t="array" ref="AQ81">if(Raw!H81="Turf-to-Tools",max(AQ$1:indirect("AQ"&amp;(row()-1)))+1,)</f>
        <v/>
      </c>
      <c r="AR81" s="216">
        <f>IFS(OR(iserror(Raw!BP81),iserror(Raw!BQ81)),"NR",OR(Raw!BP81="?",Raw!BQ81="?"),"?",1,(Raw!BP81+Raw!BQ81)*Raw!BH81/100)</f>
        <v>1.939470968</v>
      </c>
      <c r="AS81" s="214"/>
      <c r="AT81" s="214"/>
      <c r="AU81" s="214"/>
      <c r="AV81" s="214"/>
      <c r="AW81" s="214"/>
      <c r="AX81" s="214"/>
      <c r="AY81" s="214"/>
    </row>
    <row r="82">
      <c r="A82" s="126">
        <f>Raw!A82</f>
        <v>78</v>
      </c>
      <c r="B82" s="208">
        <f>if(isnumber(O82),if(isblank(Raw!Z82),O82,concatenate(O82," (E)")),"ERROR")</f>
        <v>530.9</v>
      </c>
      <c r="C82" s="174">
        <f>ifs(Raw!S82="NR","NR",isblank(O82),"ERROR",1,O82*Raw!S82)</f>
        <v>21766.9</v>
      </c>
      <c r="D82" s="209" t="str">
        <f>ifs(AND(isnumber(Raw!X82),isnumber(Raw!Y82)),Raw!X82-Raw!Y82, AND(isnumber(Raw!U82),isnumber(Raw!V82)),Raw!U82-Raw!V82,1,)</f>
        <v/>
      </c>
      <c r="E82" s="209">
        <f>IFS(isnumber(Raw!X82),Raw!X82/2,isnumber(Raw!U82),Raw!U82/2,1,)</f>
        <v>13</v>
      </c>
      <c r="F82" s="209">
        <f t="shared" si="2"/>
        <v>530.9</v>
      </c>
      <c r="G82" s="209" t="str">
        <f>if(and(isnumber(Raw!U82),isnumber(Raw!V82)),round(Raw!U82*Raw!V82,1),)</f>
        <v/>
      </c>
      <c r="H82" s="209" t="str">
        <f>if(and(isnumber(Raw!U82),isnumber(Raw!V82)),round(pi()*Raw!U82/2*Raw!V82/2,1),)</f>
        <v/>
      </c>
      <c r="I82" s="210">
        <f t="shared" si="3"/>
        <v>530.9</v>
      </c>
      <c r="J82" s="209">
        <f t="shared" si="4"/>
        <v>585.4</v>
      </c>
      <c r="K82" s="209">
        <f t="shared" si="5"/>
        <v>569.7</v>
      </c>
      <c r="L82" s="209">
        <f t="shared" si="6"/>
        <v>560</v>
      </c>
      <c r="M82" s="209">
        <f t="shared" si="7"/>
        <v>553.6</v>
      </c>
      <c r="N82" s="210" t="str">
        <f>if(and(isnumber(Raw!U82),isnumber(Raw!V82),isnumber(Raw!W82)),0.5*Pi()*(Raw!V82/2)^2+(Raw!W82*(Raw!U82-0.5*Raw!V82))+2*((Raw!V82-Raw!W82)/2*(Raw!U82-0.5*Raw!V82)),)</f>
        <v/>
      </c>
      <c r="O82" s="174">
        <f>ifs(Raw!M82="Rectangle",G82,Raw!M82="Cut-teardrop",N82,Raw!M82="Oval",H82,Raw!M82="Flat Circle",I82,Raw!M82="Oval to Circle",F82,Raw!M82="Circle",F82,AND(Raw!M82="Circle to Oval",isnumber(Raw!X82),isblank(Raw!Z82)),F82,Raw!M82="Hexagon",J82,Raw!M82="Septagon",K82,Raw!M82="Octagon",L82,Raw!M82="Nonagon",M82)</f>
        <v>530.9</v>
      </c>
      <c r="Q82" s="211">
        <f>if(AND(isnumber(Raw!BW82),isnumber(Raw!CJ82)),Raw!BW82+Raw!CJ82,Raw!CE82)</f>
        <v>472</v>
      </c>
      <c r="R82" s="126">
        <f>if(isnumber(Raw!CE82),Raw!CE82,)</f>
        <v>236</v>
      </c>
      <c r="S82" s="144">
        <f>if(isblank(Raw!AT82),Raw!AS82,Raw!AT82)</f>
        <v>900</v>
      </c>
      <c r="T82" s="145"/>
      <c r="U82" s="212">
        <f>ifs(istext(Raw!AT82),Raw!AT82,AND(Raw!AT82&gt;0,isblank(Raw!AS82)),Raw!AT82,1,Raw!AS82)</f>
        <v>900</v>
      </c>
      <c r="V82" s="144"/>
      <c r="W82" s="130"/>
      <c r="Y82" s="125" t="s">
        <v>123</v>
      </c>
      <c r="Z82" s="125" t="s">
        <v>123</v>
      </c>
      <c r="AA82" s="213">
        <f>ifs(AND(Raw!BH82=0,Raw!BK82&gt;0),Raw!BK82*Numbers!J$1,OR(iserror(AB82),Raw!BK82="NR"),"?",1,AB82*Raw!BH82+Raw!BK82*Numbers!J$1)</f>
        <v>17.1916039</v>
      </c>
      <c r="AB82" s="130">
        <f>(Raw!AY82*vlookup(Raw!AX82,Ores[],11,FALSE)+if(isblank(Raw!AZ82),0,Raw!BA82*vlookup(Raw!AZ82,Ores[],11,FALSE))+if(isblank(Raw!BB82),0,Raw!BC82*vlookup(Raw!BB82,Ores[],11,FALSE))+if(isblank(Raw!BD82),0,Raw!BE82*vlookup(Raw!BD82,Ores[],11,FALSE))+if(isblank(Raw!BF82),0,Raw!BG82*vlookup(Raw!BF82,Ores[],11,FALSE)))/Raw!BH82</f>
        <v>0.561817121</v>
      </c>
      <c r="AC82" s="130">
        <f>if(AND(isblank(Raw!BK82),isblank(Raw!BM82),isnumber(Raw!CS82),Raw!CS82&gt;0),if(isnumber(Raw!BL82),Raw!CS82/Raw!BL82,Raw!BL82),)</f>
        <v>0.1764705882</v>
      </c>
      <c r="AD82" s="130" t="str">
        <f>if(AND(Raw!BK82&gt;0,isblank(Raw!BM82),isnumber(Raw!CS82),Raw!CS82&gt;0),if(isnumber(Raw!BL82),Raw!CS82/Raw!BL82,Raw!BL82),)</f>
        <v/>
      </c>
      <c r="AE82" s="130" t="str">
        <f>if(AND(isblank(Raw!BK82),Raw!BM82&gt;0,isnumber(Raw!CS82),Raw!CS82&gt;0),if(isnumber(Raw!BL82),Raw!CS82/Raw!BL82,Raw!BL82),)</f>
        <v/>
      </c>
      <c r="AF82" s="130" t="str">
        <f>if(AND(Raw!BK82&gt;0,Raw!BM82&gt;0,isnumber(Raw!CS82),Raw!CS82&gt;0),if(isnumber(Raw!BL82),Raw!CS82/Raw!BL82,Raw!BL82),)</f>
        <v/>
      </c>
      <c r="AG82" s="214" t="str">
        <f>if(AND(isblank(Raw!BK82),Raw!BM82&gt;0,isnumber(Raw!CS82),Raw!CS82&gt;0),Raw!BM82,)</f>
        <v/>
      </c>
      <c r="AH82" s="215">
        <f t="shared" si="8"/>
        <v>0.561817121</v>
      </c>
      <c r="AI82" s="214" t="str">
        <f t="shared" ref="AI82:AK82" si="88">if(AND(AD82&gt;0,isnumber($AB82)),$AB82,)</f>
        <v/>
      </c>
      <c r="AJ82" s="214" t="str">
        <f t="shared" si="88"/>
        <v/>
      </c>
      <c r="AK82" s="214" t="str">
        <f t="shared" si="88"/>
        <v/>
      </c>
      <c r="AL82" s="214" t="str">
        <f>if(AND(Raw!BK82&gt;0,isblank(Raw!BM82),isnumber(Raw!CS82),Raw!CS82&gt;0),Raw!BK82,)</f>
        <v/>
      </c>
      <c r="AM82" s="214" t="str">
        <f>if(AND(Raw!BK82&gt;0,Raw!BM82&gt;0,isnumber(Raw!CS82),Raw!CS82&gt;0),Raw!BM82,)</f>
        <v/>
      </c>
      <c r="AN82" s="214" t="str">
        <f>if(AND(Raw!BK82&gt;0,Raw!BM82&gt;0,isnumber(Raw!CS82),Raw!CS82&gt;0),Raw!BK82,)</f>
        <v/>
      </c>
      <c r="AO82" s="214" t="str">
        <f t="array" ref="AO82">if(Raw!H82="Vinland",max(AO$1:indirect("AO"&amp;(row()-1)))+1,)</f>
        <v/>
      </c>
      <c r="AP82" s="214" t="str">
        <f t="array" ref="AP82">if(Raw!H82="Icelandic",max(AP$1:indirect("AP"&amp;(row()-1)))+1,)</f>
        <v/>
      </c>
      <c r="AQ82" s="214" t="str">
        <f t="array" ref="AQ82">if(Raw!H82="Turf-to-Tools",max(AQ$1:indirect("AQ"&amp;(row()-1)))+1,)</f>
        <v/>
      </c>
      <c r="AR82" s="216">
        <f>IFS(OR(iserror(Raw!BP82),iserror(Raw!BQ82)),"NR",OR(Raw!BP82="?",Raw!BQ82="?"),"?",1,(Raw!BP82+Raw!BQ82)*Raw!BH82/100)</f>
        <v>2.025522581</v>
      </c>
      <c r="AS82" s="214"/>
      <c r="AT82" s="214"/>
      <c r="AU82" s="214"/>
      <c r="AV82" s="214"/>
      <c r="AW82" s="214"/>
      <c r="AX82" s="214"/>
      <c r="AY82" s="214"/>
    </row>
    <row r="83">
      <c r="A83" s="126">
        <f>Raw!A83</f>
        <v>79</v>
      </c>
      <c r="B83" s="208">
        <f>if(isnumber(O83),if(isblank(Raw!Z83),O83,concatenate(O83," (E)")),"ERROR")</f>
        <v>572.6</v>
      </c>
      <c r="C83" s="174">
        <f>ifs(Raw!S83="NR","NR",isblank(O83),"ERROR",1,O83*Raw!S83)</f>
        <v>28630</v>
      </c>
      <c r="D83" s="209" t="str">
        <f>ifs(AND(isnumber(Raw!X83),isnumber(Raw!Y83)),Raw!X83-Raw!Y83, AND(isnumber(Raw!U83),isnumber(Raw!V83)),Raw!U83-Raw!V83,1,)</f>
        <v/>
      </c>
      <c r="E83" s="209">
        <f>IFS(isnumber(Raw!X83),Raw!X83/2,isnumber(Raw!U83),Raw!U83/2,1,)</f>
        <v>13.5</v>
      </c>
      <c r="F83" s="209">
        <f t="shared" si="2"/>
        <v>572.6</v>
      </c>
      <c r="G83" s="209" t="str">
        <f>if(and(isnumber(Raw!U83),isnumber(Raw!V83)),round(Raw!U83*Raw!V83,1),)</f>
        <v/>
      </c>
      <c r="H83" s="209" t="str">
        <f>if(and(isnumber(Raw!U83),isnumber(Raw!V83)),round(pi()*Raw!U83/2*Raw!V83/2,1),)</f>
        <v/>
      </c>
      <c r="I83" s="210">
        <f t="shared" si="3"/>
        <v>572.6</v>
      </c>
      <c r="J83" s="209">
        <f t="shared" si="4"/>
        <v>631.3</v>
      </c>
      <c r="K83" s="209">
        <f t="shared" si="5"/>
        <v>614.4</v>
      </c>
      <c r="L83" s="209">
        <f t="shared" si="6"/>
        <v>603.9</v>
      </c>
      <c r="M83" s="209">
        <f t="shared" si="7"/>
        <v>597</v>
      </c>
      <c r="N83" s="210" t="str">
        <f>if(and(isnumber(Raw!U83),isnumber(Raw!V83),isnumber(Raw!W83)),0.5*Pi()*(Raw!V83/2)^2+(Raw!W83*(Raw!U83-0.5*Raw!V83))+2*((Raw!V83-Raw!W83)/2*(Raw!U83-0.5*Raw!V83)),)</f>
        <v/>
      </c>
      <c r="O83" s="174">
        <f>ifs(Raw!M83="Rectangle",G83,Raw!M83="Cut-teardrop",N83,Raw!M83="Oval",H83,Raw!M83="Flat Circle",I83,Raw!M83="Oval to Circle",F83,Raw!M83="Circle",F83,AND(Raw!M83="Circle to Oval",isnumber(Raw!X83),isblank(Raw!Z83)),F83,Raw!M83="Hexagon",J83,Raw!M83="Septagon",K83,Raw!M83="Octagon",L83,Raw!M83="Nonagon",M83)</f>
        <v>572.6</v>
      </c>
      <c r="Q83" s="211">
        <f>if(AND(isnumber(Raw!BW83),isnumber(Raw!CJ83)),Raw!BW83+Raw!CJ83,Raw!CE83)</f>
        <v>252</v>
      </c>
      <c r="R83" s="126">
        <f>if(isnumber(Raw!CE83),Raw!CE83,)</f>
        <v>252</v>
      </c>
      <c r="S83" s="144">
        <f>if(isblank(Raw!AT83),Raw!AS83,Raw!AT83)</f>
        <v>1100</v>
      </c>
      <c r="T83" s="145"/>
      <c r="U83" s="212">
        <f>ifs(istext(Raw!AT83),Raw!AT83,AND(Raw!AT83&gt;0,isblank(Raw!AS83)),Raw!AT83,1,Raw!AS83)</f>
        <v>1100</v>
      </c>
      <c r="V83" s="144"/>
      <c r="W83" s="130"/>
      <c r="Y83" s="125" t="s">
        <v>123</v>
      </c>
      <c r="Z83" s="125" t="s">
        <v>123</v>
      </c>
      <c r="AA83" s="213">
        <f>ifs(AND(Raw!BH83=0,Raw!BK83&gt;0),Raw!BK83*Numbers!J$1,OR(iserror(AB83),Raw!BK83="NR"),"?",1,AB83*Raw!BH83+Raw!BK83*Numbers!J$1)</f>
        <v>16.96361091</v>
      </c>
      <c r="AB83" s="130">
        <f>(Raw!AY83*vlookup(Raw!AX83,Ores[],11,FALSE)+if(isblank(Raw!AZ83),0,Raw!BA83*vlookup(Raw!AZ83,Ores[],11,FALSE))+if(isblank(Raw!BB83),0,Raw!BC83*vlookup(Raw!BB83,Ores[],11,FALSE))+if(isblank(Raw!BD83),0,Raw!BE83*vlookup(Raw!BD83,Ores[],11,FALSE))+if(isblank(Raw!BF83),0,Raw!BG83*vlookup(Raw!BF83,Ores[],11,FALSE)))/Raw!BH83</f>
        <v>0.5654536968</v>
      </c>
      <c r="AC83" s="130" t="str">
        <f>if(AND(isblank(Raw!BK83),isblank(Raw!BM83),isnumber(Raw!CS83),Raw!CS83&gt;0),if(isnumber(Raw!BL83),Raw!CS83/Raw!BL83,Raw!BL83),)</f>
        <v/>
      </c>
      <c r="AD83" s="130" t="str">
        <f>if(AND(Raw!BK83&gt;0,isblank(Raw!BM83),isnumber(Raw!CS83),Raw!CS83&gt;0),if(isnumber(Raw!BL83),Raw!CS83/Raw!BL83,Raw!BL83),)</f>
        <v/>
      </c>
      <c r="AE83" s="130">
        <f>if(AND(isblank(Raw!BK83),Raw!BM83&gt;0,isnumber(Raw!CS83),Raw!CS83&gt;0),if(isnumber(Raw!BL83),Raw!CS83/Raw!BL83,Raw!BL83),)</f>
        <v>0.2833333333</v>
      </c>
      <c r="AF83" s="130" t="str">
        <f>if(AND(Raw!BK83&gt;0,Raw!BM83&gt;0,isnumber(Raw!CS83),Raw!CS83&gt;0),if(isnumber(Raw!BL83),Raw!CS83/Raw!BL83,Raw!BL83),)</f>
        <v/>
      </c>
      <c r="AG83" s="214">
        <f>if(AND(isblank(Raw!BK83),Raw!BM83&gt;0,isnumber(Raw!CS83),Raw!CS83&gt;0),Raw!BM83,)</f>
        <v>1.2</v>
      </c>
      <c r="AH83" s="214" t="str">
        <f t="shared" si="8"/>
        <v/>
      </c>
      <c r="AI83" s="214" t="str">
        <f t="shared" ref="AI83:AK83" si="89">if(AND(AD83&gt;0,isnumber($AB83)),$AB83,)</f>
        <v/>
      </c>
      <c r="AJ83" s="215">
        <f t="shared" si="89"/>
        <v>0.5654536968</v>
      </c>
      <c r="AK83" s="214" t="str">
        <f t="shared" si="89"/>
        <v/>
      </c>
      <c r="AL83" s="214" t="str">
        <f>if(AND(Raw!BK83&gt;0,isblank(Raw!BM83),isnumber(Raw!CS83),Raw!CS83&gt;0),Raw!BK83,)</f>
        <v/>
      </c>
      <c r="AM83" s="214" t="str">
        <f>if(AND(Raw!BK83&gt;0,Raw!BM83&gt;0,isnumber(Raw!CS83),Raw!CS83&gt;0),Raw!BM83,)</f>
        <v/>
      </c>
      <c r="AN83" s="214" t="str">
        <f>if(AND(Raw!BK83&gt;0,Raw!BM83&gt;0,isnumber(Raw!CS83),Raw!CS83&gt;0),Raw!BK83,)</f>
        <v/>
      </c>
      <c r="AO83" s="214" t="str">
        <f t="array" ref="AO83">if(Raw!H83="Vinland",max(AO$1:indirect("AO"&amp;(row()-1)))+1,)</f>
        <v/>
      </c>
      <c r="AP83" s="214" t="str">
        <f t="array" ref="AP83">if(Raw!H83="Icelandic",max(AP$1:indirect("AP"&amp;(row()-1)))+1,)</f>
        <v/>
      </c>
      <c r="AQ83" s="214" t="str">
        <f t="array" ref="AQ83">if(Raw!H83="Turf-to-Tools",max(AQ$1:indirect("AQ"&amp;(row()-1)))+1,)</f>
        <v/>
      </c>
      <c r="AR83" s="216">
        <f>IFS(OR(iserror(Raw!BP83),iserror(Raw!BQ83)),"NR",OR(Raw!BP83="?",Raw!BQ83="?"),"?",1,(Raw!BP83+Raw!BQ83)*Raw!BH83/100)</f>
        <v>2.234845161</v>
      </c>
      <c r="AS83" s="214"/>
      <c r="AT83" s="214"/>
      <c r="AU83" s="214"/>
      <c r="AV83" s="214"/>
      <c r="AW83" s="214"/>
      <c r="AX83" s="214"/>
      <c r="AY83" s="214"/>
    </row>
    <row r="84">
      <c r="A84" s="126">
        <f>Raw!A84</f>
        <v>80</v>
      </c>
      <c r="B84" s="208">
        <f>if(isnumber(O84),if(isblank(Raw!Z84),O84,concatenate(O84," (E)")),"ERROR")</f>
        <v>572.6</v>
      </c>
      <c r="C84" s="174">
        <f>ifs(Raw!S84="NR","NR",isblank(O84),"ERROR",1,O84*Raw!S84)</f>
        <v>94479</v>
      </c>
      <c r="D84" s="209" t="str">
        <f>ifs(AND(isnumber(Raw!X84),isnumber(Raw!Y84)),Raw!X84-Raw!Y84, AND(isnumber(Raw!U84),isnumber(Raw!V84)),Raw!U84-Raw!V84,1,)</f>
        <v/>
      </c>
      <c r="E84" s="209">
        <f>IFS(isnumber(Raw!X84),Raw!X84/2,isnumber(Raw!U84),Raw!U84/2,1,)</f>
        <v>13.5</v>
      </c>
      <c r="F84" s="209">
        <f t="shared" si="2"/>
        <v>572.6</v>
      </c>
      <c r="G84" s="209" t="str">
        <f>if(and(isnumber(Raw!U84),isnumber(Raw!V84)),round(Raw!U84*Raw!V84,1),)</f>
        <v/>
      </c>
      <c r="H84" s="209" t="str">
        <f>if(and(isnumber(Raw!U84),isnumber(Raw!V84)),round(pi()*Raw!U84/2*Raw!V84/2,1),)</f>
        <v/>
      </c>
      <c r="I84" s="210">
        <f t="shared" si="3"/>
        <v>572.6</v>
      </c>
      <c r="J84" s="209">
        <f t="shared" si="4"/>
        <v>631.3</v>
      </c>
      <c r="K84" s="209">
        <f t="shared" si="5"/>
        <v>614.4</v>
      </c>
      <c r="L84" s="209">
        <f t="shared" si="6"/>
        <v>603.9</v>
      </c>
      <c r="M84" s="209">
        <f t="shared" si="7"/>
        <v>597</v>
      </c>
      <c r="N84" s="210" t="str">
        <f>if(and(isnumber(Raw!U84),isnumber(Raw!V84),isnumber(Raw!W84)),0.5*Pi()*(Raw!V84/2)^2+(Raw!W84*(Raw!U84-0.5*Raw!V84))+2*((Raw!V84-Raw!W84)/2*(Raw!U84-0.5*Raw!V84)),)</f>
        <v/>
      </c>
      <c r="O84" s="174">
        <f>ifs(Raw!M84="Rectangle",G84,Raw!M84="Cut-teardrop",N84,Raw!M84="Oval",H84,Raw!M84="Flat Circle",I84,Raw!M84="Oval to Circle",F84,Raw!M84="Circle",F84,AND(Raw!M84="Circle to Oval",isnumber(Raw!X84),isblank(Raw!Z84)),F84,Raw!M84="Hexagon",J84,Raw!M84="Septagon",K84,Raw!M84="Octagon",L84,Raw!M84="Nonagon",M84)</f>
        <v>572.6</v>
      </c>
      <c r="Q84" s="211">
        <f>if(AND(isnumber(Raw!BW84),isnumber(Raw!CJ84)),Raw!BW84+Raw!CJ84,Raw!CE84)</f>
        <v>193</v>
      </c>
      <c r="R84" s="126">
        <f>if(isnumber(Raw!CE84),Raw!CE84,)</f>
        <v>193</v>
      </c>
      <c r="S84" s="144" t="str">
        <f>if(isblank(Raw!AT84),Raw!AS84,Raw!AT84)</f>
        <v>NR</v>
      </c>
      <c r="T84" s="145"/>
      <c r="U84" s="212" t="str">
        <f>ifs(istext(Raw!AT84),Raw!AT84,AND(Raw!AT84&gt;0,isblank(Raw!AS84)),Raw!AT84,1,Raw!AS84)</f>
        <v>NR</v>
      </c>
      <c r="V84" s="144"/>
      <c r="W84" s="130"/>
      <c r="Y84" s="125" t="s">
        <v>123</v>
      </c>
      <c r="Z84" s="125" t="s">
        <v>123</v>
      </c>
      <c r="AA84" s="213">
        <f>ifs(AND(Raw!BH84=0,Raw!BK84&gt;0),Raw!BK84*Numbers!J$1,OR(iserror(AB84),Raw!BK84="NR"),"?",1,AB84*Raw!BH84+Raw!BK84*Numbers!J$1)</f>
        <v>9.154181076</v>
      </c>
      <c r="AB84" s="130">
        <f>(Raw!AY84*vlookup(Raw!AX84,Ores[],11,FALSE)+if(isblank(Raw!AZ84),0,Raw!BA84*vlookup(Raw!AZ84,Ores[],11,FALSE))+if(isblank(Raw!BB84),0,Raw!BC84*vlookup(Raw!BB84,Ores[],11,FALSE))+if(isblank(Raw!BD84),0,Raw!BE84*vlookup(Raw!BD84,Ores[],11,FALSE))+if(isblank(Raw!BF84),0,Raw!BG84*vlookup(Raw!BF84,Ores[],11,FALSE)))/Raw!BH84</f>
        <v>0.4869245253</v>
      </c>
      <c r="AC84" s="130" t="str">
        <f>if(AND(isblank(Raw!BK84),isblank(Raw!BM84),isnumber(Raw!CS84),Raw!CS84&gt;0),if(isnumber(Raw!BL84),Raw!CS84/Raw!BL84,Raw!BL84),)</f>
        <v/>
      </c>
      <c r="AD84" s="130" t="str">
        <f>if(AND(Raw!BK84&gt;0,isblank(Raw!BM84),isnumber(Raw!CS84),Raw!CS84&gt;0),if(isnumber(Raw!BL84),Raw!CS84/Raw!BL84,Raw!BL84),)</f>
        <v/>
      </c>
      <c r="AE84" s="130" t="str">
        <f>if(AND(isblank(Raw!BK84),Raw!BM84&gt;0,isnumber(Raw!CS84),Raw!CS84&gt;0),if(isnumber(Raw!BL84),Raw!CS84/Raw!BL84,Raw!BL84),)</f>
        <v/>
      </c>
      <c r="AF84" s="130" t="str">
        <f>if(AND(Raw!BK84&gt;0,Raw!BM84&gt;0,isnumber(Raw!CS84),Raw!CS84&gt;0),if(isnumber(Raw!BL84),Raw!CS84/Raw!BL84,Raw!BL84),)</f>
        <v/>
      </c>
      <c r="AG84" s="214" t="str">
        <f>if(AND(isblank(Raw!BK84),Raw!BM84&gt;0,isnumber(Raw!CS84),Raw!CS84&gt;0),Raw!BM84,)</f>
        <v/>
      </c>
      <c r="AH84" s="214" t="str">
        <f t="shared" si="8"/>
        <v/>
      </c>
      <c r="AI84" s="214" t="str">
        <f t="shared" ref="AI84:AK84" si="90">if(AND(AD84&gt;0,isnumber($AB84)),$AB84,)</f>
        <v/>
      </c>
      <c r="AJ84" s="214" t="str">
        <f t="shared" si="90"/>
        <v/>
      </c>
      <c r="AK84" s="214" t="str">
        <f t="shared" si="90"/>
        <v/>
      </c>
      <c r="AL84" s="214" t="str">
        <f>if(AND(Raw!BK84&gt;0,isblank(Raw!BM84),isnumber(Raw!CS84),Raw!CS84&gt;0),Raw!BK84,)</f>
        <v/>
      </c>
      <c r="AM84" s="214" t="str">
        <f>if(AND(Raw!BK84&gt;0,Raw!BM84&gt;0,isnumber(Raw!CS84),Raw!CS84&gt;0),Raw!BM84,)</f>
        <v/>
      </c>
      <c r="AN84" s="214" t="str">
        <f>if(AND(Raw!BK84&gt;0,Raw!BM84&gt;0,isnumber(Raw!CS84),Raw!CS84&gt;0),Raw!BK84,)</f>
        <v/>
      </c>
      <c r="AO84" s="214" t="str">
        <f t="array" ref="AO84">if(Raw!H84="Vinland",max(AO$1:indirect("AO"&amp;(row()-1)))+1,)</f>
        <v/>
      </c>
      <c r="AP84" s="214" t="str">
        <f t="array" ref="AP84">if(Raw!H84="Icelandic",max(AP$1:indirect("AP"&amp;(row()-1)))+1,)</f>
        <v/>
      </c>
      <c r="AQ84" s="214" t="str">
        <f t="array" ref="AQ84">if(Raw!H84="Turf-to-Tools",max(AQ$1:indirect("AQ"&amp;(row()-1)))+1,)</f>
        <v/>
      </c>
      <c r="AR84" s="216">
        <f>IFS(OR(iserror(Raw!BP84),iserror(Raw!BQ84)),"NR",OR(Raw!BP84="?",Raw!BQ84="?"),"?",1,(Raw!BP84+Raw!BQ84)*Raw!BH84/100)</f>
        <v>2.976122581</v>
      </c>
      <c r="AS84" s="214"/>
      <c r="AT84" s="214"/>
      <c r="AU84" s="214"/>
      <c r="AV84" s="214"/>
      <c r="AW84" s="214"/>
      <c r="AX84" s="214"/>
      <c r="AY84" s="214"/>
    </row>
    <row r="85">
      <c r="A85" s="126">
        <f>Raw!A85</f>
        <v>81</v>
      </c>
      <c r="B85" s="208">
        <f>if(isnumber(O85),if(isblank(Raw!Z85),O85,concatenate(O85," (E)")),"ERROR")</f>
        <v>706.9</v>
      </c>
      <c r="C85" s="174">
        <f>ifs(Raw!S85="NR","NR",isblank(O85),"ERROR",1,O85*Raw!S85)</f>
        <v>35345</v>
      </c>
      <c r="D85" s="209" t="str">
        <f>ifs(AND(isnumber(Raw!X85),isnumber(Raw!Y85)),Raw!X85-Raw!Y85, AND(isnumber(Raw!U85),isnumber(Raw!V85)),Raw!U85-Raw!V85,1,)</f>
        <v/>
      </c>
      <c r="E85" s="209">
        <f>IFS(isnumber(Raw!X85),Raw!X85/2,isnumber(Raw!U85),Raw!U85/2,1,)</f>
        <v>15</v>
      </c>
      <c r="F85" s="209">
        <f t="shared" si="2"/>
        <v>706.9</v>
      </c>
      <c r="G85" s="209" t="str">
        <f>if(and(isnumber(Raw!U85),isnumber(Raw!V85)),round(Raw!U85*Raw!V85,1),)</f>
        <v/>
      </c>
      <c r="H85" s="209" t="str">
        <f>if(and(isnumber(Raw!U85),isnumber(Raw!V85)),round(pi()*Raw!U85/2*Raw!V85/2,1),)</f>
        <v/>
      </c>
      <c r="I85" s="210">
        <f t="shared" si="3"/>
        <v>706.9</v>
      </c>
      <c r="J85" s="209">
        <f t="shared" si="4"/>
        <v>779.4</v>
      </c>
      <c r="K85" s="209">
        <f t="shared" si="5"/>
        <v>758.5</v>
      </c>
      <c r="L85" s="209">
        <f t="shared" si="6"/>
        <v>745.6</v>
      </c>
      <c r="M85" s="209">
        <f t="shared" si="7"/>
        <v>737</v>
      </c>
      <c r="N85" s="210" t="str">
        <f>if(and(isnumber(Raw!U85),isnumber(Raw!V85),isnumber(Raw!W85)),0.5*Pi()*(Raw!V85/2)^2+(Raw!W85*(Raw!U85-0.5*Raw!V85))+2*((Raw!V85-Raw!W85)/2*(Raw!U85-0.5*Raw!V85)),)</f>
        <v/>
      </c>
      <c r="O85" s="174">
        <f>ifs(Raw!M85="Rectangle",G85,Raw!M85="Cut-teardrop",N85,Raw!M85="Oval",H85,Raw!M85="Flat Circle",I85,Raw!M85="Oval to Circle",F85,Raw!M85="Circle",F85,AND(Raw!M85="Circle to Oval",isnumber(Raw!X85),isblank(Raw!Z85)),F85,Raw!M85="Hexagon",J85,Raw!M85="Septagon",K85,Raw!M85="Octagon",L85,Raw!M85="Nonagon",M85)</f>
        <v>706.9</v>
      </c>
      <c r="Q85" s="211">
        <f>if(AND(isnumber(Raw!BW85),isnumber(Raw!CJ85)),Raw!BW85+Raw!CJ85,Raw!CE85)</f>
        <v>167</v>
      </c>
      <c r="R85" s="126">
        <f>if(isnumber(Raw!CE85),Raw!CE85,)</f>
        <v>167</v>
      </c>
      <c r="S85" s="144">
        <f>if(isblank(Raw!AT85),Raw!AS85,Raw!AT85)</f>
        <v>850</v>
      </c>
      <c r="T85" s="145"/>
      <c r="U85" s="212">
        <f>ifs(istext(Raw!AT85),Raw!AT85,AND(Raw!AT85&gt;0,isblank(Raw!AS85)),Raw!AT85,1,Raw!AS85)</f>
        <v>900</v>
      </c>
      <c r="V85" s="144"/>
      <c r="W85" s="130"/>
      <c r="Y85" s="125" t="s">
        <v>123</v>
      </c>
      <c r="Z85" s="125" t="s">
        <v>123</v>
      </c>
      <c r="AA85" s="213">
        <f>ifs(AND(Raw!BH85=0,Raw!BK85&gt;0),Raw!BK85*Numbers!J$1,OR(iserror(AB85),Raw!BK85="NR"),"?",1,AB85*Raw!BH85+Raw!BK85*Numbers!J$1)</f>
        <v>10.15</v>
      </c>
      <c r="AB85" s="130" t="str">
        <f>(Raw!AY85*vlookup(Raw!AX85,Ores[],11,FALSE)+if(isblank(Raw!AZ85),0,Raw!BA85*vlookup(Raw!AZ85,Ores[],11,FALSE))+if(isblank(Raw!BB85),0,Raw!BC85*vlookup(Raw!BB85,Ores[],11,FALSE))+if(isblank(Raw!BD85),0,Raw!BE85*vlookup(Raw!BD85,Ores[],11,FALSE))+if(isblank(Raw!BF85),0,Raw!BG85*vlookup(Raw!BF85,Ores[],11,FALSE)))/Raw!BH85</f>
        <v>#N/A</v>
      </c>
      <c r="AC85" s="130" t="str">
        <f>if(AND(isblank(Raw!BK85),isblank(Raw!BM85),isnumber(Raw!CS85),Raw!CS85&gt;0),if(isnumber(Raw!BL85),Raw!CS85/Raw!BL85,Raw!BL85),)</f>
        <v/>
      </c>
      <c r="AD85" s="130" t="str">
        <f>if(AND(Raw!BK85&gt;0,isblank(Raw!BM85),isnumber(Raw!CS85),Raw!CS85&gt;0),if(isnumber(Raw!BL85),Raw!CS85/Raw!BL85,Raw!BL85),)</f>
        <v/>
      </c>
      <c r="AE85" s="130" t="str">
        <f>if(AND(isblank(Raw!BK85),Raw!BM85&gt;0,isnumber(Raw!CS85),Raw!CS85&gt;0),if(isnumber(Raw!BL85),Raw!CS85/Raw!BL85,Raw!BL85),)</f>
        <v/>
      </c>
      <c r="AF85" s="130">
        <f>if(AND(Raw!BK85&gt;0,Raw!BM85&gt;0,isnumber(Raw!CS85),Raw!CS85&gt;0),if(isnumber(Raw!BL85),Raw!CS85/Raw!BL85,Raw!BL85),)</f>
        <v>0.5517241379</v>
      </c>
      <c r="AG85" s="214" t="str">
        <f>if(AND(isblank(Raw!BK85),Raw!BM85&gt;0,isnumber(Raw!CS85),Raw!CS85&gt;0),Raw!BM85,)</f>
        <v/>
      </c>
      <c r="AH85" s="214" t="str">
        <f t="shared" si="8"/>
        <v/>
      </c>
      <c r="AI85" s="214" t="str">
        <f t="shared" ref="AI85:AK85" si="91">if(AND(AD85&gt;0,isnumber($AB85)),$AB85,)</f>
        <v/>
      </c>
      <c r="AJ85" s="214" t="str">
        <f t="shared" si="91"/>
        <v/>
      </c>
      <c r="AK85" s="214" t="str">
        <f t="shared" si="91"/>
        <v/>
      </c>
      <c r="AL85" s="214" t="str">
        <f>if(AND(Raw!BK85&gt;0,isblank(Raw!BM85),isnumber(Raw!CS85),Raw!CS85&gt;0),Raw!BK85,)</f>
        <v/>
      </c>
      <c r="AM85" s="214">
        <f>if(AND(Raw!BK85&gt;0,Raw!BM85&gt;0,isnumber(Raw!CS85),Raw!CS85&gt;0),Raw!BM85,)</f>
        <v>3.5</v>
      </c>
      <c r="AN85" s="214">
        <f>if(AND(Raw!BK85&gt;0,Raw!BM85&gt;0,isnumber(Raw!CS85),Raw!CS85&gt;0),Raw!BK85,)</f>
        <v>14.5</v>
      </c>
      <c r="AO85" s="214" t="str">
        <f t="array" ref="AO85">if(Raw!H85="Vinland",max(AO$1:indirect("AO"&amp;(row()-1)))+1,)</f>
        <v/>
      </c>
      <c r="AP85" s="214" t="str">
        <f t="array" ref="AP85">if(Raw!H85="Icelandic",max(AP$1:indirect("AP"&amp;(row()-1)))+1,)</f>
        <v/>
      </c>
      <c r="AQ85" s="214" t="str">
        <f t="array" ref="AQ85">if(Raw!H85="Turf-to-Tools",max(AQ$1:indirect("AQ"&amp;(row()-1)))+1,)</f>
        <v/>
      </c>
      <c r="AR85" s="216">
        <f>IFS(OR(iserror(Raw!BP85),iserror(Raw!BQ85)),"NR",OR(Raw!BP85="?",Raw!BQ85="?"),"?",1,(Raw!BP85+Raw!BQ85)*Raw!BH85/100)</f>
        <v>0</v>
      </c>
      <c r="AS85" s="214"/>
      <c r="AT85" s="214"/>
      <c r="AU85" s="214"/>
      <c r="AV85" s="214"/>
      <c r="AW85" s="214"/>
      <c r="AX85" s="214"/>
      <c r="AY85" s="214"/>
    </row>
    <row r="86">
      <c r="A86" s="126">
        <f>Raw!A86</f>
        <v>82</v>
      </c>
      <c r="B86" s="208">
        <f>if(isnumber(O86),if(isblank(Raw!Z86),O86,concatenate(O86," (E)")),"ERROR")</f>
        <v>490.9</v>
      </c>
      <c r="C86" s="174">
        <f>ifs(Raw!S86="NR","NR",isblank(O86),"ERROR",1,O86*Raw!S86)</f>
        <v>34363</v>
      </c>
      <c r="D86" s="209">
        <f>ifs(AND(isnumber(Raw!X86),isnumber(Raw!Y86)),Raw!X86-Raw!Y86, AND(isnumber(Raw!U86),isnumber(Raw!V86)),Raw!U86-Raw!V86,1,)</f>
        <v>10</v>
      </c>
      <c r="E86" s="209">
        <f>IFS(isnumber(Raw!X86),Raw!X86/2,isnumber(Raw!U86),Raw!U86/2,1,)</f>
        <v>12.5</v>
      </c>
      <c r="F86" s="209">
        <f t="shared" si="2"/>
        <v>490.9</v>
      </c>
      <c r="G86" s="209">
        <f>if(and(isnumber(Raw!U86),isnumber(Raw!V86)),round(Raw!U86*Raw!V86,1),)</f>
        <v>600</v>
      </c>
      <c r="H86" s="209">
        <f>if(and(isnumber(Raw!U86),isnumber(Raw!V86)),round(pi()*Raw!U86/2*Raw!V86/2,1),)</f>
        <v>471.2</v>
      </c>
      <c r="I86" s="210">
        <f t="shared" si="3"/>
        <v>307.5438708</v>
      </c>
      <c r="J86" s="209">
        <f t="shared" si="4"/>
        <v>541.3</v>
      </c>
      <c r="K86" s="209">
        <f t="shared" si="5"/>
        <v>526.7</v>
      </c>
      <c r="L86" s="209">
        <f t="shared" si="6"/>
        <v>517.8</v>
      </c>
      <c r="M86" s="209">
        <f t="shared" si="7"/>
        <v>511.8</v>
      </c>
      <c r="N86" s="210">
        <f>if(and(isnumber(Raw!U86),isnumber(Raw!V86),isnumber(Raw!W86)),0.5*Pi()*(Raw!V86/2)^2+(Raw!W86*(Raw!U86-0.5*Raw!V86))+2*((Raw!V86-Raw!W86)/2*(Raw!U86-0.5*Raw!V86)),)</f>
        <v>557.0796327</v>
      </c>
      <c r="O86" s="174">
        <f>ifs(Raw!M86="Rectangle",G86,Raw!M86="Cut-teardrop",N86,Raw!M86="Oval",H86,Raw!M86="Flat Circle",I86,Raw!M86="Oval to Circle",F86,Raw!M86="Circle",F86,AND(Raw!M86="Circle to Oval",isnumber(Raw!X86),isblank(Raw!Z86)),F86,Raw!M86="Hexagon",J86,Raw!M86="Septagon",K86,Raw!M86="Octagon",L86,Raw!M86="Nonagon",M86)</f>
        <v>490.9</v>
      </c>
      <c r="Q86" s="211">
        <f>if(AND(isnumber(Raw!BW86),isnumber(Raw!CJ86)),Raw!BW86+Raw!CJ86,Raw!CE86)</f>
        <v>619</v>
      </c>
      <c r="R86" s="126">
        <f>if(isnumber(Raw!CE86),Raw!CE86,)</f>
        <v>239</v>
      </c>
      <c r="S86" s="144">
        <f>if(isblank(Raw!AT86),Raw!AS86,Raw!AT86)</f>
        <v>900</v>
      </c>
      <c r="T86" s="145"/>
      <c r="U86" s="212">
        <f>ifs(istext(Raw!AT86),Raw!AT86,AND(Raw!AT86&gt;0,isblank(Raw!AS86)),Raw!AT86,1,Raw!AS86)</f>
        <v>900</v>
      </c>
      <c r="V86" s="144"/>
      <c r="W86" s="130"/>
      <c r="Y86" s="125" t="s">
        <v>123</v>
      </c>
      <c r="Z86" s="125" t="s">
        <v>123</v>
      </c>
      <c r="AA86" s="213">
        <f>ifs(AND(Raw!BH86=0,Raw!BK86&gt;0),Raw!BK86*Numbers!J$1,OR(iserror(AB86),Raw!BK86="NR"),"?",1,AB86*Raw!BH86+Raw!BK86*Numbers!J$1)</f>
        <v>15.06095915</v>
      </c>
      <c r="AB86" s="130">
        <f>(Raw!AY86*vlookup(Raw!AX86,Ores[],11,FALSE)+if(isblank(Raw!AZ86),0,Raw!BA86*vlookup(Raw!AZ86,Ores[],11,FALSE))+if(isblank(Raw!BB86),0,Raw!BC86*vlookup(Raw!BB86,Ores[],11,FALSE))+if(isblank(Raw!BD86),0,Raw!BE86*vlookup(Raw!BD86,Ores[],11,FALSE))+if(isblank(Raw!BF86),0,Raw!BG86*vlookup(Raw!BF86,Ores[],11,FALSE)))/Raw!BH86</f>
        <v>0.5726600436</v>
      </c>
      <c r="AC86" s="130" t="str">
        <f>if(AND(isblank(Raw!BK86),isblank(Raw!BM86),isnumber(Raw!CS86),Raw!CS86&gt;0),if(isnumber(Raw!BL86),Raw!CS86/Raw!BL86,Raw!BL86),)</f>
        <v/>
      </c>
      <c r="AD86" s="130" t="str">
        <f>if(AND(Raw!BK86&gt;0,isblank(Raw!BM86),isnumber(Raw!CS86),Raw!CS86&gt;0),if(isnumber(Raw!BL86),Raw!CS86/Raw!BL86,Raw!BL86),)</f>
        <v/>
      </c>
      <c r="AE86" s="130">
        <f>if(AND(isblank(Raw!BK86),Raw!BM86&gt;0,isnumber(Raw!CS86),Raw!CS86&gt;0),if(isnumber(Raw!BL86),Raw!CS86/Raw!BL86,Raw!BL86),)</f>
        <v>0.2673003802</v>
      </c>
      <c r="AF86" s="130" t="str">
        <f>if(AND(Raw!BK86&gt;0,Raw!BM86&gt;0,isnumber(Raw!CS86),Raw!CS86&gt;0),if(isnumber(Raw!BL86),Raw!CS86/Raw!BL86,Raw!BL86),)</f>
        <v/>
      </c>
      <c r="AG86" s="214">
        <f>if(AND(isblank(Raw!BK86),Raw!BM86&gt;0,isnumber(Raw!CS86),Raw!CS86&gt;0),Raw!BM86,)</f>
        <v>2.8</v>
      </c>
      <c r="AH86" s="214" t="str">
        <f t="shared" si="8"/>
        <v/>
      </c>
      <c r="AI86" s="214" t="str">
        <f t="shared" ref="AI86:AK86" si="92">if(AND(AD86&gt;0,isnumber($AB86)),$AB86,)</f>
        <v/>
      </c>
      <c r="AJ86" s="215">
        <f t="shared" si="92"/>
        <v>0.5726600436</v>
      </c>
      <c r="AK86" s="214" t="str">
        <f t="shared" si="92"/>
        <v/>
      </c>
      <c r="AL86" s="214" t="str">
        <f>if(AND(Raw!BK86&gt;0,isblank(Raw!BM86),isnumber(Raw!CS86),Raw!CS86&gt;0),Raw!BK86,)</f>
        <v/>
      </c>
      <c r="AM86" s="214" t="str">
        <f>if(AND(Raw!BK86&gt;0,Raw!BM86&gt;0,isnumber(Raw!CS86),Raw!CS86&gt;0),Raw!BM86,)</f>
        <v/>
      </c>
      <c r="AN86" s="214" t="str">
        <f>if(AND(Raw!BK86&gt;0,Raw!BM86&gt;0,isnumber(Raw!CS86),Raw!CS86&gt;0),Raw!BK86,)</f>
        <v/>
      </c>
      <c r="AO86" s="214" t="str">
        <f t="array" ref="AO86">if(Raw!H86="Vinland",max(AO$1:indirect("AO"&amp;(row()-1)))+1,)</f>
        <v/>
      </c>
      <c r="AP86" s="214" t="str">
        <f t="array" ref="AP86">if(Raw!H86="Icelandic",max(AP$1:indirect("AP"&amp;(row()-1)))+1,)</f>
        <v/>
      </c>
      <c r="AQ86" s="214" t="str">
        <f t="array" ref="AQ86">if(Raw!H86="Turf-to-Tools",max(AQ$1:indirect("AQ"&amp;(row()-1)))+1,)</f>
        <v/>
      </c>
      <c r="AR86" s="216">
        <f>IFS(OR(iserror(Raw!BP86),iserror(Raw!BQ86)),"NR",OR(Raw!BP86="?",Raw!BQ86="?"),"?",1,(Raw!BP86+Raw!BQ86)*Raw!BH86/100)</f>
        <v>1.586144516</v>
      </c>
      <c r="AS86" s="214"/>
      <c r="AT86" s="214"/>
      <c r="AU86" s="214"/>
      <c r="AV86" s="214"/>
      <c r="AW86" s="214"/>
      <c r="AX86" s="214"/>
      <c r="AY86" s="214"/>
    </row>
    <row r="87">
      <c r="A87" s="126">
        <f>Raw!A87</f>
        <v>83</v>
      </c>
      <c r="B87" s="208">
        <f>if(isnumber(O87),if(isblank(Raw!Z87),O87,concatenate(O87," (E)")),"ERROR")</f>
        <v>490.9</v>
      </c>
      <c r="C87" s="174">
        <f>ifs(Raw!S87="NR","NR",isblank(O87),"ERROR",1,O87*Raw!S87)</f>
        <v>34363</v>
      </c>
      <c r="D87" s="209">
        <f>ifs(AND(isnumber(Raw!X87),isnumber(Raw!Y87)),Raw!X87-Raw!Y87, AND(isnumber(Raw!U87),isnumber(Raw!V87)),Raw!U87-Raw!V87,1,)</f>
        <v>10</v>
      </c>
      <c r="E87" s="209">
        <f>IFS(isnumber(Raw!X87),Raw!X87/2,isnumber(Raw!U87),Raw!U87/2,1,)</f>
        <v>12.5</v>
      </c>
      <c r="F87" s="209">
        <f t="shared" si="2"/>
        <v>490.9</v>
      </c>
      <c r="G87" s="209">
        <f>if(and(isnumber(Raw!U87),isnumber(Raw!V87)),round(Raw!U87*Raw!V87,1),)</f>
        <v>600</v>
      </c>
      <c r="H87" s="209">
        <f>if(and(isnumber(Raw!U87),isnumber(Raw!V87)),round(pi()*Raw!U87/2*Raw!V87/2,1),)</f>
        <v>471.2</v>
      </c>
      <c r="I87" s="210">
        <f t="shared" si="3"/>
        <v>307.5438708</v>
      </c>
      <c r="J87" s="209">
        <f t="shared" si="4"/>
        <v>541.3</v>
      </c>
      <c r="K87" s="209">
        <f t="shared" si="5"/>
        <v>526.7</v>
      </c>
      <c r="L87" s="209">
        <f t="shared" si="6"/>
        <v>517.8</v>
      </c>
      <c r="M87" s="209">
        <f t="shared" si="7"/>
        <v>511.8</v>
      </c>
      <c r="N87" s="210">
        <f>if(and(isnumber(Raw!U87),isnumber(Raw!V87),isnumber(Raw!W87)),0.5*Pi()*(Raw!V87/2)^2+(Raw!W87*(Raw!U87-0.5*Raw!V87))+2*((Raw!V87-Raw!W87)/2*(Raw!U87-0.5*Raw!V87)),)</f>
        <v>557.0796327</v>
      </c>
      <c r="O87" s="174">
        <f>ifs(Raw!M87="Rectangle",G87,Raw!M87="Cut-teardrop",N87,Raw!M87="Oval",H87,Raw!M87="Flat Circle",I87,Raw!M87="Oval to Circle",F87,Raw!M87="Circle",F87,AND(Raw!M87="Circle to Oval",isnumber(Raw!X87),isblank(Raw!Z87)),F87,Raw!M87="Hexagon",J87,Raw!M87="Septagon",K87,Raw!M87="Octagon",L87,Raw!M87="Nonagon",M87)</f>
        <v>490.9</v>
      </c>
      <c r="Q87" s="211">
        <f>if(AND(isnumber(Raw!BW87),isnumber(Raw!CJ87)),Raw!BW87+Raw!CJ87,Raw!CE87)</f>
        <v>394</v>
      </c>
      <c r="R87" s="126">
        <f>if(isnumber(Raw!CE87),Raw!CE87,)</f>
        <v>190</v>
      </c>
      <c r="S87" s="144">
        <f>if(isblank(Raw!AT87),Raw!AS87,Raw!AT87)</f>
        <v>1000</v>
      </c>
      <c r="T87" s="145"/>
      <c r="U87" s="212">
        <f>ifs(istext(Raw!AT87),Raw!AT87,AND(Raw!AT87&gt;0,isblank(Raw!AS87)),Raw!AT87,1,Raw!AS87)</f>
        <v>1000</v>
      </c>
      <c r="V87" s="144"/>
      <c r="W87" s="130"/>
      <c r="Y87" s="125" t="s">
        <v>123</v>
      </c>
      <c r="Z87" s="125" t="s">
        <v>123</v>
      </c>
      <c r="AA87" s="213">
        <f>ifs(AND(Raw!BH87=0,Raw!BK87&gt;0),Raw!BK87*Numbers!J$1,OR(iserror(AB87),Raw!BK87="NR"),"?",1,AB87*Raw!BH87+Raw!BK87*Numbers!J$1)</f>
        <v>15.00369314</v>
      </c>
      <c r="AB87" s="130">
        <f>(Raw!AY87*vlookup(Raw!AX87,Ores[],11,FALSE)+if(isblank(Raw!AZ87),0,Raw!BA87*vlookup(Raw!AZ87,Ores[],11,FALSE))+if(isblank(Raw!BB87),0,Raw!BC87*vlookup(Raw!BB87,Ores[],11,FALSE))+if(isblank(Raw!BD87),0,Raw!BE87*vlookup(Raw!BD87,Ores[],11,FALSE))+if(isblank(Raw!BF87),0,Raw!BG87*vlookup(Raw!BF87,Ores[],11,FALSE)))/Raw!BH87</f>
        <v>0.5726600436</v>
      </c>
      <c r="AC87" s="130">
        <f>if(AND(isblank(Raw!BK87),isblank(Raw!BM87),isnumber(Raw!CS87),Raw!CS87&gt;0),if(isnumber(Raw!BL87),Raw!CS87/Raw!BL87,Raw!BL87),)</f>
        <v>0.2404580153</v>
      </c>
      <c r="AD87" s="130" t="str">
        <f>if(AND(Raw!BK87&gt;0,isblank(Raw!BM87),isnumber(Raw!CS87),Raw!CS87&gt;0),if(isnumber(Raw!BL87),Raw!CS87/Raw!BL87,Raw!BL87),)</f>
        <v/>
      </c>
      <c r="AE87" s="130" t="str">
        <f>if(AND(isblank(Raw!BK87),Raw!BM87&gt;0,isnumber(Raw!CS87),Raw!CS87&gt;0),if(isnumber(Raw!BL87),Raw!CS87/Raw!BL87,Raw!BL87),)</f>
        <v/>
      </c>
      <c r="AF87" s="130" t="str">
        <f>if(AND(Raw!BK87&gt;0,Raw!BM87&gt;0,isnumber(Raw!CS87),Raw!CS87&gt;0),if(isnumber(Raw!BL87),Raw!CS87/Raw!BL87,Raw!BL87),)</f>
        <v/>
      </c>
      <c r="AG87" s="214" t="str">
        <f>if(AND(isblank(Raw!BK87),Raw!BM87&gt;0,isnumber(Raw!CS87),Raw!CS87&gt;0),Raw!BM87,)</f>
        <v/>
      </c>
      <c r="AH87" s="215">
        <f t="shared" si="8"/>
        <v>0.5726600436</v>
      </c>
      <c r="AI87" s="214" t="str">
        <f t="shared" ref="AI87:AK87" si="93">if(AND(AD87&gt;0,isnumber($AB87)),$AB87,)</f>
        <v/>
      </c>
      <c r="AJ87" s="214" t="str">
        <f t="shared" si="93"/>
        <v/>
      </c>
      <c r="AK87" s="214" t="str">
        <f t="shared" si="93"/>
        <v/>
      </c>
      <c r="AL87" s="214" t="str">
        <f>if(AND(Raw!BK87&gt;0,isblank(Raw!BM87),isnumber(Raw!CS87),Raw!CS87&gt;0),Raw!BK87,)</f>
        <v/>
      </c>
      <c r="AM87" s="214" t="str">
        <f>if(AND(Raw!BK87&gt;0,Raw!BM87&gt;0,isnumber(Raw!CS87),Raw!CS87&gt;0),Raw!BM87,)</f>
        <v/>
      </c>
      <c r="AN87" s="214" t="str">
        <f>if(AND(Raw!BK87&gt;0,Raw!BM87&gt;0,isnumber(Raw!CS87),Raw!CS87&gt;0),Raw!BK87,)</f>
        <v/>
      </c>
      <c r="AO87" s="214" t="str">
        <f t="array" ref="AO87">if(Raw!H87="Vinland",max(AO$1:indirect("AO"&amp;(row()-1)))+1,)</f>
        <v/>
      </c>
      <c r="AP87" s="214" t="str">
        <f t="array" ref="AP87">if(Raw!H87="Icelandic",max(AP$1:indirect("AP"&amp;(row()-1)))+1,)</f>
        <v/>
      </c>
      <c r="AQ87" s="214" t="str">
        <f t="array" ref="AQ87">if(Raw!H87="Turf-to-Tools",max(AQ$1:indirect("AQ"&amp;(row()-1)))+1,)</f>
        <v/>
      </c>
      <c r="AR87" s="216">
        <f>IFS(OR(iserror(Raw!BP87),iserror(Raw!BQ87)),"NR",OR(Raw!BP87="?",Raw!BQ87="?"),"?",1,(Raw!BP87+Raw!BQ87)*Raw!BH87/100)</f>
        <v>1.580113548</v>
      </c>
      <c r="AS87" s="214"/>
      <c r="AT87" s="214"/>
      <c r="AU87" s="214"/>
      <c r="AV87" s="214"/>
      <c r="AW87" s="214"/>
      <c r="AX87" s="214"/>
      <c r="AY87" s="214"/>
    </row>
    <row r="88">
      <c r="A88" s="126">
        <f>Raw!A88</f>
        <v>84</v>
      </c>
      <c r="B88" s="208">
        <f>if(isnumber(O88),if(isblank(Raw!Z88),O88,concatenate(O88," (E)")),"ERROR")</f>
        <v>490.9</v>
      </c>
      <c r="C88" s="174">
        <f>ifs(Raw!S88="NR","NR",isblank(O88),"ERROR",1,O88*Raw!S88)</f>
        <v>34363</v>
      </c>
      <c r="D88" s="209">
        <f>ifs(AND(isnumber(Raw!X88),isnumber(Raw!Y88)),Raw!X88-Raw!Y88, AND(isnumber(Raw!U88),isnumber(Raw!V88)),Raw!U88-Raw!V88,1,)</f>
        <v>10</v>
      </c>
      <c r="E88" s="209">
        <f>IFS(isnumber(Raw!X88),Raw!X88/2,isnumber(Raw!U88),Raw!U88/2,1,)</f>
        <v>12.5</v>
      </c>
      <c r="F88" s="209">
        <f t="shared" si="2"/>
        <v>490.9</v>
      </c>
      <c r="G88" s="209">
        <f>if(and(isnumber(Raw!U88),isnumber(Raw!V88)),round(Raw!U88*Raw!V88,1),)</f>
        <v>600</v>
      </c>
      <c r="H88" s="209">
        <f>if(and(isnumber(Raw!U88),isnumber(Raw!V88)),round(pi()*Raw!U88/2*Raw!V88/2,1),)</f>
        <v>471.2</v>
      </c>
      <c r="I88" s="210">
        <f t="shared" si="3"/>
        <v>307.5438708</v>
      </c>
      <c r="J88" s="209">
        <f t="shared" si="4"/>
        <v>541.3</v>
      </c>
      <c r="K88" s="209">
        <f t="shared" si="5"/>
        <v>526.7</v>
      </c>
      <c r="L88" s="209">
        <f t="shared" si="6"/>
        <v>517.8</v>
      </c>
      <c r="M88" s="209">
        <f t="shared" si="7"/>
        <v>511.8</v>
      </c>
      <c r="N88" s="210">
        <f>if(and(isnumber(Raw!U88),isnumber(Raw!V88),isnumber(Raw!W88)),0.5*Pi()*(Raw!V88/2)^2+(Raw!W88*(Raw!U88-0.5*Raw!V88))+2*((Raw!V88-Raw!W88)/2*(Raw!U88-0.5*Raw!V88)),)</f>
        <v>557.0796327</v>
      </c>
      <c r="O88" s="174">
        <f>ifs(Raw!M88="Rectangle",G88,Raw!M88="Cut-teardrop",N88,Raw!M88="Oval",H88,Raw!M88="Flat Circle",I88,Raw!M88="Oval to Circle",F88,Raw!M88="Circle",F88,AND(Raw!M88="Circle to Oval",isnumber(Raw!X88),isblank(Raw!Z88)),F88,Raw!M88="Hexagon",J88,Raw!M88="Septagon",K88,Raw!M88="Octagon",L88,Raw!M88="Nonagon",M88)</f>
        <v>490.9</v>
      </c>
      <c r="Q88" s="211">
        <f>if(AND(isnumber(Raw!BW88),isnumber(Raw!CJ88)),Raw!BW88+Raw!CJ88,Raw!CE88)</f>
        <v>208</v>
      </c>
      <c r="R88" s="126">
        <f>if(isnumber(Raw!CE88),Raw!CE88,)</f>
        <v>208</v>
      </c>
      <c r="S88" s="144">
        <f>if(isblank(Raw!AT88),Raw!AS88,Raw!AT88)</f>
        <v>1000</v>
      </c>
      <c r="T88" s="145"/>
      <c r="U88" s="212">
        <f>ifs(istext(Raw!AT88),Raw!AT88,AND(Raw!AT88&gt;0,isblank(Raw!AS88)),Raw!AT88,1,Raw!AS88)</f>
        <v>1000</v>
      </c>
      <c r="V88" s="144"/>
      <c r="W88" s="130"/>
      <c r="Y88" s="125" t="s">
        <v>123</v>
      </c>
      <c r="Z88" s="125" t="s">
        <v>123</v>
      </c>
      <c r="AA88" s="213">
        <f>ifs(AND(Raw!BH88=0,Raw!BK88&gt;0),Raw!BK88*Numbers!J$1,OR(iserror(AB88),Raw!BK88="NR"),"?",1,AB88*Raw!BH88+Raw!BK88*Numbers!J$1)</f>
        <v>14.88916113</v>
      </c>
      <c r="AB88" s="130">
        <f>(Raw!AY88*vlookup(Raw!AX88,Ores[],11,FALSE)+if(isblank(Raw!AZ88),0,Raw!BA88*vlookup(Raw!AZ88,Ores[],11,FALSE))+if(isblank(Raw!BB88),0,Raw!BC88*vlookup(Raw!BB88,Ores[],11,FALSE))+if(isblank(Raw!BD88),0,Raw!BE88*vlookup(Raw!BD88,Ores[],11,FALSE))+if(isblank(Raw!BF88),0,Raw!BG88*vlookup(Raw!BF88,Ores[],11,FALSE)))/Raw!BH88</f>
        <v>0.5726600436</v>
      </c>
      <c r="AC88" s="130">
        <f>if(AND(isblank(Raw!BK88),isblank(Raw!BM88),isnumber(Raw!CS88),Raw!CS88&gt;0),if(isnumber(Raw!BL88),Raw!CS88/Raw!BL88,Raw!BL88),)</f>
        <v>0.2615384615</v>
      </c>
      <c r="AD88" s="130" t="str">
        <f>if(AND(Raw!BK88&gt;0,isblank(Raw!BM88),isnumber(Raw!CS88),Raw!CS88&gt;0),if(isnumber(Raw!BL88),Raw!CS88/Raw!BL88,Raw!BL88),)</f>
        <v/>
      </c>
      <c r="AE88" s="130" t="str">
        <f>if(AND(isblank(Raw!BK88),Raw!BM88&gt;0,isnumber(Raw!CS88),Raw!CS88&gt;0),if(isnumber(Raw!BL88),Raw!CS88/Raw!BL88,Raw!BL88),)</f>
        <v/>
      </c>
      <c r="AF88" s="130" t="str">
        <f>if(AND(Raw!BK88&gt;0,Raw!BM88&gt;0,isnumber(Raw!CS88),Raw!CS88&gt;0),if(isnumber(Raw!BL88),Raw!CS88/Raw!BL88,Raw!BL88),)</f>
        <v/>
      </c>
      <c r="AG88" s="214" t="str">
        <f>if(AND(isblank(Raw!BK88),Raw!BM88&gt;0,isnumber(Raw!CS88),Raw!CS88&gt;0),Raw!BM88,)</f>
        <v/>
      </c>
      <c r="AH88" s="215">
        <f t="shared" si="8"/>
        <v>0.5726600436</v>
      </c>
      <c r="AI88" s="214" t="str">
        <f t="shared" ref="AI88:AK88" si="94">if(AND(AD88&gt;0,isnumber($AB88)),$AB88,)</f>
        <v/>
      </c>
      <c r="AJ88" s="214" t="str">
        <f t="shared" si="94"/>
        <v/>
      </c>
      <c r="AK88" s="214" t="str">
        <f t="shared" si="94"/>
        <v/>
      </c>
      <c r="AL88" s="214" t="str">
        <f>if(AND(Raw!BK88&gt;0,isblank(Raw!BM88),isnumber(Raw!CS88),Raw!CS88&gt;0),Raw!BK88,)</f>
        <v/>
      </c>
      <c r="AM88" s="214" t="str">
        <f>if(AND(Raw!BK88&gt;0,Raw!BM88&gt;0,isnumber(Raw!CS88),Raw!CS88&gt;0),Raw!BM88,)</f>
        <v/>
      </c>
      <c r="AN88" s="214" t="str">
        <f>if(AND(Raw!BK88&gt;0,Raw!BM88&gt;0,isnumber(Raw!CS88),Raw!CS88&gt;0),Raw!BK88,)</f>
        <v/>
      </c>
      <c r="AO88" s="214" t="str">
        <f t="array" ref="AO88">if(Raw!H88="Vinland",max(AO$1:indirect("AO"&amp;(row()-1)))+1,)</f>
        <v/>
      </c>
      <c r="AP88" s="214" t="str">
        <f t="array" ref="AP88">if(Raw!H88="Icelandic",max(AP$1:indirect("AP"&amp;(row()-1)))+1,)</f>
        <v/>
      </c>
      <c r="AQ88" s="214" t="str">
        <f t="array" ref="AQ88">if(Raw!H88="Turf-to-Tools",max(AQ$1:indirect("AQ"&amp;(row()-1)))+1,)</f>
        <v/>
      </c>
      <c r="AR88" s="216">
        <f>IFS(OR(iserror(Raw!BP88),iserror(Raw!BQ88)),"NR",OR(Raw!BP88="?",Raw!BQ88="?"),"?",1,(Raw!BP88+Raw!BQ88)*Raw!BH88/100)</f>
        <v>1.568051613</v>
      </c>
      <c r="AS88" s="214"/>
      <c r="AT88" s="214"/>
      <c r="AU88" s="214"/>
      <c r="AV88" s="214"/>
      <c r="AW88" s="214"/>
      <c r="AX88" s="214"/>
      <c r="AY88" s="214"/>
    </row>
    <row r="89">
      <c r="A89" s="126" t="str">
        <f>Raw!A89</f>
        <v>85 / D31</v>
      </c>
      <c r="B89" s="208">
        <f>if(isnumber(O89),if(isblank(Raw!Z89),O89,concatenate(O89," (E)")),"ERROR")</f>
        <v>615.8</v>
      </c>
      <c r="C89" s="174">
        <f>ifs(Raw!S89="NR","NR",isblank(O89),"ERROR",1,O89*Raw!S89)</f>
        <v>27711</v>
      </c>
      <c r="D89" s="209" t="str">
        <f>ifs(AND(isnumber(Raw!X89),isnumber(Raw!Y89)),Raw!X89-Raw!Y89, AND(isnumber(Raw!U89),isnumber(Raw!V89)),Raw!U89-Raw!V89,1,)</f>
        <v/>
      </c>
      <c r="E89" s="209">
        <f>IFS(isnumber(Raw!X89),Raw!X89/2,isnumber(Raw!U89),Raw!U89/2,1,)</f>
        <v>14</v>
      </c>
      <c r="F89" s="209">
        <f t="shared" si="2"/>
        <v>615.8</v>
      </c>
      <c r="G89" s="209" t="str">
        <f>if(and(isnumber(Raw!U89),isnumber(Raw!V89)),round(Raw!U89*Raw!V89,1),)</f>
        <v/>
      </c>
      <c r="H89" s="209" t="str">
        <f>if(and(isnumber(Raw!U89),isnumber(Raw!V89)),round(pi()*Raw!U89/2*Raw!V89/2,1),)</f>
        <v/>
      </c>
      <c r="I89" s="210">
        <f t="shared" si="3"/>
        <v>615.8</v>
      </c>
      <c r="J89" s="209">
        <f t="shared" si="4"/>
        <v>679</v>
      </c>
      <c r="K89" s="209">
        <f t="shared" si="5"/>
        <v>660.7</v>
      </c>
      <c r="L89" s="209">
        <f t="shared" si="6"/>
        <v>649.5</v>
      </c>
      <c r="M89" s="209">
        <f t="shared" si="7"/>
        <v>642</v>
      </c>
      <c r="N89" s="210" t="str">
        <f>if(and(isnumber(Raw!U89),isnumber(Raw!V89),isnumber(Raw!W89)),0.5*Pi()*(Raw!V89/2)^2+(Raw!W89*(Raw!U89-0.5*Raw!V89))+2*((Raw!V89-Raw!W89)/2*(Raw!U89-0.5*Raw!V89)),)</f>
        <v/>
      </c>
      <c r="O89" s="174">
        <f>ifs(Raw!M89="Rectangle",G89,Raw!M89="Cut-teardrop",N89,Raw!M89="Oval",H89,Raw!M89="Flat Circle",I89,Raw!M89="Oval to Circle",F89,Raw!M89="Circle",F89,AND(Raw!M89="Circle to Oval",isnumber(Raw!X89),isblank(Raw!Z89)),F89,Raw!M89="Hexagon",J89,Raw!M89="Septagon",K89,Raw!M89="Octagon",L89,Raw!M89="Nonagon",M89)</f>
        <v>615.8</v>
      </c>
      <c r="Q89" s="211">
        <f>if(AND(isnumber(Raw!BW89),isnumber(Raw!CJ89)),Raw!BW89+Raw!CJ89,Raw!CE89)</f>
        <v>479</v>
      </c>
      <c r="R89" s="126">
        <f>if(isnumber(Raw!CE89),Raw!CE89,)</f>
        <v>188</v>
      </c>
      <c r="S89" s="144">
        <f>if(isblank(Raw!AT89),Raw!AS89,Raw!AT89)</f>
        <v>950</v>
      </c>
      <c r="T89" s="145"/>
      <c r="U89" s="212">
        <f>ifs(istext(Raw!AT89),Raw!AT89,AND(Raw!AT89&gt;0,isblank(Raw!AS89)),Raw!AT89,1,Raw!AS89)</f>
        <v>1000</v>
      </c>
      <c r="V89" s="144"/>
      <c r="W89" s="130"/>
      <c r="Y89" s="125" t="s">
        <v>123</v>
      </c>
      <c r="Z89" s="125" t="s">
        <v>123</v>
      </c>
      <c r="AA89" s="213">
        <f>ifs(AND(Raw!BH89=0,Raw!BK89&gt;0),Raw!BK89*Numbers!J$1,OR(iserror(AB89),Raw!BK89="NR"),"?",1,AB89*Raw!BH89+Raw!BK89*Numbers!J$1)</f>
        <v>14.4065867</v>
      </c>
      <c r="AB89" s="130">
        <f>(Raw!AY89*vlookup(Raw!AX89,Ores[],11,FALSE)+if(isblank(Raw!AZ89),0,Raw!BA89*vlookup(Raw!AZ89,Ores[],11,FALSE))+if(isblank(Raw!BB89),0,Raw!BC89*vlookup(Raw!BB89,Ores[],11,FALSE))+if(isblank(Raw!BD89),0,Raw!BE89*vlookup(Raw!BD89,Ores[],11,FALSE))+if(isblank(Raw!BF89),0,Raw!BG89*vlookup(Raw!BF89,Ores[],11,FALSE)))/Raw!BH89</f>
        <v>0.5482634678</v>
      </c>
      <c r="AC89" s="130" t="str">
        <f>if(AND(isblank(Raw!BK89),isblank(Raw!BM89),isnumber(Raw!CS89),Raw!CS89&gt;0),if(isnumber(Raw!BL89),Raw!CS89/Raw!BL89,Raw!BL89),)</f>
        <v/>
      </c>
      <c r="AD89" s="130" t="str">
        <f>if(AND(Raw!BK89&gt;0,isblank(Raw!BM89),isnumber(Raw!CS89),Raw!CS89&gt;0),if(isnumber(Raw!BL89),Raw!CS89/Raw!BL89,Raw!BL89),)</f>
        <v/>
      </c>
      <c r="AE89" s="130" t="str">
        <f>if(AND(isblank(Raw!BK89),Raw!BM89&gt;0,isnumber(Raw!CS89),Raw!CS89&gt;0),if(isnumber(Raw!BL89),Raw!CS89/Raw!BL89,Raw!BL89),)</f>
        <v/>
      </c>
      <c r="AF89" s="130">
        <f>if(AND(Raw!BK89&gt;0,Raw!BM89&gt;0,isnumber(Raw!CS89),Raw!CS89&gt;0),if(isnumber(Raw!BL89),Raw!CS89/Raw!BL89,Raw!BL89),)</f>
        <v>0.1</v>
      </c>
      <c r="AG89" s="214" t="str">
        <f>if(AND(isblank(Raw!BK89),Raw!BM89&gt;0,isnumber(Raw!CS89),Raw!CS89&gt;0),Raw!BM89,)</f>
        <v/>
      </c>
      <c r="AH89" s="214" t="str">
        <f t="shared" si="8"/>
        <v/>
      </c>
      <c r="AI89" s="214" t="str">
        <f t="shared" ref="AI89:AK89" si="95">if(AND(AD89&gt;0,isnumber($AB89)),$AB89,)</f>
        <v/>
      </c>
      <c r="AJ89" s="214" t="str">
        <f t="shared" si="95"/>
        <v/>
      </c>
      <c r="AK89" s="215">
        <f t="shared" si="95"/>
        <v>0.5482634678</v>
      </c>
      <c r="AL89" s="214" t="str">
        <f>if(AND(Raw!BK89&gt;0,isblank(Raw!BM89),isnumber(Raw!CS89),Raw!CS89&gt;0),Raw!BK89,)</f>
        <v/>
      </c>
      <c r="AM89" s="214">
        <f>if(AND(Raw!BK89&gt;0,Raw!BM89&gt;0,isnumber(Raw!CS89),Raw!CS89&gt;0),Raw!BM89,)</f>
        <v>4</v>
      </c>
      <c r="AN89" s="214">
        <f>if(AND(Raw!BK89&gt;0,Raw!BM89&gt;0,isnumber(Raw!CS89),Raw!CS89&gt;0),Raw!BK89,)</f>
        <v>1</v>
      </c>
      <c r="AO89" s="214" t="str">
        <f t="array" ref="AO89">if(Raw!H89="Vinland",max(AO$1:indirect("AO"&amp;(row()-1)))+1,)</f>
        <v/>
      </c>
      <c r="AP89" s="214" t="str">
        <f t="array" ref="AP89">if(Raw!H89="Icelandic",max(AP$1:indirect("AP"&amp;(row()-1)))+1,)</f>
        <v/>
      </c>
      <c r="AQ89" s="214" t="str">
        <f t="array" ref="AQ89">if(Raw!H89="Turf-to-Tools",max(AQ$1:indirect("AQ"&amp;(row()-1)))+1,)</f>
        <v/>
      </c>
      <c r="AR89" s="216">
        <f>IFS(OR(iserror(Raw!BP89),iserror(Raw!BQ89)),"NR",OR(Raw!BP89="?",Raw!BQ89="?"),"?",1,(Raw!BP89+Raw!BQ89)*Raw!BH89/100)</f>
        <v>1.838709677</v>
      </c>
      <c r="AS89" s="214"/>
      <c r="AT89" s="214"/>
      <c r="AU89" s="214"/>
      <c r="AV89" s="214"/>
      <c r="AW89" s="214"/>
      <c r="AX89" s="214"/>
      <c r="AY89" s="214"/>
    </row>
    <row r="90">
      <c r="A90" s="126">
        <f>Raw!A90</f>
        <v>86</v>
      </c>
      <c r="B90" s="208">
        <f>if(isnumber(O90),if(isblank(Raw!Z90),O90,concatenate(O90," (E)")),"ERROR")</f>
        <v>490.9</v>
      </c>
      <c r="C90" s="174">
        <f>ifs(Raw!S90="NR","NR",isblank(O90),"ERROR",1,O90*Raw!S90)</f>
        <v>34363</v>
      </c>
      <c r="D90" s="209">
        <f>ifs(AND(isnumber(Raw!X90),isnumber(Raw!Y90)),Raw!X90-Raw!Y90, AND(isnumber(Raw!U90),isnumber(Raw!V90)),Raw!U90-Raw!V90,1,)</f>
        <v>10</v>
      </c>
      <c r="E90" s="209">
        <f>IFS(isnumber(Raw!X90),Raw!X90/2,isnumber(Raw!U90),Raw!U90/2,1,)</f>
        <v>12.5</v>
      </c>
      <c r="F90" s="209">
        <f t="shared" si="2"/>
        <v>490.9</v>
      </c>
      <c r="G90" s="209">
        <f>if(and(isnumber(Raw!U90),isnumber(Raw!V90)),round(Raw!U90*Raw!V90,1),)</f>
        <v>600</v>
      </c>
      <c r="H90" s="209">
        <f>if(and(isnumber(Raw!U90),isnumber(Raw!V90)),round(pi()*Raw!U90/2*Raw!V90/2,1),)</f>
        <v>471.2</v>
      </c>
      <c r="I90" s="210">
        <f t="shared" si="3"/>
        <v>307.5438708</v>
      </c>
      <c r="J90" s="209">
        <f t="shared" si="4"/>
        <v>541.3</v>
      </c>
      <c r="K90" s="209">
        <f t="shared" si="5"/>
        <v>526.7</v>
      </c>
      <c r="L90" s="209">
        <f t="shared" si="6"/>
        <v>517.8</v>
      </c>
      <c r="M90" s="209">
        <f t="shared" si="7"/>
        <v>511.8</v>
      </c>
      <c r="N90" s="210">
        <f>if(and(isnumber(Raw!U90),isnumber(Raw!V90),isnumber(Raw!W90)),0.5*Pi()*(Raw!V90/2)^2+(Raw!W90*(Raw!U90-0.5*Raw!V90))+2*((Raw!V90-Raw!W90)/2*(Raw!U90-0.5*Raw!V90)),)</f>
        <v>557.0796327</v>
      </c>
      <c r="O90" s="174">
        <f>ifs(Raw!M90="Rectangle",G90,Raw!M90="Cut-teardrop",N90,Raw!M90="Oval",H90,Raw!M90="Flat Circle",I90,Raw!M90="Oval to Circle",F90,Raw!M90="Circle",F90,AND(Raw!M90="Circle to Oval",isnumber(Raw!X90),isblank(Raw!Z90)),F90,Raw!M90="Hexagon",J90,Raw!M90="Septagon",K90,Raw!M90="Octagon",L90,Raw!M90="Nonagon",M90)</f>
        <v>490.9</v>
      </c>
      <c r="Q90" s="211">
        <f>if(AND(isnumber(Raw!BW90),isnumber(Raw!CJ90)),Raw!BW90+Raw!CJ90,Raw!CE90)</f>
        <v>223</v>
      </c>
      <c r="R90" s="126">
        <f>if(isnumber(Raw!CE90),Raw!CE90,)</f>
        <v>223</v>
      </c>
      <c r="S90" s="144">
        <f>if(isblank(Raw!AT90),Raw!AS90,Raw!AT90)</f>
        <v>1200</v>
      </c>
      <c r="T90" s="145"/>
      <c r="U90" s="212">
        <f>ifs(istext(Raw!AT90),Raw!AT90,AND(Raw!AT90&gt;0,isblank(Raw!AS90)),Raw!AT90,1,Raw!AS90)</f>
        <v>1200</v>
      </c>
      <c r="V90" s="144"/>
      <c r="W90" s="130"/>
      <c r="Z90" s="125" t="s">
        <v>123</v>
      </c>
      <c r="AA90" s="213">
        <f>ifs(AND(Raw!BH90=0,Raw!BK90&gt;0),Raw!BK90*Numbers!J$1,OR(iserror(AB90),Raw!BK90="NR"),"?",1,AB90*Raw!BH90+Raw!BK90*Numbers!J$1)</f>
        <v>16.24355542</v>
      </c>
      <c r="AB90" s="130">
        <f>(Raw!AY90*vlookup(Raw!AX90,Ores[],11,FALSE)+if(isblank(Raw!AZ90),0,Raw!BA90*vlookup(Raw!AZ90,Ores[],11,FALSE))+if(isblank(Raw!BB90),0,Raw!BC90*vlookup(Raw!BB90,Ores[],11,FALSE))+if(isblank(Raw!BD90),0,Raw!BE90*vlookup(Raw!BD90,Ores[],11,FALSE))+if(isblank(Raw!BF90),0,Raw!BG90*vlookup(Raw!BF90,Ores[],11,FALSE)))/Raw!BH90</f>
        <v>0.569949313</v>
      </c>
      <c r="AC90" s="130" t="str">
        <f>if(AND(isblank(Raw!BK90),isblank(Raw!BM90),isnumber(Raw!CS90),Raw!CS90&gt;0),if(isnumber(Raw!BL90),Raw!CS90/Raw!BL90,Raw!BL90),)</f>
        <v/>
      </c>
      <c r="AD90" s="130" t="str">
        <f>if(AND(Raw!BK90&gt;0,isblank(Raw!BM90),isnumber(Raw!CS90),Raw!CS90&gt;0),if(isnumber(Raw!BL90),Raw!CS90/Raw!BL90,Raw!BL90),)</f>
        <v/>
      </c>
      <c r="AE90" s="130">
        <f>if(AND(isblank(Raw!BK90),Raw!BM90&gt;0,isnumber(Raw!CS90),Raw!CS90&gt;0),if(isnumber(Raw!BL90),Raw!CS90/Raw!BL90,Raw!BL90),)</f>
        <v>0.1929824561</v>
      </c>
      <c r="AF90" s="130" t="str">
        <f>if(AND(Raw!BK90&gt;0,Raw!BM90&gt;0,isnumber(Raw!CS90),Raw!CS90&gt;0),if(isnumber(Raw!BL90),Raw!CS90/Raw!BL90,Raw!BL90),)</f>
        <v/>
      </c>
      <c r="AG90" s="214">
        <f>if(AND(isblank(Raw!BK90),Raw!BM90&gt;0,isnumber(Raw!CS90),Raw!CS90&gt;0),Raw!BM90,)</f>
        <v>4</v>
      </c>
      <c r="AH90" s="214" t="str">
        <f t="shared" si="8"/>
        <v/>
      </c>
      <c r="AI90" s="214" t="str">
        <f t="shared" ref="AI90:AK90" si="96">if(AND(AD90&gt;0,isnumber($AB90)),$AB90,)</f>
        <v/>
      </c>
      <c r="AJ90" s="215">
        <f t="shared" si="96"/>
        <v>0.569949313</v>
      </c>
      <c r="AK90" s="214" t="str">
        <f t="shared" si="96"/>
        <v/>
      </c>
      <c r="AL90" s="214" t="str">
        <f>if(AND(Raw!BK90&gt;0,isblank(Raw!BM90),isnumber(Raw!CS90),Raw!CS90&gt;0),Raw!BK90,)</f>
        <v/>
      </c>
      <c r="AM90" s="214" t="str">
        <f>if(AND(Raw!BK90&gt;0,Raw!BM90&gt;0,isnumber(Raw!CS90),Raw!CS90&gt;0),Raw!BM90,)</f>
        <v/>
      </c>
      <c r="AN90" s="214" t="str">
        <f>if(AND(Raw!BK90&gt;0,Raw!BM90&gt;0,isnumber(Raw!CS90),Raw!CS90&gt;0),Raw!BK90,)</f>
        <v/>
      </c>
      <c r="AO90" s="214" t="str">
        <f t="array" ref="AO90">if(Raw!H90="Vinland",max(AO$1:indirect("AO"&amp;(row()-1)))+1,)</f>
        <v/>
      </c>
      <c r="AP90" s="214" t="str">
        <f t="array" ref="AP90">if(Raw!H90="Icelandic",max(AP$1:indirect("AP"&amp;(row()-1)))+1,)</f>
        <v/>
      </c>
      <c r="AQ90" s="214" t="str">
        <f t="array" ref="AQ90">if(Raw!H90="Turf-to-Tools",max(AQ$1:indirect("AQ"&amp;(row()-1)))+1,)</f>
        <v/>
      </c>
      <c r="AR90" s="216">
        <f>IFS(OR(iserror(Raw!BP90),iserror(Raw!BQ90)),"NR",OR(Raw!BP90="?",Raw!BQ90="?"),"?",1,(Raw!BP90+Raw!BQ90)*Raw!BH90/100)</f>
        <v>1.760748387</v>
      </c>
      <c r="AS90" s="214"/>
      <c r="AT90" s="214"/>
      <c r="AU90" s="214"/>
      <c r="AV90" s="214"/>
      <c r="AW90" s="214"/>
      <c r="AX90" s="214"/>
      <c r="AY90" s="214"/>
    </row>
    <row r="91">
      <c r="A91" s="126" t="str">
        <f>Raw!A91</f>
        <v>87 / D32</v>
      </c>
      <c r="B91" s="208">
        <f>if(isnumber(O91),if(isblank(Raw!Z91),O91,concatenate(O91," (E)")),"ERROR")</f>
        <v>490.9</v>
      </c>
      <c r="C91" s="174">
        <f>ifs(Raw!S91="NR","NR",isblank(O91),"ERROR",1,O91*Raw!S91)</f>
        <v>34363</v>
      </c>
      <c r="D91" s="209">
        <f>ifs(AND(isnumber(Raw!X91),isnumber(Raw!Y91)),Raw!X91-Raw!Y91, AND(isnumber(Raw!U91),isnumber(Raw!V91)),Raw!U91-Raw!V91,1,)</f>
        <v>10</v>
      </c>
      <c r="E91" s="209">
        <f>IFS(isnumber(Raw!X91),Raw!X91/2,isnumber(Raw!U91),Raw!U91/2,1,)</f>
        <v>12.5</v>
      </c>
      <c r="F91" s="209">
        <f t="shared" si="2"/>
        <v>490.9</v>
      </c>
      <c r="G91" s="209">
        <f>if(and(isnumber(Raw!U91),isnumber(Raw!V91)),round(Raw!U91*Raw!V91,1),)</f>
        <v>600</v>
      </c>
      <c r="H91" s="209">
        <f>if(and(isnumber(Raw!U91),isnumber(Raw!V91)),round(pi()*Raw!U91/2*Raw!V91/2,1),)</f>
        <v>471.2</v>
      </c>
      <c r="I91" s="210">
        <f t="shared" si="3"/>
        <v>307.5438708</v>
      </c>
      <c r="J91" s="209">
        <f t="shared" si="4"/>
        <v>541.3</v>
      </c>
      <c r="K91" s="209">
        <f t="shared" si="5"/>
        <v>526.7</v>
      </c>
      <c r="L91" s="209">
        <f t="shared" si="6"/>
        <v>517.8</v>
      </c>
      <c r="M91" s="209">
        <f t="shared" si="7"/>
        <v>511.8</v>
      </c>
      <c r="N91" s="210">
        <f>if(and(isnumber(Raw!U91),isnumber(Raw!V91),isnumber(Raw!W91)),0.5*Pi()*(Raw!V91/2)^2+(Raw!W91*(Raw!U91-0.5*Raw!V91))+2*((Raw!V91-Raw!W91)/2*(Raw!U91-0.5*Raw!V91)),)</f>
        <v>557.0796327</v>
      </c>
      <c r="O91" s="174">
        <f>ifs(Raw!M91="Rectangle",G91,Raw!M91="Cut-teardrop",N91,Raw!M91="Oval",H91,Raw!M91="Flat Circle",I91,Raw!M91="Oval to Circle",F91,Raw!M91="Circle",F91,AND(Raw!M91="Circle to Oval",isnumber(Raw!X91),isblank(Raw!Z91)),F91,Raw!M91="Hexagon",J91,Raw!M91="Septagon",K91,Raw!M91="Octagon",L91,Raw!M91="Nonagon",M91)</f>
        <v>490.9</v>
      </c>
      <c r="Q91" s="211">
        <f>if(AND(isnumber(Raw!BW91),isnumber(Raw!CJ91)),Raw!BW91+Raw!CJ91,Raw!CE91)</f>
        <v>392</v>
      </c>
      <c r="R91" s="126">
        <f>if(isnumber(Raw!CE91),Raw!CE91,)</f>
        <v>392</v>
      </c>
      <c r="S91" s="144">
        <f>if(isblank(Raw!AT91),Raw!AS91,Raw!AT91)</f>
        <v>900</v>
      </c>
      <c r="T91" s="145"/>
      <c r="U91" s="212">
        <f>ifs(istext(Raw!AT91),Raw!AT91,AND(Raw!AT91&gt;0,isblank(Raw!AS91)),Raw!AT91,1,Raw!AS91)</f>
        <v>900</v>
      </c>
      <c r="V91" s="144"/>
      <c r="W91" s="130"/>
      <c r="Y91" s="125" t="s">
        <v>123</v>
      </c>
      <c r="Z91" s="125" t="s">
        <v>123</v>
      </c>
      <c r="AA91" s="213">
        <f>ifs(AND(Raw!BH91=0,Raw!BK91&gt;0),Raw!BK91*Numbers!J$1,OR(iserror(AB91),Raw!BK91="NR"),"?",1,AB91*Raw!BH91+Raw!BK91*Numbers!J$1)</f>
        <v>36.71212422</v>
      </c>
      <c r="AB91" s="130">
        <f>(Raw!AY91*vlookup(Raw!AX91,Ores[],11,FALSE)+if(isblank(Raw!AZ91),0,Raw!BA91*vlookup(Raw!AZ91,Ores[],11,FALSE))+if(isblank(Raw!BB91),0,Raw!BC91*vlookup(Raw!BB91,Ores[],11,FALSE))+if(isblank(Raw!BD91),0,Raw!BE91*vlookup(Raw!BD91,Ores[],11,FALSE))+if(isblank(Raw!BF91),0,Raw!BG91*vlookup(Raw!BF91,Ores[],11,FALSE)))/Raw!BH91</f>
        <v>0.5497799012</v>
      </c>
      <c r="AC91" s="130" t="str">
        <f>if(AND(isblank(Raw!BK91),isblank(Raw!BM91),isnumber(Raw!CS91),Raw!CS91&gt;0),if(isnumber(Raw!BL91),Raw!CS91/Raw!BL91,Raw!BL91),)</f>
        <v/>
      </c>
      <c r="AD91" s="130" t="str">
        <f>if(AND(Raw!BK91&gt;0,isblank(Raw!BM91),isnumber(Raw!CS91),Raw!CS91&gt;0),if(isnumber(Raw!BL91),Raw!CS91/Raw!BL91,Raw!BL91),)</f>
        <v/>
      </c>
      <c r="AE91" s="130" t="str">
        <f>if(AND(isblank(Raw!BK91),Raw!BM91&gt;0,isnumber(Raw!CS91),Raw!CS91&gt;0),if(isnumber(Raw!BL91),Raw!CS91/Raw!BL91,Raw!BL91),)</f>
        <v/>
      </c>
      <c r="AF91" s="130">
        <f>if(AND(Raw!BK91&gt;0,Raw!BM91&gt;0,isnumber(Raw!CS91),Raw!CS91&gt;0),if(isnumber(Raw!BL91),Raw!CS91/Raw!BL91,Raw!BL91),)</f>
        <v>0.2446153846</v>
      </c>
      <c r="AG91" s="214" t="str">
        <f>if(AND(isblank(Raw!BK91),Raw!BM91&gt;0,isnumber(Raw!CS91),Raw!CS91&gt;0),Raw!BM91,)</f>
        <v/>
      </c>
      <c r="AH91" s="214" t="str">
        <f t="shared" si="8"/>
        <v/>
      </c>
      <c r="AI91" s="214" t="str">
        <f t="shared" ref="AI91:AK91" si="97">if(AND(AD91&gt;0,isnumber($AB91)),$AB91,)</f>
        <v/>
      </c>
      <c r="AJ91" s="214" t="str">
        <f t="shared" si="97"/>
        <v/>
      </c>
      <c r="AK91" s="215">
        <f t="shared" si="97"/>
        <v>0.5497799012</v>
      </c>
      <c r="AL91" s="214" t="str">
        <f>if(AND(Raw!BK91&gt;0,isblank(Raw!BM91),isnumber(Raw!CS91),Raw!CS91&gt;0),Raw!BK91,)</f>
        <v/>
      </c>
      <c r="AM91" s="214">
        <f>if(AND(Raw!BK91&gt;0,Raw!BM91&gt;0,isnumber(Raw!CS91),Raw!CS91&gt;0),Raw!BM91,)</f>
        <v>3</v>
      </c>
      <c r="AN91" s="214">
        <f>if(AND(Raw!BK91&gt;0,Raw!BM91&gt;0,isnumber(Raw!CS91),Raw!CS91&gt;0),Raw!BK91,)</f>
        <v>6.5</v>
      </c>
      <c r="AO91" s="214" t="str">
        <f t="array" ref="AO91">if(Raw!H91="Vinland",max(AO$1:indirect("AO"&amp;(row()-1)))+1,)</f>
        <v/>
      </c>
      <c r="AP91" s="214" t="str">
        <f t="array" ref="AP91">if(Raw!H91="Icelandic",max(AP$1:indirect("AP"&amp;(row()-1)))+1,)</f>
        <v/>
      </c>
      <c r="AQ91" s="214" t="str">
        <f t="array" ref="AQ91">if(Raw!H91="Turf-to-Tools",max(AQ$1:indirect("AQ"&amp;(row()-1)))+1,)</f>
        <v/>
      </c>
      <c r="AR91" s="216">
        <f>IFS(OR(iserror(Raw!BP91),iserror(Raw!BQ91)),"NR",OR(Raw!BP91="?",Raw!BQ91="?"),"?",1,(Raw!BP91+Raw!BQ91)*Raw!BH91/100)</f>
        <v>5.229879032</v>
      </c>
      <c r="AS91" s="214"/>
      <c r="AT91" s="214"/>
      <c r="AU91" s="214"/>
      <c r="AV91" s="214"/>
      <c r="AW91" s="214"/>
      <c r="AX91" s="214"/>
      <c r="AY91" s="214"/>
    </row>
    <row r="92">
      <c r="A92" s="126" t="str">
        <f>Raw!A92</f>
        <v>88 / D33</v>
      </c>
      <c r="B92" s="208">
        <f>if(isnumber(O92),if(isblank(Raw!Z92),O92,concatenate(O92," (E)")),"ERROR")</f>
        <v>615.8</v>
      </c>
      <c r="C92" s="174">
        <f>ifs(Raw!S92="NR","NR",isblank(O92),"ERROR",1,O92*Raw!S92)</f>
        <v>30790</v>
      </c>
      <c r="D92" s="209" t="str">
        <f>ifs(AND(isnumber(Raw!X92),isnumber(Raw!Y92)),Raw!X92-Raw!Y92, AND(isnumber(Raw!U92),isnumber(Raw!V92)),Raw!U92-Raw!V92,1,)</f>
        <v/>
      </c>
      <c r="E92" s="209">
        <f>IFS(isnumber(Raw!X92),Raw!X92/2,isnumber(Raw!U92),Raw!U92/2,1,)</f>
        <v>14</v>
      </c>
      <c r="F92" s="209">
        <f t="shared" si="2"/>
        <v>615.8</v>
      </c>
      <c r="G92" s="209" t="str">
        <f>if(and(isnumber(Raw!U92),isnumber(Raw!V92)),round(Raw!U92*Raw!V92,1),)</f>
        <v/>
      </c>
      <c r="H92" s="209" t="str">
        <f>if(and(isnumber(Raw!U92),isnumber(Raw!V92)),round(pi()*Raw!U92/2*Raw!V92/2,1),)</f>
        <v/>
      </c>
      <c r="I92" s="210">
        <f t="shared" si="3"/>
        <v>615.8</v>
      </c>
      <c r="J92" s="209">
        <f t="shared" si="4"/>
        <v>679</v>
      </c>
      <c r="K92" s="209">
        <f t="shared" si="5"/>
        <v>660.7</v>
      </c>
      <c r="L92" s="209">
        <f t="shared" si="6"/>
        <v>649.5</v>
      </c>
      <c r="M92" s="209">
        <f t="shared" si="7"/>
        <v>642</v>
      </c>
      <c r="N92" s="210" t="str">
        <f>if(and(isnumber(Raw!U92),isnumber(Raw!V92),isnumber(Raw!W92)),0.5*Pi()*(Raw!V92/2)^2+(Raw!W92*(Raw!U92-0.5*Raw!V92))+2*((Raw!V92-Raw!W92)/2*(Raw!U92-0.5*Raw!V92)),)</f>
        <v/>
      </c>
      <c r="O92" s="174">
        <f>ifs(Raw!M92="Rectangle",G92,Raw!M92="Cut-teardrop",N92,Raw!M92="Oval",H92,Raw!M92="Flat Circle",I92,Raw!M92="Oval to Circle",F92,Raw!M92="Circle",F92,AND(Raw!M92="Circle to Oval",isnumber(Raw!X92),isblank(Raw!Z92)),F92,Raw!M92="Hexagon",J92,Raw!M92="Septagon",K92,Raw!M92="Octagon",L92,Raw!M92="Nonagon",M92)</f>
        <v>615.8</v>
      </c>
      <c r="Q92" s="211">
        <f>if(AND(isnumber(Raw!BW92),isnumber(Raw!CJ92)),Raw!BW92+Raw!CJ92,Raw!CE92)</f>
        <v>310</v>
      </c>
      <c r="R92" s="126">
        <f>if(isnumber(Raw!CE92),Raw!CE92,)</f>
        <v>310</v>
      </c>
      <c r="S92" s="144">
        <f>if(isblank(Raw!AT92),Raw!AS92,Raw!AT92)</f>
        <v>750</v>
      </c>
      <c r="T92" s="145"/>
      <c r="U92" s="212">
        <f>ifs(istext(Raw!AT92),Raw!AT92,AND(Raw!AT92&gt;0,isblank(Raw!AS92)),Raw!AT92,1,Raw!AS92)</f>
        <v>800</v>
      </c>
      <c r="V92" s="144"/>
      <c r="W92" s="130"/>
      <c r="Y92" s="125" t="s">
        <v>123</v>
      </c>
      <c r="Z92" s="125" t="s">
        <v>123</v>
      </c>
      <c r="AA92" s="213">
        <f>ifs(AND(Raw!BH92=0,Raw!BK92&gt;0),Raw!BK92*Numbers!J$1,OR(iserror(AB92),Raw!BK92="NR"),"?",1,AB92*Raw!BH92+Raw!BK92*Numbers!J$1)</f>
        <v>13.98071843</v>
      </c>
      <c r="AB92" s="130">
        <f>(Raw!AY92*vlookup(Raw!AX92,Ores[],11,FALSE)+if(isblank(Raw!AZ92),0,Raw!BA92*vlookup(Raw!AZ92,Ores[],11,FALSE))+if(isblank(Raw!BB92),0,Raw!BC92*vlookup(Raw!BB92,Ores[],11,FALSE))+if(isblank(Raw!BD92),0,Raw!BE92*vlookup(Raw!BD92,Ores[],11,FALSE))+if(isblank(Raw!BF92),0,Raw!BG92*vlookup(Raw!BF92,Ores[],11,FALSE)))/Raw!BH92</f>
        <v>0.5482634678</v>
      </c>
      <c r="AC92" s="130" t="str">
        <f>if(AND(isblank(Raw!BK92),isblank(Raw!BM92),isnumber(Raw!CS92),Raw!CS92&gt;0),if(isnumber(Raw!BL92),Raw!CS92/Raw!BL92,Raw!BL92),)</f>
        <v/>
      </c>
      <c r="AD92" s="130" t="str">
        <f>if(AND(Raw!BK92&gt;0,isblank(Raw!BM92),isnumber(Raw!CS92),Raw!CS92&gt;0),if(isnumber(Raw!BL92),Raw!CS92/Raw!BL92,Raw!BL92),)</f>
        <v/>
      </c>
      <c r="AE92" s="130">
        <f>if(AND(isblank(Raw!BK92),Raw!BM92&gt;0,isnumber(Raw!CS92),Raw!CS92&gt;0),if(isnumber(Raw!BL92),Raw!CS92/Raw!BL92,Raw!BL92),)</f>
        <v>0.3490196078</v>
      </c>
      <c r="AF92" s="130" t="str">
        <f>if(AND(Raw!BK92&gt;0,Raw!BM92&gt;0,isnumber(Raw!CS92),Raw!CS92&gt;0),if(isnumber(Raw!BL92),Raw!CS92/Raw!BL92,Raw!BL92),)</f>
        <v/>
      </c>
      <c r="AG92" s="214">
        <f>if(AND(isblank(Raw!BK92),Raw!BM92&gt;0,isnumber(Raw!CS92),Raw!CS92&gt;0),Raw!BM92,)</f>
        <v>5</v>
      </c>
      <c r="AH92" s="214" t="str">
        <f t="shared" si="8"/>
        <v/>
      </c>
      <c r="AI92" s="214" t="str">
        <f t="shared" ref="AI92:AK92" si="98">if(AND(AD92&gt;0,isnumber($AB92)),$AB92,)</f>
        <v/>
      </c>
      <c r="AJ92" s="215">
        <f t="shared" si="98"/>
        <v>0.5482634678</v>
      </c>
      <c r="AK92" s="214" t="str">
        <f t="shared" si="98"/>
        <v/>
      </c>
      <c r="AL92" s="214" t="str">
        <f>if(AND(Raw!BK92&gt;0,isblank(Raw!BM92),isnumber(Raw!CS92),Raw!CS92&gt;0),Raw!BK92,)</f>
        <v/>
      </c>
      <c r="AM92" s="214" t="str">
        <f>if(AND(Raw!BK92&gt;0,Raw!BM92&gt;0,isnumber(Raw!CS92),Raw!CS92&gt;0),Raw!BM92,)</f>
        <v/>
      </c>
      <c r="AN92" s="214" t="str">
        <f>if(AND(Raw!BK92&gt;0,Raw!BM92&gt;0,isnumber(Raw!CS92),Raw!CS92&gt;0),Raw!BK92,)</f>
        <v/>
      </c>
      <c r="AO92" s="214" t="str">
        <f t="array" ref="AO92">if(Raw!H92="Vinland",max(AO$1:indirect("AO"&amp;(row()-1)))+1,)</f>
        <v/>
      </c>
      <c r="AP92" s="214">
        <f t="array" ref="AP92">if(Raw!H92="Icelandic",max(AP$1:indirect("AP"&amp;(row()-1)))+1,)</f>
        <v>9</v>
      </c>
      <c r="AQ92" s="214" t="str">
        <f t="array" ref="AQ92">if(Raw!H92="Turf-to-Tools",max(AQ$1:indirect("AQ"&amp;(row()-1)))+1,)</f>
        <v/>
      </c>
      <c r="AR92" s="216">
        <f>IFS(OR(iserror(Raw!BP92),iserror(Raw!BQ92)),"NR",OR(Raw!BP92="?",Raw!BQ92="?"),"?",1,(Raw!BP92+Raw!BQ92)*Raw!BH92/100)</f>
        <v>1.875483871</v>
      </c>
      <c r="AS92" s="214"/>
      <c r="AT92" s="214"/>
      <c r="AU92" s="214"/>
      <c r="AV92" s="214"/>
      <c r="AW92" s="214"/>
      <c r="AX92" s="214"/>
      <c r="AY92" s="214"/>
    </row>
    <row r="93">
      <c r="A93" s="126" t="str">
        <f>Raw!A93</f>
        <v>89 / D34</v>
      </c>
      <c r="B93" s="208">
        <f>if(isnumber(O93),if(isblank(Raw!Z93),O93,concatenate(O93," (E)")),"ERROR")</f>
        <v>615.8</v>
      </c>
      <c r="C93" s="174">
        <f>ifs(Raw!S93="NR","NR",isblank(O93),"ERROR",1,O93*Raw!S93)</f>
        <v>26479.4</v>
      </c>
      <c r="D93" s="209" t="str">
        <f>ifs(AND(isnumber(Raw!X93),isnumber(Raw!Y93)),Raw!X93-Raw!Y93, AND(isnumber(Raw!U93),isnumber(Raw!V93)),Raw!U93-Raw!V93,1,)</f>
        <v/>
      </c>
      <c r="E93" s="209">
        <f>IFS(isnumber(Raw!X93),Raw!X93/2,isnumber(Raw!U93),Raw!U93/2,1,)</f>
        <v>14</v>
      </c>
      <c r="F93" s="209">
        <f t="shared" si="2"/>
        <v>615.8</v>
      </c>
      <c r="G93" s="209" t="str">
        <f>if(and(isnumber(Raw!U93),isnumber(Raw!V93)),round(Raw!U93*Raw!V93,1),)</f>
        <v/>
      </c>
      <c r="H93" s="209" t="str">
        <f>if(and(isnumber(Raw!U93),isnumber(Raw!V93)),round(pi()*Raw!U93/2*Raw!V93/2,1),)</f>
        <v/>
      </c>
      <c r="I93" s="210">
        <f t="shared" si="3"/>
        <v>615.8</v>
      </c>
      <c r="J93" s="209">
        <f t="shared" si="4"/>
        <v>679</v>
      </c>
      <c r="K93" s="209">
        <f t="shared" si="5"/>
        <v>660.7</v>
      </c>
      <c r="L93" s="209">
        <f t="shared" si="6"/>
        <v>649.5</v>
      </c>
      <c r="M93" s="209">
        <f t="shared" si="7"/>
        <v>642</v>
      </c>
      <c r="N93" s="210" t="str">
        <f>if(and(isnumber(Raw!U93),isnumber(Raw!V93),isnumber(Raw!W93)),0.5*Pi()*(Raw!V93/2)^2+(Raw!W93*(Raw!U93-0.5*Raw!V93))+2*((Raw!V93-Raw!W93)/2*(Raw!U93-0.5*Raw!V93)),)</f>
        <v/>
      </c>
      <c r="O93" s="174">
        <f>ifs(Raw!M93="Rectangle",G93,Raw!M93="Cut-teardrop",N93,Raw!M93="Oval",H93,Raw!M93="Flat Circle",I93,Raw!M93="Oval to Circle",F93,Raw!M93="Circle",F93,AND(Raw!M93="Circle to Oval",isnumber(Raw!X93),isblank(Raw!Z93)),F93,Raw!M93="Hexagon",J93,Raw!M93="Septagon",K93,Raw!M93="Octagon",L93,Raw!M93="Nonagon",M93)</f>
        <v>615.8</v>
      </c>
      <c r="Q93" s="211">
        <f>if(AND(isnumber(Raw!BW93),isnumber(Raw!CJ93)),Raw!BW93+Raw!CJ93,Raw!CE93)</f>
        <v>171</v>
      </c>
      <c r="R93" s="126">
        <f>if(isnumber(Raw!CE93),Raw!CE93,)</f>
        <v>171</v>
      </c>
      <c r="S93" s="144">
        <f>if(isblank(Raw!AT93),Raw!AS93,Raw!AT93)</f>
        <v>900</v>
      </c>
      <c r="T93" s="145"/>
      <c r="U93" s="212">
        <f>ifs(istext(Raw!AT93),Raw!AT93,AND(Raw!AT93&gt;0,isblank(Raw!AS93)),Raw!AT93,1,Raw!AS93)</f>
        <v>900</v>
      </c>
      <c r="V93" s="144"/>
      <c r="W93" s="130"/>
      <c r="Y93" s="125" t="s">
        <v>123</v>
      </c>
      <c r="Z93" s="125" t="s">
        <v>123</v>
      </c>
      <c r="AA93" s="213">
        <f>ifs(AND(Raw!BH93=0,Raw!BK93&gt;0),Raw!BK93*Numbers!J$1,OR(iserror(AB93),Raw!BK93="NR"),"?",1,AB93*Raw!BH93+Raw!BK93*Numbers!J$1)</f>
        <v>14.25485016</v>
      </c>
      <c r="AB93" s="130">
        <f>(Raw!AY93*vlookup(Raw!AX93,Ores[],11,FALSE)+if(isblank(Raw!AZ93),0,Raw!BA93*vlookup(Raw!AZ93,Ores[],11,FALSE))+if(isblank(Raw!BB93),0,Raw!BC93*vlookup(Raw!BB93,Ores[],11,FALSE))+if(isblank(Raw!BD93),0,Raw!BE93*vlookup(Raw!BD93,Ores[],11,FALSE))+if(isblank(Raw!BF93),0,Raw!BG93*vlookup(Raw!BF93,Ores[],11,FALSE)))/Raw!BH93</f>
        <v>0.5482634678</v>
      </c>
      <c r="AC93" s="130" t="str">
        <f>if(AND(isblank(Raw!BK93),isblank(Raw!BM93),isnumber(Raw!CS93),Raw!CS93&gt;0),if(isnumber(Raw!BL93),Raw!CS93/Raw!BL93,Raw!BL93),)</f>
        <v/>
      </c>
      <c r="AD93" s="130" t="str">
        <f>if(AND(Raw!BK93&gt;0,isblank(Raw!BM93),isnumber(Raw!CS93),Raw!CS93&gt;0),if(isnumber(Raw!BL93),Raw!CS93/Raw!BL93,Raw!BL93),)</f>
        <v/>
      </c>
      <c r="AE93" s="130">
        <f>if(AND(isblank(Raw!BK93),Raw!BM93&gt;0,isnumber(Raw!CS93),Raw!CS93&gt;0),if(isnumber(Raw!BL93),Raw!CS93/Raw!BL93,Raw!BL93),)</f>
        <v>0.3153846154</v>
      </c>
      <c r="AF93" s="130" t="str">
        <f>if(AND(Raw!BK93&gt;0,Raw!BM93&gt;0,isnumber(Raw!CS93),Raw!CS93&gt;0),if(isnumber(Raw!BL93),Raw!CS93/Raw!BL93,Raw!BL93),)</f>
        <v/>
      </c>
      <c r="AG93" s="214">
        <f>if(AND(isblank(Raw!BK93),Raw!BM93&gt;0,isnumber(Raw!CS93),Raw!CS93&gt;0),Raw!BM93,)</f>
        <v>4.3</v>
      </c>
      <c r="AH93" s="214" t="str">
        <f t="shared" si="8"/>
        <v/>
      </c>
      <c r="AI93" s="214" t="str">
        <f t="shared" ref="AI93:AK93" si="99">if(AND(AD93&gt;0,isnumber($AB93)),$AB93,)</f>
        <v/>
      </c>
      <c r="AJ93" s="215">
        <f t="shared" si="99"/>
        <v>0.5482634678</v>
      </c>
      <c r="AK93" s="214" t="str">
        <f t="shared" si="99"/>
        <v/>
      </c>
      <c r="AL93" s="214" t="str">
        <f>if(AND(Raw!BK93&gt;0,isblank(Raw!BM93),isnumber(Raw!CS93),Raw!CS93&gt;0),Raw!BK93,)</f>
        <v/>
      </c>
      <c r="AM93" s="214" t="str">
        <f>if(AND(Raw!BK93&gt;0,Raw!BM93&gt;0,isnumber(Raw!CS93),Raw!CS93&gt;0),Raw!BM93,)</f>
        <v/>
      </c>
      <c r="AN93" s="214" t="str">
        <f>if(AND(Raw!BK93&gt;0,Raw!BM93&gt;0,isnumber(Raw!CS93),Raw!CS93&gt;0),Raw!BK93,)</f>
        <v/>
      </c>
      <c r="AO93" s="214" t="str">
        <f t="array" ref="AO93">if(Raw!H93="Vinland",max(AO$1:indirect("AO"&amp;(row()-1)))+1,)</f>
        <v/>
      </c>
      <c r="AP93" s="214">
        <f t="array" ref="AP93">if(Raw!H93="Icelandic",max(AP$1:indirect("AP"&amp;(row()-1)))+1,)</f>
        <v>10</v>
      </c>
      <c r="AQ93" s="214" t="str">
        <f t="array" ref="AQ93">if(Raw!H93="Turf-to-Tools",max(AQ$1:indirect("AQ"&amp;(row()-1)))+1,)</f>
        <v/>
      </c>
      <c r="AR93" s="216">
        <f>IFS(OR(iserror(Raw!BP93),iserror(Raw!BQ93)),"NR",OR(Raw!BP93="?",Raw!BQ93="?"),"?",1,(Raw!BP93+Raw!BQ93)*Raw!BH93/100)</f>
        <v>1.912258065</v>
      </c>
      <c r="AS93" s="214"/>
      <c r="AT93" s="214"/>
      <c r="AU93" s="214"/>
      <c r="AV93" s="214"/>
      <c r="AW93" s="214"/>
      <c r="AX93" s="214"/>
      <c r="AY93" s="214"/>
    </row>
    <row r="94">
      <c r="A94" s="126" t="str">
        <f>Raw!A94</f>
        <v>90 / D35</v>
      </c>
      <c r="B94" s="208">
        <f>if(isnumber(O94),if(isblank(Raw!Z94),O94,concatenate(O94," (E)")),"ERROR")</f>
        <v>615.8</v>
      </c>
      <c r="C94" s="174">
        <f>ifs(Raw!S94="NR","NR",isblank(O94),"ERROR",1,O94*Raw!S94)</f>
        <v>36332.2</v>
      </c>
      <c r="D94" s="209" t="str">
        <f>ifs(AND(isnumber(Raw!X94),isnumber(Raw!Y94)),Raw!X94-Raw!Y94, AND(isnumber(Raw!U94),isnumber(Raw!V94)),Raw!U94-Raw!V94,1,)</f>
        <v/>
      </c>
      <c r="E94" s="209">
        <f>IFS(isnumber(Raw!X94),Raw!X94/2,isnumber(Raw!U94),Raw!U94/2,1,)</f>
        <v>14</v>
      </c>
      <c r="F94" s="209">
        <f t="shared" si="2"/>
        <v>615.8</v>
      </c>
      <c r="G94" s="209" t="str">
        <f>if(and(isnumber(Raw!U94),isnumber(Raw!V94)),round(Raw!U94*Raw!V94,1),)</f>
        <v/>
      </c>
      <c r="H94" s="209" t="str">
        <f>if(and(isnumber(Raw!U94),isnumber(Raw!V94)),round(pi()*Raw!U94/2*Raw!V94/2,1),)</f>
        <v/>
      </c>
      <c r="I94" s="210">
        <f t="shared" si="3"/>
        <v>615.8</v>
      </c>
      <c r="J94" s="209">
        <f t="shared" si="4"/>
        <v>679</v>
      </c>
      <c r="K94" s="209">
        <f t="shared" si="5"/>
        <v>660.7</v>
      </c>
      <c r="L94" s="209">
        <f t="shared" si="6"/>
        <v>649.5</v>
      </c>
      <c r="M94" s="209">
        <f t="shared" si="7"/>
        <v>642</v>
      </c>
      <c r="N94" s="210" t="str">
        <f>if(and(isnumber(Raw!U94),isnumber(Raw!V94),isnumber(Raw!W94)),0.5*Pi()*(Raw!V94/2)^2+(Raw!W94*(Raw!U94-0.5*Raw!V94))+2*((Raw!V94-Raw!W94)/2*(Raw!U94-0.5*Raw!V94)),)</f>
        <v/>
      </c>
      <c r="O94" s="174">
        <f>ifs(Raw!M94="Rectangle",G94,Raw!M94="Cut-teardrop",N94,Raw!M94="Oval",H94,Raw!M94="Flat Circle",I94,Raw!M94="Oval to Circle",F94,Raw!M94="Circle",F94,AND(Raw!M94="Circle to Oval",isnumber(Raw!X94),isblank(Raw!Z94)),F94,Raw!M94="Hexagon",J94,Raw!M94="Septagon",K94,Raw!M94="Octagon",L94,Raw!M94="Nonagon",M94)</f>
        <v>615.8</v>
      </c>
      <c r="Q94" s="211">
        <f>if(AND(isnumber(Raw!BW94),isnumber(Raw!CJ94)),Raw!BW94+Raw!CJ94,Raw!CE94)</f>
        <v>220</v>
      </c>
      <c r="R94" s="126">
        <f>if(isnumber(Raw!CE94),Raw!CE94,)</f>
        <v>220</v>
      </c>
      <c r="S94" s="144">
        <f>if(isblank(Raw!AT94),Raw!AS94,Raw!AT94)</f>
        <v>676</v>
      </c>
      <c r="T94" s="145"/>
      <c r="U94" s="212">
        <f>ifs(istext(Raw!AT94),Raw!AT94,AND(Raw!AT94&gt;0,isblank(Raw!AS94)),Raw!AT94,1,Raw!AS94)</f>
        <v>875</v>
      </c>
      <c r="V94" s="144"/>
      <c r="W94" s="130"/>
      <c r="Y94" s="125" t="s">
        <v>123</v>
      </c>
      <c r="Z94" s="125" t="s">
        <v>123</v>
      </c>
      <c r="AA94" s="213">
        <f>ifs(AND(Raw!BH94=0,Raw!BK94&gt;0),Raw!BK94*Numbers!J$1,OR(iserror(AB94),Raw!BK94="NR"),"?",1,AB94*Raw!BH94+Raw!BK94*Numbers!J$1)</f>
        <v>13.32280227</v>
      </c>
      <c r="AB94" s="130">
        <f>(Raw!AY94*vlookup(Raw!AX94,Ores[],11,FALSE)+if(isblank(Raw!AZ94),0,Raw!BA94*vlookup(Raw!AZ94,Ores[],11,FALSE))+if(isblank(Raw!BB94),0,Raw!BC94*vlookup(Raw!BB94,Ores[],11,FALSE))+if(isblank(Raw!BD94),0,Raw!BE94*vlookup(Raw!BD94,Ores[],11,FALSE))+if(isblank(Raw!BF94),0,Raw!BG94*vlookup(Raw!BF94,Ores[],11,FALSE)))/Raw!BH94</f>
        <v>0.5482634678</v>
      </c>
      <c r="AC94" s="130" t="str">
        <f>if(AND(isblank(Raw!BK94),isblank(Raw!BM94),isnumber(Raw!CS94),Raw!CS94&gt;0),if(isnumber(Raw!BL94),Raw!CS94/Raw!BL94,Raw!BL94),)</f>
        <v/>
      </c>
      <c r="AD94" s="130" t="str">
        <f>if(AND(Raw!BK94&gt;0,isblank(Raw!BM94),isnumber(Raw!CS94),Raw!CS94&gt;0),if(isnumber(Raw!BL94),Raw!CS94/Raw!BL94,Raw!BL94),)</f>
        <v/>
      </c>
      <c r="AE94" s="130">
        <f>if(AND(isblank(Raw!BK94),Raw!BM94&gt;0,isnumber(Raw!CS94),Raw!CS94&gt;0),if(isnumber(Raw!BL94),Raw!CS94/Raw!BL94,Raw!BL94),)</f>
        <v>0.3127572016</v>
      </c>
      <c r="AF94" s="130" t="str">
        <f>if(AND(Raw!BK94&gt;0,Raw!BM94&gt;0,isnumber(Raw!CS94),Raw!CS94&gt;0),if(isnumber(Raw!BL94),Raw!CS94/Raw!BL94,Raw!BL94),)</f>
        <v/>
      </c>
      <c r="AG94" s="214">
        <f>if(AND(isblank(Raw!BK94),Raw!BM94&gt;0,isnumber(Raw!CS94),Raw!CS94&gt;0),Raw!BM94,)</f>
        <v>1.5</v>
      </c>
      <c r="AH94" s="214" t="str">
        <f t="shared" si="8"/>
        <v/>
      </c>
      <c r="AI94" s="214" t="str">
        <f t="shared" ref="AI94:AK94" si="100">if(AND(AD94&gt;0,isnumber($AB94)),$AB94,)</f>
        <v/>
      </c>
      <c r="AJ94" s="215">
        <f t="shared" si="100"/>
        <v>0.5482634678</v>
      </c>
      <c r="AK94" s="214" t="str">
        <f t="shared" si="100"/>
        <v/>
      </c>
      <c r="AL94" s="214" t="str">
        <f>if(AND(Raw!BK94&gt;0,isblank(Raw!BM94),isnumber(Raw!CS94),Raw!CS94&gt;0),Raw!BK94,)</f>
        <v/>
      </c>
      <c r="AM94" s="214" t="str">
        <f>if(AND(Raw!BK94&gt;0,Raw!BM94&gt;0,isnumber(Raw!CS94),Raw!CS94&gt;0),Raw!BM94,)</f>
        <v/>
      </c>
      <c r="AN94" s="214" t="str">
        <f>if(AND(Raw!BK94&gt;0,Raw!BM94&gt;0,isnumber(Raw!CS94),Raw!CS94&gt;0),Raw!BK94,)</f>
        <v/>
      </c>
      <c r="AO94" s="214" t="str">
        <f t="array" ref="AO94">if(Raw!H94="Vinland",max(AO$1:indirect("AO"&amp;(row()-1)))+1,)</f>
        <v/>
      </c>
      <c r="AP94" s="214" t="str">
        <f t="array" ref="AP94">if(Raw!H94="Icelandic",max(AP$1:indirect("AP"&amp;(row()-1)))+1,)</f>
        <v/>
      </c>
      <c r="AQ94" s="214" t="str">
        <f t="array" ref="AQ94">if(Raw!H94="Turf-to-Tools",max(AQ$1:indirect("AQ"&amp;(row()-1)))+1,)</f>
        <v/>
      </c>
      <c r="AR94" s="216">
        <f>IFS(OR(iserror(Raw!BP94),iserror(Raw!BQ94)),"NR",OR(Raw!BP94="?",Raw!BQ94="?"),"?",1,(Raw!BP94+Raw!BQ94)*Raw!BH94/100)</f>
        <v>1.787225806</v>
      </c>
      <c r="AS94" s="214"/>
      <c r="AT94" s="214"/>
      <c r="AU94" s="214"/>
      <c r="AV94" s="214"/>
      <c r="AW94" s="214"/>
      <c r="AX94" s="214"/>
      <c r="AY94" s="214"/>
    </row>
    <row r="95">
      <c r="A95" s="126" t="str">
        <f>Raw!A95</f>
        <v>91 / D36</v>
      </c>
      <c r="B95" s="208">
        <f>if(isnumber(O95),if(isblank(Raw!Z95),O95,concatenate(O95," (E)")),"ERROR")</f>
        <v>490.9</v>
      </c>
      <c r="C95" s="174">
        <f>ifs(Raw!S95="NR","NR",isblank(O95),"ERROR",1,O95*Raw!S95)</f>
        <v>22090.5</v>
      </c>
      <c r="D95" s="209" t="str">
        <f>ifs(AND(isnumber(Raw!X95),isnumber(Raw!Y95)),Raw!X95-Raw!Y95, AND(isnumber(Raw!U95),isnumber(Raw!V95)),Raw!U95-Raw!V95,1,)</f>
        <v/>
      </c>
      <c r="E95" s="209">
        <f>IFS(isnumber(Raw!X95),Raw!X95/2,isnumber(Raw!U95),Raw!U95/2,1,)</f>
        <v>12.5</v>
      </c>
      <c r="F95" s="209">
        <f t="shared" si="2"/>
        <v>490.9</v>
      </c>
      <c r="G95" s="209" t="str">
        <f>if(and(isnumber(Raw!U95),isnumber(Raw!V95)),round(Raw!U95*Raw!V95,1),)</f>
        <v/>
      </c>
      <c r="H95" s="209" t="str">
        <f>if(and(isnumber(Raw!U95),isnumber(Raw!V95)),round(pi()*Raw!U95/2*Raw!V95/2,1),)</f>
        <v/>
      </c>
      <c r="I95" s="210">
        <f t="shared" si="3"/>
        <v>490.9</v>
      </c>
      <c r="J95" s="209">
        <f t="shared" si="4"/>
        <v>541.3</v>
      </c>
      <c r="K95" s="209">
        <f t="shared" si="5"/>
        <v>526.7</v>
      </c>
      <c r="L95" s="209">
        <f t="shared" si="6"/>
        <v>517.8</v>
      </c>
      <c r="M95" s="209">
        <f t="shared" si="7"/>
        <v>511.8</v>
      </c>
      <c r="N95" s="210" t="str">
        <f>if(and(isnumber(Raw!U95),isnumber(Raw!V95),isnumber(Raw!W95)),0.5*Pi()*(Raw!V95/2)^2+(Raw!W95*(Raw!U95-0.5*Raw!V95))+2*((Raw!V95-Raw!W95)/2*(Raw!U95-0.5*Raw!V95)),)</f>
        <v/>
      </c>
      <c r="O95" s="174">
        <f>ifs(Raw!M95="Rectangle",G95,Raw!M95="Cut-teardrop",N95,Raw!M95="Oval",H95,Raw!M95="Flat Circle",I95,Raw!M95="Oval to Circle",F95,Raw!M95="Circle",F95,AND(Raw!M95="Circle to Oval",isnumber(Raw!X95),isblank(Raw!Z95)),F95,Raw!M95="Hexagon",J95,Raw!M95="Septagon",K95,Raw!M95="Octagon",L95,Raw!M95="Nonagon",M95)</f>
        <v>490.9</v>
      </c>
      <c r="Q95" s="211">
        <f>if(AND(isnumber(Raw!BW95),isnumber(Raw!CJ95)),Raw!BW95+Raw!CJ95,Raw!CE95)</f>
        <v>355</v>
      </c>
      <c r="R95" s="126">
        <f>if(isnumber(Raw!CE95),Raw!CE95,)</f>
        <v>355</v>
      </c>
      <c r="S95" s="144">
        <f>if(isblank(Raw!AT95),Raw!AS95,Raw!AT95)</f>
        <v>425</v>
      </c>
      <c r="T95" s="145"/>
      <c r="U95" s="212">
        <f>ifs(istext(Raw!AT95),Raw!AT95,AND(Raw!AT95&gt;0,isblank(Raw!AS95)),Raw!AT95,1,Raw!AS95)</f>
        <v>425</v>
      </c>
      <c r="V95" s="144"/>
      <c r="W95" s="130"/>
      <c r="Y95" s="125" t="s">
        <v>123</v>
      </c>
      <c r="Z95" s="125" t="s">
        <v>123</v>
      </c>
      <c r="AA95" s="213">
        <f>ifs(AND(Raw!BH95=0,Raw!BK95&gt;0),Raw!BK95*Numbers!J$1,OR(iserror(AB95),Raw!BK95="NR"),"?",1,AB95*Raw!BH95+Raw!BK95*Numbers!J$1)</f>
        <v>14.33947677</v>
      </c>
      <c r="AB95" s="130">
        <f>(Raw!AY95*vlookup(Raw!AX95,Ores[],11,FALSE)+if(isblank(Raw!AZ95),0,Raw!BA95*vlookup(Raw!AZ95,Ores[],11,FALSE))+if(isblank(Raw!BB95),0,Raw!BC95*vlookup(Raw!BB95,Ores[],11,FALSE))+if(isblank(Raw!BD95),0,Raw!BE95*vlookup(Raw!BD95,Ores[],11,FALSE))+if(isblank(Raw!BF95),0,Raw!BG95*vlookup(Raw!BF95,Ores[],11,FALSE)))/Raw!BH95</f>
        <v>0.5411123311</v>
      </c>
      <c r="AC95" s="130">
        <f>if(AND(isblank(Raw!BK95),isblank(Raw!BM95),isnumber(Raw!CS95),Raw!CS95&gt;0),if(isnumber(Raw!BL95),Raw!CS95/Raw!BL95,Raw!BL95),)</f>
        <v>0.2641509434</v>
      </c>
      <c r="AD95" s="130" t="str">
        <f>if(AND(Raw!BK95&gt;0,isblank(Raw!BM95),isnumber(Raw!CS95),Raw!CS95&gt;0),if(isnumber(Raw!BL95),Raw!CS95/Raw!BL95,Raw!BL95),)</f>
        <v/>
      </c>
      <c r="AE95" s="130" t="str">
        <f>if(AND(isblank(Raw!BK95),Raw!BM95&gt;0,isnumber(Raw!CS95),Raw!CS95&gt;0),if(isnumber(Raw!BL95),Raw!CS95/Raw!BL95,Raw!BL95),)</f>
        <v/>
      </c>
      <c r="AF95" s="130" t="str">
        <f>if(AND(Raw!BK95&gt;0,Raw!BM95&gt;0,isnumber(Raw!CS95),Raw!CS95&gt;0),if(isnumber(Raw!BL95),Raw!CS95/Raw!BL95,Raw!BL95),)</f>
        <v/>
      </c>
      <c r="AG95" s="214" t="str">
        <f>if(AND(isblank(Raw!BK95),Raw!BM95&gt;0,isnumber(Raw!CS95),Raw!CS95&gt;0),Raw!BM95,)</f>
        <v/>
      </c>
      <c r="AH95" s="215">
        <f t="shared" si="8"/>
        <v>0.5411123311</v>
      </c>
      <c r="AI95" s="214" t="str">
        <f t="shared" ref="AI95:AK95" si="101">if(AND(AD95&gt;0,isnumber($AB95)),$AB95,)</f>
        <v/>
      </c>
      <c r="AJ95" s="214" t="str">
        <f t="shared" si="101"/>
        <v/>
      </c>
      <c r="AK95" s="214" t="str">
        <f t="shared" si="101"/>
        <v/>
      </c>
      <c r="AL95" s="214" t="str">
        <f>if(AND(Raw!BK95&gt;0,isblank(Raw!BM95),isnumber(Raw!CS95),Raw!CS95&gt;0),Raw!BK95,)</f>
        <v/>
      </c>
      <c r="AM95" s="214" t="str">
        <f>if(AND(Raw!BK95&gt;0,Raw!BM95&gt;0,isnumber(Raw!CS95),Raw!CS95&gt;0),Raw!BM95,)</f>
        <v/>
      </c>
      <c r="AN95" s="214" t="str">
        <f>if(AND(Raw!BK95&gt;0,Raw!BM95&gt;0,isnumber(Raw!CS95),Raw!CS95&gt;0),Raw!BK95,)</f>
        <v/>
      </c>
      <c r="AO95" s="214" t="str">
        <f t="array" ref="AO95">if(Raw!H95="Vinland",max(AO$1:indirect("AO"&amp;(row()-1)))+1,)</f>
        <v/>
      </c>
      <c r="AP95" s="214" t="str">
        <f t="array" ref="AP95">if(Raw!H95="Icelandic",max(AP$1:indirect("AP"&amp;(row()-1)))+1,)</f>
        <v/>
      </c>
      <c r="AQ95" s="214" t="str">
        <f t="array" ref="AQ95">if(Raw!H95="Turf-to-Tools",max(AQ$1:indirect("AQ"&amp;(row()-1)))+1,)</f>
        <v/>
      </c>
      <c r="AR95" s="216">
        <f>IFS(OR(iserror(Raw!BP95),iserror(Raw!BQ95)),"NR",OR(Raw!BP95="?",Raw!BQ95="?"),"?",1,(Raw!BP95+Raw!BQ95)*Raw!BH95/100)</f>
        <v>2.200735484</v>
      </c>
      <c r="AS95" s="214"/>
      <c r="AT95" s="214"/>
      <c r="AU95" s="214"/>
      <c r="AV95" s="214"/>
      <c r="AW95" s="214"/>
      <c r="AX95" s="214"/>
      <c r="AY95" s="214"/>
    </row>
    <row r="96">
      <c r="A96" s="126">
        <f>Raw!A96</f>
        <v>92</v>
      </c>
      <c r="B96" s="208">
        <f>if(isnumber(O96),if(isblank(Raw!Z96),O96,concatenate(O96," (E)")),"ERROR")</f>
        <v>490.9</v>
      </c>
      <c r="C96" s="174">
        <f>ifs(Raw!S96="NR","NR",isblank(O96),"ERROR",1,O96*Raw!S96)</f>
        <v>22090.5</v>
      </c>
      <c r="D96" s="209" t="str">
        <f>ifs(AND(isnumber(Raw!X96),isnumber(Raw!Y96)),Raw!X96-Raw!Y96, AND(isnumber(Raw!U96),isnumber(Raw!V96)),Raw!U96-Raw!V96,1,)</f>
        <v/>
      </c>
      <c r="E96" s="209">
        <f>IFS(isnumber(Raw!X96),Raw!X96/2,isnumber(Raw!U96),Raw!U96/2,1,)</f>
        <v>12.5</v>
      </c>
      <c r="F96" s="209">
        <f t="shared" si="2"/>
        <v>490.9</v>
      </c>
      <c r="G96" s="209" t="str">
        <f>if(and(isnumber(Raw!U96),isnumber(Raw!V96)),round(Raw!U96*Raw!V96,1),)</f>
        <v/>
      </c>
      <c r="H96" s="209" t="str">
        <f>if(and(isnumber(Raw!U96),isnumber(Raw!V96)),round(pi()*Raw!U96/2*Raw!V96/2,1),)</f>
        <v/>
      </c>
      <c r="I96" s="210">
        <f t="shared" si="3"/>
        <v>490.9</v>
      </c>
      <c r="J96" s="209">
        <f t="shared" si="4"/>
        <v>541.3</v>
      </c>
      <c r="K96" s="209">
        <f t="shared" si="5"/>
        <v>526.7</v>
      </c>
      <c r="L96" s="209">
        <f t="shared" si="6"/>
        <v>517.8</v>
      </c>
      <c r="M96" s="209">
        <f t="shared" si="7"/>
        <v>511.8</v>
      </c>
      <c r="N96" s="210" t="str">
        <f>if(and(isnumber(Raw!U96),isnumber(Raw!V96),isnumber(Raw!W96)),0.5*Pi()*(Raw!V96/2)^2+(Raw!W96*(Raw!U96-0.5*Raw!V96))+2*((Raw!V96-Raw!W96)/2*(Raw!U96-0.5*Raw!V96)),)</f>
        <v/>
      </c>
      <c r="O96" s="174">
        <f>ifs(Raw!M96="Rectangle",G96,Raw!M96="Cut-teardrop",N96,Raw!M96="Oval",H96,Raw!M96="Flat Circle",I96,Raw!M96="Oval to Circle",F96,Raw!M96="Circle",F96,AND(Raw!M96="Circle to Oval",isnumber(Raw!X96),isblank(Raw!Z96)),F96,Raw!M96="Hexagon",J96,Raw!M96="Septagon",K96,Raw!M96="Octagon",L96,Raw!M96="Nonagon",M96)</f>
        <v>490.9</v>
      </c>
      <c r="Q96" s="211">
        <f>if(AND(isnumber(Raw!BW96),isnumber(Raw!CJ96)),Raw!BW96+Raw!CJ96,Raw!CE96)</f>
        <v>463</v>
      </c>
      <c r="R96" s="126">
        <f>if(isnumber(Raw!CE96),Raw!CE96,)</f>
        <v>463</v>
      </c>
      <c r="S96" s="144">
        <f>if(isblank(Raw!AT96),Raw!AS96,Raw!AT96)</f>
        <v>442.5</v>
      </c>
      <c r="T96" s="145"/>
      <c r="U96" s="212">
        <f>ifs(istext(Raw!AT96),Raw!AT96,AND(Raw!AT96&gt;0,isblank(Raw!AS96)),Raw!AT96,1,Raw!AS96)</f>
        <v>480</v>
      </c>
      <c r="V96" s="144"/>
      <c r="W96" s="130"/>
      <c r="Y96" s="125" t="s">
        <v>123</v>
      </c>
      <c r="Z96" s="125" t="s">
        <v>123</v>
      </c>
      <c r="AA96" s="213">
        <f>ifs(AND(Raw!BH96=0,Raw!BK96&gt;0),Raw!BK96*Numbers!J$1,OR(iserror(AB96),Raw!BK96="NR"),"?",1,AB96*Raw!BH96+Raw!BK96*Numbers!J$1)</f>
        <v>14.33947677</v>
      </c>
      <c r="AB96" s="130">
        <f>(Raw!AY96*vlookup(Raw!AX96,Ores[],11,FALSE)+if(isblank(Raw!AZ96),0,Raw!BA96*vlookup(Raw!AZ96,Ores[],11,FALSE))+if(isblank(Raw!BB96),0,Raw!BC96*vlookup(Raw!BB96,Ores[],11,FALSE))+if(isblank(Raw!BD96),0,Raw!BE96*vlookup(Raw!BD96,Ores[],11,FALSE))+if(isblank(Raw!BF96),0,Raw!BG96*vlookup(Raw!BF96,Ores[],11,FALSE)))/Raw!BH96</f>
        <v>0.5411123311</v>
      </c>
      <c r="AC96" s="130">
        <f>if(AND(isblank(Raw!BK96),isblank(Raw!BM96),isnumber(Raw!CS96),Raw!CS96&gt;0),if(isnumber(Raw!BL96),Raw!CS96/Raw!BL96,Raw!BL96),)</f>
        <v>0.1886792453</v>
      </c>
      <c r="AD96" s="130" t="str">
        <f>if(AND(Raw!BK96&gt;0,isblank(Raw!BM96),isnumber(Raw!CS96),Raw!CS96&gt;0),if(isnumber(Raw!BL96),Raw!CS96/Raw!BL96,Raw!BL96),)</f>
        <v/>
      </c>
      <c r="AE96" s="130" t="str">
        <f>if(AND(isblank(Raw!BK96),Raw!BM96&gt;0,isnumber(Raw!CS96),Raw!CS96&gt;0),if(isnumber(Raw!BL96),Raw!CS96/Raw!BL96,Raw!BL96),)</f>
        <v/>
      </c>
      <c r="AF96" s="130" t="str">
        <f>if(AND(Raw!BK96&gt;0,Raw!BM96&gt;0,isnumber(Raw!CS96),Raw!CS96&gt;0),if(isnumber(Raw!BL96),Raw!CS96/Raw!BL96,Raw!BL96),)</f>
        <v/>
      </c>
      <c r="AG96" s="214" t="str">
        <f>if(AND(isblank(Raw!BK96),Raw!BM96&gt;0,isnumber(Raw!CS96),Raw!CS96&gt;0),Raw!BM96,)</f>
        <v/>
      </c>
      <c r="AH96" s="215">
        <f t="shared" si="8"/>
        <v>0.5411123311</v>
      </c>
      <c r="AI96" s="214" t="str">
        <f t="shared" ref="AI96:AK96" si="102">if(AND(AD96&gt;0,isnumber($AB96)),$AB96,)</f>
        <v/>
      </c>
      <c r="AJ96" s="214" t="str">
        <f t="shared" si="102"/>
        <v/>
      </c>
      <c r="AK96" s="214" t="str">
        <f t="shared" si="102"/>
        <v/>
      </c>
      <c r="AL96" s="214" t="str">
        <f>if(AND(Raw!BK96&gt;0,isblank(Raw!BM96),isnumber(Raw!CS96),Raw!CS96&gt;0),Raw!BK96,)</f>
        <v/>
      </c>
      <c r="AM96" s="214" t="str">
        <f>if(AND(Raw!BK96&gt;0,Raw!BM96&gt;0,isnumber(Raw!CS96),Raw!CS96&gt;0),Raw!BM96,)</f>
        <v/>
      </c>
      <c r="AN96" s="214" t="str">
        <f>if(AND(Raw!BK96&gt;0,Raw!BM96&gt;0,isnumber(Raw!CS96),Raw!CS96&gt;0),Raw!BK96,)</f>
        <v/>
      </c>
      <c r="AO96" s="214" t="str">
        <f t="array" ref="AO96">if(Raw!H96="Vinland",max(AO$1:indirect("AO"&amp;(row()-1)))+1,)</f>
        <v/>
      </c>
      <c r="AP96" s="214" t="str">
        <f t="array" ref="AP96">if(Raw!H96="Icelandic",max(AP$1:indirect("AP"&amp;(row()-1)))+1,)</f>
        <v/>
      </c>
      <c r="AQ96" s="214" t="str">
        <f t="array" ref="AQ96">if(Raw!H96="Turf-to-Tools",max(AQ$1:indirect("AQ"&amp;(row()-1)))+1,)</f>
        <v/>
      </c>
      <c r="AR96" s="216">
        <f>IFS(OR(iserror(Raw!BP96),iserror(Raw!BQ96)),"NR",OR(Raw!BP96="?",Raw!BQ96="?"),"?",1,(Raw!BP96+Raw!BQ96)*Raw!BH96/100)</f>
        <v>2.200735484</v>
      </c>
      <c r="AS96" s="214"/>
      <c r="AT96" s="214"/>
      <c r="AU96" s="214"/>
      <c r="AV96" s="214"/>
      <c r="AW96" s="214"/>
      <c r="AX96" s="214"/>
      <c r="AY96" s="214"/>
    </row>
    <row r="97">
      <c r="A97" s="126">
        <f>Raw!A97</f>
        <v>93</v>
      </c>
      <c r="B97" s="208" t="str">
        <f>if(isnumber(O97),if(isblank(Raw!Z97),O97,concatenate(O97," (E)")),"ERROR")</f>
        <v>637.9 (E)</v>
      </c>
      <c r="C97" s="174">
        <f>ifs(Raw!S97="NR","NR",isblank(O97),"ERROR",1,O97*Raw!S97)</f>
        <v>33808.7</v>
      </c>
      <c r="D97" s="209">
        <f>ifs(AND(isnumber(Raw!X97),isnumber(Raw!Y97)),Raw!X97-Raw!Y97, AND(isnumber(Raw!U97),isnumber(Raw!V97)),Raw!U97-Raw!V97,1,)</f>
        <v>5</v>
      </c>
      <c r="E97" s="209">
        <f>IFS(isnumber(Raw!X97),Raw!X97/2,isnumber(Raw!U97),Raw!U97/2,1,)</f>
        <v>14.25</v>
      </c>
      <c r="F97" s="209">
        <f t="shared" si="2"/>
        <v>637.9</v>
      </c>
      <c r="G97" s="209">
        <f>if(and(isnumber(Raw!U97),isnumber(Raw!V97)),round(Raw!U97*Raw!V97,1),)</f>
        <v>1050</v>
      </c>
      <c r="H97" s="209">
        <f>if(and(isnumber(Raw!U97),isnumber(Raw!V97)),round(pi()*Raw!U97/2*Raw!V97/2,1),)</f>
        <v>824.7</v>
      </c>
      <c r="I97" s="210">
        <f t="shared" si="3"/>
        <v>562.6473665</v>
      </c>
      <c r="J97" s="209">
        <f t="shared" si="4"/>
        <v>703.4</v>
      </c>
      <c r="K97" s="209">
        <f t="shared" si="5"/>
        <v>684.5</v>
      </c>
      <c r="L97" s="209">
        <f t="shared" si="6"/>
        <v>672.9</v>
      </c>
      <c r="M97" s="209">
        <f t="shared" si="7"/>
        <v>665.2</v>
      </c>
      <c r="N97" s="210">
        <f>if(and(isnumber(Raw!U97),isnumber(Raw!V97),isnumber(Raw!W97)),0.5*Pi()*(Raw!V97/2)^2+(Raw!W97*(Raw!U97-0.5*Raw!V97))+2*((Raw!V97-Raw!W97)/2*(Raw!U97-0.5*Raw!V97)),)</f>
        <v>953.4291735</v>
      </c>
      <c r="O97" s="174">
        <f>ifs(Raw!M97="Rectangle",G97,Raw!M97="Cut-teardrop",N97,Raw!M97="Oval",H97,Raw!M97="Flat Circle",I97,Raw!M97="Oval to Circle",F97,Raw!M97="Circle",F97,AND(Raw!M97="Circle to Oval",isnumber(Raw!X97),isblank(Raw!Z97)),F97,Raw!M97="Hexagon",J97,Raw!M97="Septagon",K97,Raw!M97="Octagon",L97,Raw!M97="Nonagon",M97)</f>
        <v>637.9</v>
      </c>
      <c r="Q97" s="211">
        <f>if(AND(isnumber(Raw!BW97),isnumber(Raw!CJ97)),Raw!BW97+Raw!CJ97,Raw!CE97)</f>
        <v>122</v>
      </c>
      <c r="R97" s="126">
        <f>if(isnumber(Raw!CE97),Raw!CE97,)</f>
        <v>122</v>
      </c>
      <c r="S97" s="144" t="str">
        <f>if(isblank(Raw!AT97),Raw!AS97,Raw!AT97)</f>
        <v>?</v>
      </c>
      <c r="T97" s="145"/>
      <c r="U97" s="212" t="str">
        <f>ifs(istext(Raw!AT97),Raw!AT97,AND(Raw!AT97&gt;0,isblank(Raw!AS97)),Raw!AT97,1,Raw!AS97)</f>
        <v>?</v>
      </c>
      <c r="V97" s="144"/>
      <c r="W97" s="130"/>
      <c r="Z97" s="125" t="s">
        <v>123</v>
      </c>
      <c r="AA97" s="213">
        <f>ifs(AND(Raw!BH97=0,Raw!BK97&gt;0),Raw!BK97*Numbers!J$1,OR(iserror(AB97),Raw!BK97="NR"),"?",1,AB97*Raw!BH97+Raw!BK97*Numbers!J$1)</f>
        <v>8.917742208</v>
      </c>
      <c r="AB97" s="130">
        <f>(Raw!AY97*vlookup(Raw!AX97,Ores[],11,FALSE)+if(isblank(Raw!AZ97),0,Raw!BA97*vlookup(Raw!AZ97,Ores[],11,FALSE))+if(isblank(Raw!BB97),0,Raw!BC97*vlookup(Raw!BB97,Ores[],11,FALSE))+if(isblank(Raw!BD97),0,Raw!BE97*vlookup(Raw!BD97,Ores[],11,FALSE))+if(isblank(Raw!BF97),0,Raw!BG97*vlookup(Raw!BF97,Ores[],11,FALSE)))/Raw!BH97</f>
        <v>0.3497153807</v>
      </c>
      <c r="AC97" s="130">
        <f>if(AND(isblank(Raw!BK97),isblank(Raw!BM97),isnumber(Raw!CS97),Raw!CS97&gt;0),if(isnumber(Raw!BL97),Raw!CS97/Raw!BL97,Raw!BL97),)</f>
        <v>0.05490196078</v>
      </c>
      <c r="AD97" s="130" t="str">
        <f>if(AND(Raw!BK97&gt;0,isblank(Raw!BM97),isnumber(Raw!CS97),Raw!CS97&gt;0),if(isnumber(Raw!BL97),Raw!CS97/Raw!BL97,Raw!BL97),)</f>
        <v/>
      </c>
      <c r="AE97" s="130" t="str">
        <f>if(AND(isblank(Raw!BK97),Raw!BM97&gt;0,isnumber(Raw!CS97),Raw!CS97&gt;0),if(isnumber(Raw!BL97),Raw!CS97/Raw!BL97,Raw!BL97),)</f>
        <v/>
      </c>
      <c r="AF97" s="130" t="str">
        <f>if(AND(Raw!BK97&gt;0,Raw!BM97&gt;0,isnumber(Raw!CS97),Raw!CS97&gt;0),if(isnumber(Raw!BL97),Raw!CS97/Raw!BL97,Raw!BL97),)</f>
        <v/>
      </c>
      <c r="AG97" s="214" t="str">
        <f>if(AND(isblank(Raw!BK97),Raw!BM97&gt;0,isnumber(Raw!CS97),Raw!CS97&gt;0),Raw!BM97,)</f>
        <v/>
      </c>
      <c r="AH97" s="215">
        <f t="shared" si="8"/>
        <v>0.3497153807</v>
      </c>
      <c r="AI97" s="214" t="str">
        <f t="shared" ref="AI97:AK97" si="103">if(AND(AD97&gt;0,isnumber($AB97)),$AB97,)</f>
        <v/>
      </c>
      <c r="AJ97" s="214" t="str">
        <f t="shared" si="103"/>
        <v/>
      </c>
      <c r="AK97" s="214" t="str">
        <f t="shared" si="103"/>
        <v/>
      </c>
      <c r="AL97" s="214" t="str">
        <f>if(AND(Raw!BK97&gt;0,isblank(Raw!BM97),isnumber(Raw!CS97),Raw!CS97&gt;0),Raw!BK97,)</f>
        <v/>
      </c>
      <c r="AM97" s="214" t="str">
        <f>if(AND(Raw!BK97&gt;0,Raw!BM97&gt;0,isnumber(Raw!CS97),Raw!CS97&gt;0),Raw!BM97,)</f>
        <v/>
      </c>
      <c r="AN97" s="214" t="str">
        <f>if(AND(Raw!BK97&gt;0,Raw!BM97&gt;0,isnumber(Raw!CS97),Raw!CS97&gt;0),Raw!BK97,)</f>
        <v/>
      </c>
      <c r="AO97" s="214" t="str">
        <f t="array" ref="AO97">if(Raw!H97="Vinland",max(AO$1:indirect("AO"&amp;(row()-1)))+1,)</f>
        <v/>
      </c>
      <c r="AP97" s="214" t="str">
        <f t="array" ref="AP97">if(Raw!H97="Icelandic",max(AP$1:indirect("AP"&amp;(row()-1)))+1,)</f>
        <v/>
      </c>
      <c r="AQ97" s="214" t="str">
        <f t="array" ref="AQ97">if(Raw!H97="Turf-to-Tools",max(AQ$1:indirect("AQ"&amp;(row()-1)))+1,)</f>
        <v/>
      </c>
      <c r="AR97" s="216">
        <f>IFS(OR(iserror(Raw!BP97),iserror(Raw!BQ97)),"NR",OR(Raw!BP97="?",Raw!BQ97="?"),"?",1,(Raw!BP97+Raw!BQ97)*Raw!BH97/100)</f>
        <v>10.608</v>
      </c>
      <c r="AS97" s="214"/>
      <c r="AT97" s="214"/>
      <c r="AU97" s="214"/>
      <c r="AV97" s="214"/>
      <c r="AW97" s="214"/>
      <c r="AX97" s="214"/>
      <c r="AY97" s="214"/>
    </row>
    <row r="98">
      <c r="A98" s="126" t="str">
        <f>Raw!A98</f>
        <v>94 / D37</v>
      </c>
      <c r="B98" s="208">
        <f>if(isnumber(O98),if(isblank(Raw!Z98),O98,concatenate(O98," (E)")),"ERROR")</f>
        <v>490.9</v>
      </c>
      <c r="C98" s="174">
        <f>ifs(Raw!S98="NR","NR",isblank(O98),"ERROR",1,O98*Raw!S98)</f>
        <v>22090.5</v>
      </c>
      <c r="D98" s="209" t="str">
        <f>ifs(AND(isnumber(Raw!X98),isnumber(Raw!Y98)),Raw!X98-Raw!Y98, AND(isnumber(Raw!U98),isnumber(Raw!V98)),Raw!U98-Raw!V98,1,)</f>
        <v/>
      </c>
      <c r="E98" s="209">
        <f>IFS(isnumber(Raw!X98),Raw!X98/2,isnumber(Raw!U98),Raw!U98/2,1,)</f>
        <v>12.5</v>
      </c>
      <c r="F98" s="209">
        <f t="shared" si="2"/>
        <v>490.9</v>
      </c>
      <c r="G98" s="209" t="str">
        <f>if(and(isnumber(Raw!U98),isnumber(Raw!V98)),round(Raw!U98*Raw!V98,1),)</f>
        <v/>
      </c>
      <c r="H98" s="209" t="str">
        <f>if(and(isnumber(Raw!U98),isnumber(Raw!V98)),round(pi()*Raw!U98/2*Raw!V98/2,1),)</f>
        <v/>
      </c>
      <c r="I98" s="210">
        <f t="shared" si="3"/>
        <v>490.9</v>
      </c>
      <c r="J98" s="209">
        <f t="shared" si="4"/>
        <v>541.3</v>
      </c>
      <c r="K98" s="209">
        <f t="shared" si="5"/>
        <v>526.7</v>
      </c>
      <c r="L98" s="209">
        <f t="shared" si="6"/>
        <v>517.8</v>
      </c>
      <c r="M98" s="209">
        <f t="shared" si="7"/>
        <v>511.8</v>
      </c>
      <c r="N98" s="210" t="str">
        <f>if(and(isnumber(Raw!U98),isnumber(Raw!V98),isnumber(Raw!W98)),0.5*Pi()*(Raw!V98/2)^2+(Raw!W98*(Raw!U98-0.5*Raw!V98))+2*((Raw!V98-Raw!W98)/2*(Raw!U98-0.5*Raw!V98)),)</f>
        <v/>
      </c>
      <c r="O98" s="174">
        <f>ifs(Raw!M98="Rectangle",G98,Raw!M98="Cut-teardrop",N98,Raw!M98="Oval",H98,Raw!M98="Flat Circle",I98,Raw!M98="Oval to Circle",F98,Raw!M98="Circle",F98,AND(Raw!M98="Circle to Oval",isnumber(Raw!X98),isblank(Raw!Z98)),F98,Raw!M98="Hexagon",J98,Raw!M98="Septagon",K98,Raw!M98="Octagon",L98,Raw!M98="Nonagon",M98)</f>
        <v>490.9</v>
      </c>
      <c r="Q98" s="211">
        <f>if(AND(isnumber(Raw!BW98),isnumber(Raw!CJ98)),Raw!BW98+Raw!CJ98,Raw!CE98)</f>
        <v>847</v>
      </c>
      <c r="R98" s="126">
        <f>if(isnumber(Raw!CE98),Raw!CE98,)</f>
        <v>397</v>
      </c>
      <c r="S98" s="144" t="str">
        <f>if(isblank(Raw!AT98),Raw!AS98,Raw!AT98)</f>
        <v>instrument fail</v>
      </c>
      <c r="T98" s="145"/>
      <c r="U98" s="212" t="str">
        <f>ifs(istext(Raw!AT98),Raw!AT98,AND(Raw!AT98&gt;0,isblank(Raw!AS98)),Raw!AT98,1,Raw!AS98)</f>
        <v>instrument fail</v>
      </c>
      <c r="V98" s="144"/>
      <c r="W98" s="130"/>
      <c r="Y98" s="125" t="s">
        <v>123</v>
      </c>
      <c r="Z98" s="125" t="s">
        <v>123</v>
      </c>
      <c r="AA98" s="213">
        <f>ifs(AND(Raw!BH98=0,Raw!BK98&gt;0),Raw!BK98*Numbers!J$1,OR(iserror(AB98),Raw!BK98="NR"),"?",1,AB98*Raw!BH98+Raw!BK98*Numbers!J$1)</f>
        <v>9.594610687</v>
      </c>
      <c r="AB98" s="130">
        <f>(Raw!AY98*vlookup(Raw!AX98,Ores[],11,FALSE)+if(isblank(Raw!AZ98),0,Raw!BA98*vlookup(Raw!AZ98,Ores[],11,FALSE))+if(isblank(Raw!BB98),0,Raw!BC98*vlookup(Raw!BB98,Ores[],11,FALSE))+if(isblank(Raw!BD98),0,Raw!BE98*vlookup(Raw!BD98,Ores[],11,FALSE))+if(isblank(Raw!BF98),0,Raw!BG98*vlookup(Raw!BF98,Ores[],11,FALSE)))/Raw!BH98</f>
        <v>0.5482634678</v>
      </c>
      <c r="AC98" s="130" t="str">
        <f>if(AND(isblank(Raw!BK98),isblank(Raw!BM98),isnumber(Raw!CS98),Raw!CS98&gt;0),if(isnumber(Raw!BL98),Raw!CS98/Raw!BL98,Raw!BL98),)</f>
        <v/>
      </c>
      <c r="AD98" s="130" t="str">
        <f>if(AND(Raw!BK98&gt;0,isblank(Raw!BM98),isnumber(Raw!CS98),Raw!CS98&gt;0),if(isnumber(Raw!BL98),Raw!CS98/Raw!BL98,Raw!BL98),)</f>
        <v/>
      </c>
      <c r="AE98" s="130">
        <f>if(AND(isblank(Raw!BK98),Raw!BM98&gt;0,isnumber(Raw!CS98),Raw!CS98&gt;0),if(isnumber(Raw!BL98),Raw!CS98/Raw!BL98,Raw!BL98),)</f>
        <v>0.1727428571</v>
      </c>
      <c r="AF98" s="130" t="str">
        <f>if(AND(Raw!BK98&gt;0,Raw!BM98&gt;0,isnumber(Raw!CS98),Raw!CS98&gt;0),if(isnumber(Raw!BL98),Raw!CS98/Raw!BL98,Raw!BL98),)</f>
        <v/>
      </c>
      <c r="AG98" s="214">
        <f>if(AND(isblank(Raw!BK98),Raw!BM98&gt;0,isnumber(Raw!CS98),Raw!CS98&gt;0),Raw!BM98,)</f>
        <v>2.8</v>
      </c>
      <c r="AH98" s="214" t="str">
        <f t="shared" si="8"/>
        <v/>
      </c>
      <c r="AI98" s="214" t="str">
        <f t="shared" ref="AI98:AK98" si="104">if(AND(AD98&gt;0,isnumber($AB98)),$AB98,)</f>
        <v/>
      </c>
      <c r="AJ98" s="215">
        <f t="shared" si="104"/>
        <v>0.5482634678</v>
      </c>
      <c r="AK98" s="214" t="str">
        <f t="shared" si="104"/>
        <v/>
      </c>
      <c r="AL98" s="214" t="str">
        <f>if(AND(Raw!BK98&gt;0,isblank(Raw!BM98),isnumber(Raw!CS98),Raw!CS98&gt;0),Raw!BK98,)</f>
        <v/>
      </c>
      <c r="AM98" s="214" t="str">
        <f>if(AND(Raw!BK98&gt;0,Raw!BM98&gt;0,isnumber(Raw!CS98),Raw!CS98&gt;0),Raw!BM98,)</f>
        <v/>
      </c>
      <c r="AN98" s="214" t="str">
        <f>if(AND(Raw!BK98&gt;0,Raw!BM98&gt;0,isnumber(Raw!CS98),Raw!CS98&gt;0),Raw!BK98,)</f>
        <v/>
      </c>
      <c r="AO98" s="214" t="str">
        <f t="array" ref="AO98">if(Raw!H98="Vinland",max(AO$1:indirect("AO"&amp;(row()-1)))+1,)</f>
        <v/>
      </c>
      <c r="AP98" s="214" t="str">
        <f t="array" ref="AP98">if(Raw!H98="Icelandic",max(AP$1:indirect("AP"&amp;(row()-1)))+1,)</f>
        <v/>
      </c>
      <c r="AQ98" s="214" t="str">
        <f t="array" ref="AQ98">if(Raw!H98="Turf-to-Tools",max(AQ$1:indirect("AQ"&amp;(row()-1)))+1,)</f>
        <v/>
      </c>
      <c r="AR98" s="216">
        <f>IFS(OR(iserror(Raw!BP98),iserror(Raw!BQ98)),"NR",OR(Raw!BP98="?",Raw!BQ98="?"),"?",1,(Raw!BP98+Raw!BQ98)*Raw!BH98/100)</f>
        <v>1.287096774</v>
      </c>
      <c r="AS98" s="214"/>
      <c r="AT98" s="214"/>
      <c r="AU98" s="214"/>
      <c r="AV98" s="214"/>
      <c r="AW98" s="214"/>
      <c r="AX98" s="214"/>
      <c r="AY98" s="214"/>
    </row>
    <row r="99" ht="18.0" customHeight="1">
      <c r="A99" s="126" t="str">
        <f>Raw!A99</f>
        <v>95 / D38</v>
      </c>
      <c r="B99" s="208">
        <f>if(isnumber(O99),if(isblank(Raw!Z99),O99,concatenate(O99," (E)")),"ERROR")</f>
        <v>490.9</v>
      </c>
      <c r="C99" s="174">
        <f>ifs(Raw!S99="NR","NR",isblank(O99),"ERROR",1,O99*Raw!S99)</f>
        <v>28963.1</v>
      </c>
      <c r="D99" s="209" t="str">
        <f>ifs(AND(isnumber(Raw!X99),isnumber(Raw!Y99)),Raw!X99-Raw!Y99, AND(isnumber(Raw!U99),isnumber(Raw!V99)),Raw!U99-Raw!V99,1,)</f>
        <v/>
      </c>
      <c r="E99" s="209">
        <f>IFS(isnumber(Raw!X99),Raw!X99/2,isnumber(Raw!U99),Raw!U99/2,1,)</f>
        <v>12.5</v>
      </c>
      <c r="F99" s="209">
        <f t="shared" si="2"/>
        <v>490.9</v>
      </c>
      <c r="G99" s="209" t="str">
        <f>if(and(isnumber(Raw!U99),isnumber(Raw!V99)),round(Raw!U99*Raw!V99,1),)</f>
        <v/>
      </c>
      <c r="H99" s="209" t="str">
        <f>if(and(isnumber(Raw!U99),isnumber(Raw!V99)),round(pi()*Raw!U99/2*Raw!V99/2,1),)</f>
        <v/>
      </c>
      <c r="I99" s="210">
        <f t="shared" si="3"/>
        <v>490.9</v>
      </c>
      <c r="J99" s="209">
        <f t="shared" si="4"/>
        <v>541.3</v>
      </c>
      <c r="K99" s="209">
        <f t="shared" si="5"/>
        <v>526.7</v>
      </c>
      <c r="L99" s="209">
        <f t="shared" si="6"/>
        <v>517.8</v>
      </c>
      <c r="M99" s="209">
        <f t="shared" si="7"/>
        <v>511.8</v>
      </c>
      <c r="N99" s="210" t="str">
        <f>if(and(isnumber(Raw!U99),isnumber(Raw!V99),isnumber(Raw!W99)),0.5*Pi()*(Raw!V99/2)^2+(Raw!W99*(Raw!U99-0.5*Raw!V99))+2*((Raw!V99-Raw!W99)/2*(Raw!U99-0.5*Raw!V99)),)</f>
        <v/>
      </c>
      <c r="O99" s="174">
        <f>ifs(Raw!M99="Rectangle",G99,Raw!M99="Cut-teardrop",N99,Raw!M99="Oval",H99,Raw!M99="Flat Circle",I99,Raw!M99="Oval to Circle",F99,Raw!M99="Circle",F99,AND(Raw!M99="Circle to Oval",isnumber(Raw!X99),isblank(Raw!Z99)),F99,Raw!M99="Hexagon",J99,Raw!M99="Septagon",K99,Raw!M99="Octagon",L99,Raw!M99="Nonagon",M99)</f>
        <v>490.9</v>
      </c>
      <c r="Q99" s="211">
        <f>if(AND(isnumber(Raw!BW99),isnumber(Raw!CJ99)),Raw!BW99+Raw!CJ99,Raw!CE99)</f>
        <v>724</v>
      </c>
      <c r="R99" s="126">
        <f>if(isnumber(Raw!CE99),Raw!CE99,)</f>
        <v>319</v>
      </c>
      <c r="S99" s="144">
        <f>if(isblank(Raw!AT99),Raw!AS99,Raw!AT99)</f>
        <v>525</v>
      </c>
      <c r="T99" s="145"/>
      <c r="U99" s="212">
        <f>ifs(istext(Raw!AT99),Raw!AT99,AND(Raw!AT99&gt;0,isblank(Raw!AS99)),Raw!AT99,1,Raw!AS99)</f>
        <v>525</v>
      </c>
      <c r="V99" s="144"/>
      <c r="W99" s="130"/>
      <c r="Y99" s="125" t="s">
        <v>123</v>
      </c>
      <c r="Z99" s="125" t="s">
        <v>123</v>
      </c>
      <c r="AA99" s="213">
        <f>ifs(AND(Raw!BH99=0,Raw!BK99&gt;0),Raw!BK99*Numbers!J$1,OR(iserror(AB99),Raw!BK99="NR"),"?",1,AB99*Raw!BH99+Raw!BK99*Numbers!J$1)</f>
        <v>9.594610687</v>
      </c>
      <c r="AB99" s="130">
        <f>(Raw!AY99*vlookup(Raw!AX99,Ores[],11,FALSE)+if(isblank(Raw!AZ99),0,Raw!BA99*vlookup(Raw!AZ99,Ores[],11,FALSE))+if(isblank(Raw!BB99),0,Raw!BC99*vlookup(Raw!BB99,Ores[],11,FALSE))+if(isblank(Raw!BD99),0,Raw!BE99*vlookup(Raw!BD99,Ores[],11,FALSE))+if(isblank(Raw!BF99),0,Raw!BG99*vlookup(Raw!BF99,Ores[],11,FALSE)))/Raw!BH99</f>
        <v>0.5482634678</v>
      </c>
      <c r="AC99" s="130" t="str">
        <f>if(AND(isblank(Raw!BK99),isblank(Raw!BM99),isnumber(Raw!CS99),Raw!CS99&gt;0),if(isnumber(Raw!BL99),Raw!CS99/Raw!BL99,Raw!BL99),)</f>
        <v/>
      </c>
      <c r="AD99" s="130" t="str">
        <f>if(AND(Raw!BK99&gt;0,isblank(Raw!BM99),isnumber(Raw!CS99),Raw!CS99&gt;0),if(isnumber(Raw!BL99),Raw!CS99/Raw!BL99,Raw!BL99),)</f>
        <v/>
      </c>
      <c r="AE99" s="130" t="str">
        <f>if(AND(isblank(Raw!BK99),Raw!BM99&gt;0,isnumber(Raw!CS99),Raw!CS99&gt;0),if(isnumber(Raw!BL99),Raw!CS99/Raw!BL99,Raw!BL99),)</f>
        <v/>
      </c>
      <c r="AF99" s="130" t="str">
        <f>if(AND(Raw!BK99&gt;0,Raw!BM99&gt;0,isnumber(Raw!CS99),Raw!CS99&gt;0),if(isnumber(Raw!BL99),Raw!CS99/Raw!BL99,Raw!BL99),)</f>
        <v/>
      </c>
      <c r="AG99" s="214" t="str">
        <f>if(AND(isblank(Raw!BK99),Raw!BM99&gt;0,isnumber(Raw!CS99),Raw!CS99&gt;0),Raw!BM99,)</f>
        <v/>
      </c>
      <c r="AH99" s="214" t="str">
        <f t="shared" si="8"/>
        <v/>
      </c>
      <c r="AI99" s="214" t="str">
        <f t="shared" ref="AI99:AK99" si="105">if(AND(AD99&gt;0,isnumber($AB99)),$AB99,)</f>
        <v/>
      </c>
      <c r="AJ99" s="214" t="str">
        <f t="shared" si="105"/>
        <v/>
      </c>
      <c r="AK99" s="214" t="str">
        <f t="shared" si="105"/>
        <v/>
      </c>
      <c r="AL99" s="214" t="str">
        <f>if(AND(Raw!BK99&gt;0,isblank(Raw!BM99),isnumber(Raw!CS99),Raw!CS99&gt;0),Raw!BK99,)</f>
        <v/>
      </c>
      <c r="AM99" s="214" t="str">
        <f>if(AND(Raw!BK99&gt;0,Raw!BM99&gt;0,isnumber(Raw!CS99),Raw!CS99&gt;0),Raw!BM99,)</f>
        <v/>
      </c>
      <c r="AN99" s="214" t="str">
        <f>if(AND(Raw!BK99&gt;0,Raw!BM99&gt;0,isnumber(Raw!CS99),Raw!CS99&gt;0),Raw!BK99,)</f>
        <v/>
      </c>
      <c r="AO99" s="214" t="str">
        <f t="array" ref="AO99">if(Raw!H99="Vinland",max(AO$1:indirect("AO"&amp;(row()-1)))+1,)</f>
        <v/>
      </c>
      <c r="AP99" s="214" t="str">
        <f t="array" ref="AP99">if(Raw!H99="Icelandic",max(AP$1:indirect("AP"&amp;(row()-1)))+1,)</f>
        <v/>
      </c>
      <c r="AQ99" s="214" t="str">
        <f t="array" ref="AQ99">if(Raw!H99="Turf-to-Tools",max(AQ$1:indirect("AQ"&amp;(row()-1)))+1,)</f>
        <v/>
      </c>
      <c r="AR99" s="216">
        <f>IFS(OR(iserror(Raw!BP99),iserror(Raw!BQ99)),"NR",OR(Raw!BP99="?",Raw!BQ99="?"),"?",1,(Raw!BP99+Raw!BQ99)*Raw!BH99/100)</f>
        <v>1.287096774</v>
      </c>
      <c r="AS99" s="214"/>
      <c r="AT99" s="214"/>
      <c r="AU99" s="214"/>
      <c r="AV99" s="214"/>
      <c r="AW99" s="214"/>
      <c r="AX99" s="214"/>
      <c r="AY99" s="214"/>
    </row>
    <row r="100">
      <c r="A100" s="126" t="str">
        <f>Raw!A100</f>
        <v>96 / D39</v>
      </c>
      <c r="B100" s="208">
        <f>if(isnumber(O100),if(isblank(Raw!Z100),O100,concatenate(O100," (E)")),"ERROR")</f>
        <v>380.1</v>
      </c>
      <c r="C100" s="174">
        <f>ifs(Raw!S100="NR","NR",isblank(O100),"ERROR",1,O100*Raw!S100)</f>
        <v>16344.3</v>
      </c>
      <c r="D100" s="209" t="str">
        <f>ifs(AND(isnumber(Raw!X100),isnumber(Raw!Y100)),Raw!X100-Raw!Y100, AND(isnumber(Raw!U100),isnumber(Raw!V100)),Raw!U100-Raw!V100,1,)</f>
        <v/>
      </c>
      <c r="E100" s="209">
        <f>IFS(isnumber(Raw!X100),Raw!X100/2,isnumber(Raw!U100),Raw!U100/2,1,)</f>
        <v>11</v>
      </c>
      <c r="F100" s="209">
        <f t="shared" si="2"/>
        <v>380.1</v>
      </c>
      <c r="G100" s="209" t="str">
        <f>if(and(isnumber(Raw!U100),isnumber(Raw!V100)),round(Raw!U100*Raw!V100,1),)</f>
        <v/>
      </c>
      <c r="H100" s="209" t="str">
        <f>if(and(isnumber(Raw!U100),isnumber(Raw!V100)),round(pi()*Raw!U100/2*Raw!V100/2,1),)</f>
        <v/>
      </c>
      <c r="I100" s="210">
        <f t="shared" si="3"/>
        <v>380.1</v>
      </c>
      <c r="J100" s="209">
        <f t="shared" si="4"/>
        <v>419.2</v>
      </c>
      <c r="K100" s="209">
        <f t="shared" si="5"/>
        <v>407.9</v>
      </c>
      <c r="L100" s="209">
        <f t="shared" si="6"/>
        <v>401</v>
      </c>
      <c r="M100" s="209">
        <f t="shared" si="7"/>
        <v>396.4</v>
      </c>
      <c r="N100" s="210" t="str">
        <f>if(and(isnumber(Raw!U100),isnumber(Raw!V100),isnumber(Raw!W100)),0.5*Pi()*(Raw!V100/2)^2+(Raw!W100*(Raw!U100-0.5*Raw!V100))+2*((Raw!V100-Raw!W100)/2*(Raw!U100-0.5*Raw!V100)),)</f>
        <v/>
      </c>
      <c r="O100" s="174">
        <f>ifs(Raw!M100="Rectangle",G100,Raw!M100="Cut-teardrop",N100,Raw!M100="Oval",H100,Raw!M100="Flat Circle",I100,Raw!M100="Oval to Circle",F100,Raw!M100="Circle",F100,AND(Raw!M100="Circle to Oval",isnumber(Raw!X100),isblank(Raw!Z100)),F100,Raw!M100="Hexagon",J100,Raw!M100="Septagon",K100,Raw!M100="Octagon",L100,Raw!M100="Nonagon",M100)</f>
        <v>380.1</v>
      </c>
      <c r="Q100" s="211">
        <f>if(AND(isnumber(Raw!BW100),isnumber(Raw!CJ100)),Raw!BW100+Raw!CJ100,Raw!CE100)</f>
        <v>775</v>
      </c>
      <c r="R100" s="126">
        <f>if(isnumber(Raw!CE100),Raw!CE100,)</f>
        <v>332</v>
      </c>
      <c r="S100" s="144">
        <f>if(isblank(Raw!AT100),Raw!AS100,Raw!AT100)</f>
        <v>601.035</v>
      </c>
      <c r="T100" s="145"/>
      <c r="U100" s="212">
        <f>ifs(istext(Raw!AT100),Raw!AT100,AND(Raw!AT100&gt;0,isblank(Raw!AS100)),Raw!AT100,1,Raw!AS100)</f>
        <v>601.035</v>
      </c>
      <c r="V100" s="144"/>
      <c r="W100" s="130"/>
      <c r="Y100" s="125" t="s">
        <v>123</v>
      </c>
      <c r="Z100" s="125" t="s">
        <v>123</v>
      </c>
      <c r="AA100" s="213">
        <f>ifs(AND(Raw!BH100=0,Raw!BK100&gt;0),Raw!BK100*Numbers!J$1,OR(iserror(AB100),Raw!BK100="NR"),"?",1,AB100*Raw!BH100+Raw!BK100*Numbers!J$1)</f>
        <v>8.223952017</v>
      </c>
      <c r="AB100" s="130">
        <f>(Raw!AY100*vlookup(Raw!AX100,Ores[],11,FALSE)+if(isblank(Raw!AZ100),0,Raw!BA100*vlookup(Raw!AZ100,Ores[],11,FALSE))+if(isblank(Raw!BB100),0,Raw!BC100*vlookup(Raw!BB100,Ores[],11,FALSE))+if(isblank(Raw!BD100),0,Raw!BE100*vlookup(Raw!BD100,Ores[],11,FALSE))+if(isblank(Raw!BF100),0,Raw!BG100*vlookup(Raw!BF100,Ores[],11,FALSE)))/Raw!BH100</f>
        <v>0.5482634678</v>
      </c>
      <c r="AC100" s="130" t="str">
        <f>if(AND(isblank(Raw!BK100),isblank(Raw!BM100),isnumber(Raw!CS100),Raw!CS100&gt;0),if(isnumber(Raw!BL100),Raw!CS100/Raw!BL100,Raw!BL100),)</f>
        <v/>
      </c>
      <c r="AD100" s="130" t="str">
        <f>if(AND(Raw!BK100&gt;0,isblank(Raw!BM100),isnumber(Raw!CS100),Raw!CS100&gt;0),if(isnumber(Raw!BL100),Raw!CS100/Raw!BL100,Raw!BL100),)</f>
        <v/>
      </c>
      <c r="AE100" s="130">
        <f>if(AND(isblank(Raw!BK100),Raw!BM100&gt;0,isnumber(Raw!CS100),Raw!CS100&gt;0),if(isnumber(Raw!BL100),Raw!CS100/Raw!BL100,Raw!BL100),)</f>
        <v>0.2201333333</v>
      </c>
      <c r="AF100" s="130" t="str">
        <f>if(AND(Raw!BK100&gt;0,Raw!BM100&gt;0,isnumber(Raw!CS100),Raw!CS100&gt;0),if(isnumber(Raw!BL100),Raw!CS100/Raw!BL100,Raw!BL100),)</f>
        <v/>
      </c>
      <c r="AG100" s="214">
        <f>if(AND(isblank(Raw!BK100),Raw!BM100&gt;0,isnumber(Raw!CS100),Raw!CS100&gt;0),Raw!BM100,)</f>
        <v>3</v>
      </c>
      <c r="AH100" s="214" t="str">
        <f t="shared" si="8"/>
        <v/>
      </c>
      <c r="AI100" s="214" t="str">
        <f t="shared" ref="AI100:AK100" si="106">if(AND(AD100&gt;0,isnumber($AB100)),$AB100,)</f>
        <v/>
      </c>
      <c r="AJ100" s="215">
        <f t="shared" si="106"/>
        <v>0.5482634678</v>
      </c>
      <c r="AK100" s="214" t="str">
        <f t="shared" si="106"/>
        <v/>
      </c>
      <c r="AL100" s="214" t="str">
        <f>if(AND(Raw!BK100&gt;0,isblank(Raw!BM100),isnumber(Raw!CS100),Raw!CS100&gt;0),Raw!BK100,)</f>
        <v/>
      </c>
      <c r="AM100" s="214" t="str">
        <f>if(AND(Raw!BK100&gt;0,Raw!BM100&gt;0,isnumber(Raw!CS100),Raw!CS100&gt;0),Raw!BM100,)</f>
        <v/>
      </c>
      <c r="AN100" s="214" t="str">
        <f>if(AND(Raw!BK100&gt;0,Raw!BM100&gt;0,isnumber(Raw!CS100),Raw!CS100&gt;0),Raw!BK100,)</f>
        <v/>
      </c>
      <c r="AO100" s="214" t="str">
        <f t="array" ref="AO100">if(Raw!H100="Vinland",max(AO$1:indirect("AO"&amp;(row()-1)))+1,)</f>
        <v/>
      </c>
      <c r="AP100" s="214" t="str">
        <f t="array" ref="AP100">if(Raw!H100="Icelandic",max(AP$1:indirect("AP"&amp;(row()-1)))+1,)</f>
        <v/>
      </c>
      <c r="AQ100" s="214" t="str">
        <f t="array" ref="AQ100">if(Raw!H100="Turf-to-Tools",max(AQ$1:indirect("AQ"&amp;(row()-1)))+1,)</f>
        <v/>
      </c>
      <c r="AR100" s="216">
        <f>IFS(OR(iserror(Raw!BP100),iserror(Raw!BQ100)),"NR",OR(Raw!BP100="?",Raw!BQ100="?"),"?",1,(Raw!BP100+Raw!BQ100)*Raw!BH100/100)</f>
        <v>1.103225806</v>
      </c>
    </row>
    <row r="101">
      <c r="A101" s="126">
        <f>Raw!A101</f>
        <v>97</v>
      </c>
      <c r="B101" s="208">
        <f>if(isnumber(O101),if(isblank(Raw!Z101),O101,concatenate(O101," (E)")),"ERROR")</f>
        <v>660.5</v>
      </c>
      <c r="C101" s="174">
        <f>ifs(Raw!S101="NR","NR",isblank(O101),"ERROR",1,O101*Raw!S101)</f>
        <v>28401.5</v>
      </c>
      <c r="D101" s="209" t="str">
        <f>ifs(AND(isnumber(Raw!X101),isnumber(Raw!Y101)),Raw!X101-Raw!Y101, AND(isnumber(Raw!U101),isnumber(Raw!V101)),Raw!U101-Raw!V101,1,)</f>
        <v/>
      </c>
      <c r="E101" s="209">
        <f>IFS(isnumber(Raw!X101),Raw!X101/2,isnumber(Raw!U101),Raw!U101/2,1,)</f>
        <v>14.5</v>
      </c>
      <c r="F101" s="209">
        <f t="shared" si="2"/>
        <v>660.5</v>
      </c>
      <c r="G101" s="209" t="str">
        <f>if(and(isnumber(Raw!U101),isnumber(Raw!V101)),round(Raw!U101*Raw!V101,1),)</f>
        <v/>
      </c>
      <c r="H101" s="209" t="str">
        <f>if(and(isnumber(Raw!U101),isnumber(Raw!V101)),round(pi()*Raw!U101/2*Raw!V101/2,1),)</f>
        <v/>
      </c>
      <c r="I101" s="210">
        <f t="shared" si="3"/>
        <v>660.5</v>
      </c>
      <c r="J101" s="209">
        <f t="shared" si="4"/>
        <v>728.3</v>
      </c>
      <c r="K101" s="209">
        <f t="shared" si="5"/>
        <v>708.8</v>
      </c>
      <c r="L101" s="209">
        <f t="shared" si="6"/>
        <v>696.7</v>
      </c>
      <c r="M101" s="209">
        <f t="shared" si="7"/>
        <v>688.7</v>
      </c>
      <c r="N101" s="210" t="str">
        <f>if(and(isnumber(Raw!U101),isnumber(Raw!V101),isnumber(Raw!W101)),0.5*Pi()*(Raw!V101/2)^2+(Raw!W101*(Raw!U101-0.5*Raw!V101))+2*((Raw!V101-Raw!W101)/2*(Raw!U101-0.5*Raw!V101)),)</f>
        <v/>
      </c>
      <c r="O101" s="174">
        <f>ifs(Raw!M101="Rectangle",G101,Raw!M101="Cut-teardrop",N101,Raw!M101="Oval",H101,Raw!M101="Flat Circle",I101,Raw!M101="Oval to Circle",F101,Raw!M101="Circle",F101,AND(Raw!M101="Circle to Oval",isnumber(Raw!X101),isblank(Raw!Z101)),F101,Raw!M101="Hexagon",J101,Raw!M101="Septagon",K101,Raw!M101="Octagon",L101,Raw!M101="Nonagon",M101)</f>
        <v>660.5</v>
      </c>
      <c r="Q101" s="211">
        <f>if(AND(isnumber(Raw!BW101),isnumber(Raw!CJ101)),Raw!BW101+Raw!CJ101,Raw!CE101)</f>
        <v>446</v>
      </c>
      <c r="R101" s="126">
        <f>if(isnumber(Raw!CE101),Raw!CE101,)</f>
        <v>159</v>
      </c>
      <c r="S101" s="144" t="str">
        <f>if(isblank(Raw!AT101),Raw!AS101,Raw!AT101)</f>
        <v>NR</v>
      </c>
      <c r="T101" s="145"/>
      <c r="U101" s="212" t="str">
        <f>ifs(istext(Raw!AT101),Raw!AT101,AND(Raw!AT101&gt;0,isblank(Raw!AS101)),Raw!AT101,1,Raw!AS101)</f>
        <v>NR</v>
      </c>
      <c r="V101" s="144"/>
      <c r="W101" s="130"/>
      <c r="Z101" s="125" t="s">
        <v>123</v>
      </c>
      <c r="AA101" s="213" t="str">
        <f>ifs(AND(Raw!BH101=0,Raw!BK101&gt;0),Raw!BK101*Numbers!J$1,OR(iserror(AB101),Raw!BK101="NR"),"?",1,AB101*Raw!BH101+Raw!BK101*Numbers!J$1)</f>
        <v>?</v>
      </c>
      <c r="AB101" s="130" t="str">
        <f>(Raw!AY101*vlookup(Raw!AX101,Ores[],11,FALSE)+if(isblank(Raw!AZ101),0,Raw!BA101*vlookup(Raw!AZ101,Ores[],11,FALSE))+if(isblank(Raw!BB101),0,Raw!BC101*vlookup(Raw!BB101,Ores[],11,FALSE))+if(isblank(Raw!BD101),0,Raw!BE101*vlookup(Raw!BD101,Ores[],11,FALSE))+if(isblank(Raw!BF101),0,Raw!BG101*vlookup(Raw!BF101,Ores[],11,FALSE)))/Raw!BH101</f>
        <v>#VALUE!</v>
      </c>
      <c r="AC101" s="130">
        <f>if(AND(isblank(Raw!BK101),isblank(Raw!BM101),isnumber(Raw!CS101),Raw!CS101&gt;0),if(isnumber(Raw!BL101),Raw!CS101/Raw!BL101,Raw!BL101),)</f>
        <v>0.09032258065</v>
      </c>
      <c r="AD101" s="130" t="str">
        <f>if(AND(Raw!BK101&gt;0,isblank(Raw!BM101),isnumber(Raw!CS101),Raw!CS101&gt;0),if(isnumber(Raw!BL101),Raw!CS101/Raw!BL101,Raw!BL101),)</f>
        <v/>
      </c>
      <c r="AE101" s="130" t="str">
        <f>if(AND(isblank(Raw!BK101),Raw!BM101&gt;0,isnumber(Raw!CS101),Raw!CS101&gt;0),if(isnumber(Raw!BL101),Raw!CS101/Raw!BL101,Raw!BL101),)</f>
        <v/>
      </c>
      <c r="AF101" s="130" t="str">
        <f>if(AND(Raw!BK101&gt;0,Raw!BM101&gt;0,isnumber(Raw!CS101),Raw!CS101&gt;0),if(isnumber(Raw!BL101),Raw!CS101/Raw!BL101,Raw!BL101),)</f>
        <v/>
      </c>
      <c r="AG101" s="214" t="str">
        <f>if(AND(isblank(Raw!BK101),Raw!BM101&gt;0,isnumber(Raw!CS101),Raw!CS101&gt;0),Raw!BM101,)</f>
        <v/>
      </c>
      <c r="AH101" s="214" t="str">
        <f t="shared" si="8"/>
        <v/>
      </c>
      <c r="AI101" s="214" t="str">
        <f t="shared" ref="AI101:AK101" si="107">if(AND(AD101&gt;0,isnumber($AB101)),$AB101,)</f>
        <v/>
      </c>
      <c r="AJ101" s="214" t="str">
        <f t="shared" si="107"/>
        <v/>
      </c>
      <c r="AK101" s="214" t="str">
        <f t="shared" si="107"/>
        <v/>
      </c>
      <c r="AL101" s="214" t="str">
        <f>if(AND(Raw!BK101&gt;0,isblank(Raw!BM101),isnumber(Raw!CS101),Raw!CS101&gt;0),Raw!BK101,)</f>
        <v/>
      </c>
      <c r="AM101" s="214" t="str">
        <f>if(AND(Raw!BK101&gt;0,Raw!BM101&gt;0,isnumber(Raw!CS101),Raw!CS101&gt;0),Raw!BM101,)</f>
        <v/>
      </c>
      <c r="AN101" s="214" t="str">
        <f>if(AND(Raw!BK101&gt;0,Raw!BM101&gt;0,isnumber(Raw!CS101),Raw!CS101&gt;0),Raw!BK101,)</f>
        <v/>
      </c>
      <c r="AO101" s="214" t="str">
        <f t="array" ref="AO101">if(Raw!H101="Vinland",max(AO$1:indirect("AO"&amp;(row()-1)))+1,)</f>
        <v/>
      </c>
      <c r="AP101" s="214" t="str">
        <f t="array" ref="AP101">if(Raw!H101="Icelandic",max(AP$1:indirect("AP"&amp;(row()-1)))+1,)</f>
        <v/>
      </c>
      <c r="AQ101" s="214" t="str">
        <f t="array" ref="AQ101">if(Raw!H101="Turf-to-Tools",max(AQ$1:indirect("AQ"&amp;(row()-1)))+1,)</f>
        <v/>
      </c>
      <c r="AR101" s="216">
        <f>IFS(OR(iserror(Raw!BP101),iserror(Raw!BQ101)),"NR",OR(Raw!BP101="?",Raw!BQ101="?"),"?",1,(Raw!BP101+Raw!BQ101)*Raw!BH101/100)</f>
        <v>0</v>
      </c>
    </row>
    <row r="102">
      <c r="A102" s="126" t="str">
        <f>Raw!A102</f>
        <v>98 / D40</v>
      </c>
      <c r="B102" s="208">
        <f>if(isnumber(O102),if(isblank(Raw!Z102),O102,concatenate(O102," (E)")),"ERROR")</f>
        <v>879.6</v>
      </c>
      <c r="C102" s="174">
        <f>ifs(Raw!S102="NR","NR",isblank(O102),"ERROR",1,O102*Raw!S102)</f>
        <v>35184</v>
      </c>
      <c r="D102" s="209">
        <f>ifs(AND(isnumber(Raw!X102),isnumber(Raw!Y102)),Raw!X102-Raw!Y102, AND(isnumber(Raw!U102),isnumber(Raw!V102)),Raw!U102-Raw!V102,1,)</f>
        <v>-12</v>
      </c>
      <c r="E102" s="209">
        <f>IFS(isnumber(Raw!X102),Raw!X102/2,isnumber(Raw!U102),Raw!U102/2,1,)</f>
        <v>14</v>
      </c>
      <c r="F102" s="209">
        <f t="shared" si="2"/>
        <v>615.8</v>
      </c>
      <c r="G102" s="209">
        <f>if(and(isnumber(Raw!U102),isnumber(Raw!V102)),round(Raw!U102*Raw!V102,1),)</f>
        <v>1120</v>
      </c>
      <c r="H102" s="209">
        <f>if(and(isnumber(Raw!U102),isnumber(Raw!V102)),round(pi()*Raw!U102/2*Raw!V102/2,1),)</f>
        <v>879.6</v>
      </c>
      <c r="I102" s="210" t="str">
        <f t="shared" si="3"/>
        <v>#NUM!</v>
      </c>
      <c r="J102" s="209">
        <f t="shared" si="4"/>
        <v>679</v>
      </c>
      <c r="K102" s="209">
        <f t="shared" si="5"/>
        <v>660.7</v>
      </c>
      <c r="L102" s="209">
        <f t="shared" si="6"/>
        <v>649.5</v>
      </c>
      <c r="M102" s="209">
        <f t="shared" si="7"/>
        <v>642</v>
      </c>
      <c r="N102" s="210" t="str">
        <f>if(and(isnumber(Raw!U102),isnumber(Raw!V102),isnumber(Raw!W102)),0.5*Pi()*(Raw!V102/2)^2+(Raw!W102*(Raw!U102-0.5*Raw!V102))+2*((Raw!V102-Raw!W102)/2*(Raw!U102-0.5*Raw!V102)),)</f>
        <v/>
      </c>
      <c r="O102" s="174">
        <f>ifs(Raw!M102="Rectangle",G102,Raw!M102="Cut-teardrop",N102,Raw!M102="Oval",H102,Raw!M102="Flat Circle",I102,Raw!M102="Oval to Circle",F102,Raw!M102="Circle",F102,AND(Raw!M102="Circle to Oval",isnumber(Raw!X102),isblank(Raw!Z102)),F102,Raw!M102="Hexagon",J102,Raw!M102="Septagon",K102,Raw!M102="Octagon",L102,Raw!M102="Nonagon",M102)</f>
        <v>879.6</v>
      </c>
      <c r="Q102" s="211">
        <f>if(AND(isnumber(Raw!BW102),isnumber(Raw!CJ102)),Raw!BW102+Raw!CJ102,Raw!CE102)</f>
        <v>500</v>
      </c>
      <c r="R102" s="126">
        <f>if(isnumber(Raw!CE102),Raw!CE102,)</f>
        <v>153</v>
      </c>
      <c r="S102" s="144">
        <f>if(isblank(Raw!AT102),Raw!AS102,Raw!AT102)</f>
        <v>525</v>
      </c>
      <c r="T102" s="145"/>
      <c r="U102" s="212">
        <f>ifs(istext(Raw!AT102),Raw!AT102,AND(Raw!AT102&gt;0,isblank(Raw!AS102)),Raw!AT102,1,Raw!AS102)</f>
        <v>525</v>
      </c>
      <c r="V102" s="144"/>
      <c r="W102" s="130"/>
      <c r="Y102" s="125" t="s">
        <v>123</v>
      </c>
      <c r="Z102" s="125" t="s">
        <v>123</v>
      </c>
      <c r="AA102" s="213">
        <f>ifs(AND(Raw!BH102=0,Raw!BK102&gt;0),Raw!BK102*Numbers!J$1,OR(iserror(AB102),Raw!BK102="NR"),"?",1,AB102*Raw!BH102+Raw!BK102*Numbers!J$1)</f>
        <v>9.294162307</v>
      </c>
      <c r="AB102" s="130">
        <f>(Raw!AY102*vlookup(Raw!AX102,Ores[],11,FALSE)+if(isblank(Raw!AZ102),0,Raw!BA102*vlookup(Raw!AZ102,Ores[],11,FALSE))+if(isblank(Raw!BB102),0,Raw!BC102*vlookup(Raw!BB102,Ores[],11,FALSE))+if(isblank(Raw!BD102),0,Raw!BE102*vlookup(Raw!BD102,Ores[],11,FALSE))+if(isblank(Raw!BF102),0,Raw!BG102*vlookup(Raw!BF102,Ores[],11,FALSE)))/Raw!BH102</f>
        <v>0.5482634678</v>
      </c>
      <c r="AC102" s="130" t="str">
        <f>if(AND(isblank(Raw!BK102),isblank(Raw!BM102),isnumber(Raw!CS102),Raw!CS102&gt;0),if(isnumber(Raw!BL102),Raw!CS102/Raw!BL102,Raw!BL102),)</f>
        <v/>
      </c>
      <c r="AD102" s="130" t="str">
        <f>if(AND(Raw!BK102&gt;0,isblank(Raw!BM102),isnumber(Raw!CS102),Raw!CS102&gt;0),if(isnumber(Raw!BL102),Raw!CS102/Raw!BL102,Raw!BL102),)</f>
        <v/>
      </c>
      <c r="AE102" s="130">
        <f>if(AND(isblank(Raw!BK102),Raw!BM102&gt;0,isnumber(Raw!CS102),Raw!CS102&gt;0),if(isnumber(Raw!BL102),Raw!CS102/Raw!BL102,Raw!BL102),)</f>
        <v>0.05727937706</v>
      </c>
      <c r="AF102" s="130" t="str">
        <f>if(AND(Raw!BK102&gt;0,Raw!BM102&gt;0,isnumber(Raw!CS102),Raw!CS102&gt;0),if(isnumber(Raw!BL102),Raw!CS102/Raw!BL102,Raw!BL102),)</f>
        <v/>
      </c>
      <c r="AG102" s="214">
        <f>if(AND(isblank(Raw!BK102),Raw!BM102&gt;0,isnumber(Raw!CS102),Raw!CS102&gt;0),Raw!BM102,)</f>
        <v>4</v>
      </c>
      <c r="AH102" s="214" t="str">
        <f t="shared" si="8"/>
        <v/>
      </c>
      <c r="AI102" s="214" t="str">
        <f t="shared" ref="AI102:AK102" si="108">if(AND(AD102&gt;0,isnumber($AB102)),$AB102,)</f>
        <v/>
      </c>
      <c r="AJ102" s="215">
        <f t="shared" si="108"/>
        <v>0.5482634678</v>
      </c>
      <c r="AK102" s="214" t="str">
        <f t="shared" si="108"/>
        <v/>
      </c>
      <c r="AL102" s="214" t="str">
        <f>if(AND(Raw!BK102&gt;0,isblank(Raw!BM102),isnumber(Raw!CS102),Raw!CS102&gt;0),Raw!BK102,)</f>
        <v/>
      </c>
      <c r="AM102" s="214" t="str">
        <f>if(AND(Raw!BK102&gt;0,Raw!BM102&gt;0,isnumber(Raw!CS102),Raw!CS102&gt;0),Raw!BM102,)</f>
        <v/>
      </c>
      <c r="AN102" s="214" t="str">
        <f>if(AND(Raw!BK102&gt;0,Raw!BM102&gt;0,isnumber(Raw!CS102),Raw!CS102&gt;0),Raw!BK102,)</f>
        <v/>
      </c>
      <c r="AO102" s="214" t="str">
        <f t="array" ref="AO102">if(Raw!H102="Vinland",max(AO$1:indirect("AO"&amp;(row()-1)))+1,)</f>
        <v/>
      </c>
      <c r="AP102" s="214">
        <f t="array" ref="AP102">if(Raw!H102="Icelandic",max(AP$1:indirect("AP"&amp;(row()-1)))+1,)</f>
        <v>11</v>
      </c>
      <c r="AQ102" s="214" t="str">
        <f t="array" ref="AQ102">if(Raw!H102="Turf-to-Tools",max(AQ$1:indirect("AQ"&amp;(row()-1)))+1,)</f>
        <v/>
      </c>
      <c r="AR102" s="216">
        <f>IFS(OR(iserror(Raw!BP102),iserror(Raw!BQ102)),"NR",OR(Raw!BP102="?",Raw!BQ102="?"),"?",1,(Raw!BP102+Raw!BQ102)*Raw!BH102/100)</f>
        <v>1.246792258</v>
      </c>
    </row>
    <row r="103">
      <c r="A103" s="126">
        <f>Raw!A103</f>
        <v>99</v>
      </c>
      <c r="B103" s="208">
        <f>if(isnumber(O103),if(isblank(Raw!Z103),O103,concatenate(O103," (E)")),"ERROR")</f>
        <v>415.5</v>
      </c>
      <c r="C103" s="174">
        <f>ifs(Raw!S103="NR","NR",isblank(O103),"ERROR",1,O103*Raw!S103)</f>
        <v>16620</v>
      </c>
      <c r="D103" s="209" t="str">
        <f>ifs(AND(isnumber(Raw!X103),isnumber(Raw!Y103)),Raw!X103-Raw!Y103, AND(isnumber(Raw!U103),isnumber(Raw!V103)),Raw!U103-Raw!V103,1,)</f>
        <v/>
      </c>
      <c r="E103" s="209">
        <f>IFS(isnumber(Raw!X103),Raw!X103/2,isnumber(Raw!U103),Raw!U103/2,1,)</f>
        <v>11.5</v>
      </c>
      <c r="F103" s="209">
        <f t="shared" si="2"/>
        <v>415.5</v>
      </c>
      <c r="G103" s="209" t="str">
        <f>if(and(isnumber(Raw!U103),isnumber(Raw!V103)),round(Raw!U103*Raw!V103,1),)</f>
        <v/>
      </c>
      <c r="H103" s="209" t="str">
        <f>if(and(isnumber(Raw!U103),isnumber(Raw!V103)),round(pi()*Raw!U103/2*Raw!V103/2,1),)</f>
        <v/>
      </c>
      <c r="I103" s="210">
        <f t="shared" si="3"/>
        <v>415.5</v>
      </c>
      <c r="J103" s="209">
        <f t="shared" si="4"/>
        <v>458.1</v>
      </c>
      <c r="K103" s="209">
        <f t="shared" si="5"/>
        <v>445.8</v>
      </c>
      <c r="L103" s="209">
        <f t="shared" si="6"/>
        <v>438.2</v>
      </c>
      <c r="M103" s="209">
        <f t="shared" si="7"/>
        <v>433.2</v>
      </c>
      <c r="N103" s="210" t="str">
        <f>if(and(isnumber(Raw!U103),isnumber(Raw!V103),isnumber(Raw!W103)),0.5*Pi()*(Raw!V103/2)^2+(Raw!W103*(Raw!U103-0.5*Raw!V103))+2*((Raw!V103-Raw!W103)/2*(Raw!U103-0.5*Raw!V103)),)</f>
        <v/>
      </c>
      <c r="O103" s="174">
        <f>ifs(Raw!M103="Rectangle",G103,Raw!M103="Cut-teardrop",N103,Raw!M103="Oval",H103,Raw!M103="Flat Circle",I103,Raw!M103="Oval to Circle",F103,Raw!M103="Circle",F103,AND(Raw!M103="Circle to Oval",isnumber(Raw!X103),isblank(Raw!Z103)),F103,Raw!M103="Hexagon",J103,Raw!M103="Septagon",K103,Raw!M103="Octagon",L103,Raw!M103="Nonagon",M103)</f>
        <v>415.5</v>
      </c>
      <c r="Q103" s="211">
        <f>if(AND(isnumber(Raw!BW103),isnumber(Raw!CJ103)),Raw!BW103+Raw!CJ103,Raw!CE103)</f>
        <v>348</v>
      </c>
      <c r="R103" s="126">
        <f>if(isnumber(Raw!CE103),Raw!CE103,)</f>
        <v>348</v>
      </c>
      <c r="S103" s="144">
        <f>if(isblank(Raw!AT103),Raw!AS103,Raw!AT103)</f>
        <v>700</v>
      </c>
      <c r="T103" s="145"/>
      <c r="U103" s="212">
        <f>ifs(istext(Raw!AT103),Raw!AT103,AND(Raw!AT103&gt;0,isblank(Raw!AS103)),Raw!AT103,1,Raw!AS103)</f>
        <v>700</v>
      </c>
      <c r="V103" s="144"/>
      <c r="W103" s="130"/>
      <c r="Z103" s="125" t="s">
        <v>123</v>
      </c>
      <c r="AA103" s="213" t="str">
        <f>ifs(AND(Raw!BH103=0,Raw!BK103&gt;0),Raw!BK103*Numbers!J$1,OR(iserror(AB103),Raw!BK103="NR"),"?",1,AB103*Raw!BH103+Raw!BK103*Numbers!J$1)</f>
        <v>?</v>
      </c>
      <c r="AB103" s="130" t="str">
        <f>(Raw!AY103*vlookup(Raw!AX103,Ores[],11,FALSE)+if(isblank(Raw!AZ103),0,Raw!BA103*vlookup(Raw!AZ103,Ores[],11,FALSE))+if(isblank(Raw!BB103),0,Raw!BC103*vlookup(Raw!BB103,Ores[],11,FALSE))+if(isblank(Raw!BD103),0,Raw!BE103*vlookup(Raw!BD103,Ores[],11,FALSE))+if(isblank(Raw!BF103),0,Raw!BG103*vlookup(Raw!BF103,Ores[],11,FALSE)))/Raw!BH103</f>
        <v>#VALUE!</v>
      </c>
      <c r="AC103" s="130" t="str">
        <f>if(AND(isblank(Raw!BK103),isblank(Raw!BM103),isnumber(Raw!CS103),Raw!CS103&gt;0),if(isnumber(Raw!BL103),Raw!CS103/Raw!BL103,Raw!BL103),)</f>
        <v/>
      </c>
      <c r="AD103" s="130" t="str">
        <f>if(AND(Raw!BK103&gt;0,isblank(Raw!BM103),isnumber(Raw!CS103),Raw!CS103&gt;0),if(isnumber(Raw!BL103),Raw!CS103/Raw!BL103,Raw!BL103),)</f>
        <v/>
      </c>
      <c r="AE103" s="130" t="str">
        <f>if(AND(isblank(Raw!BK103),Raw!BM103&gt;0,isnumber(Raw!CS103),Raw!CS103&gt;0),if(isnumber(Raw!BL103),Raw!CS103/Raw!BL103,Raw!BL103),)</f>
        <v/>
      </c>
      <c r="AF103" s="130" t="str">
        <f>if(AND(Raw!BK103&gt;0,Raw!BM103&gt;0,isnumber(Raw!CS103),Raw!CS103&gt;0),if(isnumber(Raw!BL103),Raw!CS103/Raw!BL103,Raw!BL103),)</f>
        <v/>
      </c>
      <c r="AG103" s="214" t="str">
        <f>if(AND(isblank(Raw!BK103),Raw!BM103&gt;0,isnumber(Raw!CS103),Raw!CS103&gt;0),Raw!BM103,)</f>
        <v/>
      </c>
      <c r="AH103" s="214" t="str">
        <f t="shared" si="8"/>
        <v/>
      </c>
      <c r="AI103" s="214" t="str">
        <f t="shared" ref="AI103:AK103" si="109">if(AND(AD103&gt;0,isnumber($AB103)),$AB103,)</f>
        <v/>
      </c>
      <c r="AJ103" s="214" t="str">
        <f t="shared" si="109"/>
        <v/>
      </c>
      <c r="AK103" s="214" t="str">
        <f t="shared" si="109"/>
        <v/>
      </c>
      <c r="AL103" s="214" t="str">
        <f>if(AND(Raw!BK103&gt;0,isblank(Raw!BM103),isnumber(Raw!CS103),Raw!CS103&gt;0),Raw!BK103,)</f>
        <v/>
      </c>
      <c r="AM103" s="214" t="str">
        <f>if(AND(Raw!BK103&gt;0,Raw!BM103&gt;0,isnumber(Raw!CS103),Raw!CS103&gt;0),Raw!BM103,)</f>
        <v/>
      </c>
      <c r="AN103" s="214" t="str">
        <f>if(AND(Raw!BK103&gt;0,Raw!BM103&gt;0,isnumber(Raw!CS103),Raw!CS103&gt;0),Raw!BK103,)</f>
        <v/>
      </c>
      <c r="AO103" s="214" t="str">
        <f t="array" ref="AO103">if(Raw!H103="Vinland",max(AO$1:indirect("AO"&amp;(row()-1)))+1,)</f>
        <v/>
      </c>
      <c r="AP103" s="214" t="str">
        <f t="array" ref="AP103">if(Raw!H103="Icelandic",max(AP$1:indirect("AP"&amp;(row()-1)))+1,)</f>
        <v/>
      </c>
      <c r="AQ103" s="214" t="str">
        <f t="array" ref="AQ103">if(Raw!H103="Turf-to-Tools",max(AQ$1:indirect("AQ"&amp;(row()-1)))+1,)</f>
        <v/>
      </c>
      <c r="AR103" s="216">
        <f>IFS(OR(iserror(Raw!BP103),iserror(Raw!BQ103)),"NR",OR(Raw!BP103="?",Raw!BQ103="?"),"?",1,(Raw!BP103+Raw!BQ103)*Raw!BH103/100)</f>
        <v>0</v>
      </c>
    </row>
    <row r="104">
      <c r="A104" s="126">
        <f>Raw!A104</f>
        <v>100</v>
      </c>
      <c r="B104" s="208" t="str">
        <f>if(isnumber(O104),if(isblank(Raw!Z104),O104,concatenate(O104," (E)")),"ERROR")</f>
        <v>ERROR</v>
      </c>
      <c r="C104" s="174" t="str">
        <f>ifs(Raw!S104="NR","NR",isblank(O104),"ERROR",1,O104*Raw!S104)</f>
        <v>#N/A</v>
      </c>
      <c r="D104" s="209" t="str">
        <f>ifs(AND(isnumber(Raw!X104),isnumber(Raw!Y104)),Raw!X104-Raw!Y104, AND(isnumber(Raw!U104),isnumber(Raw!V104)),Raw!U104-Raw!V104,1,)</f>
        <v/>
      </c>
      <c r="E104" s="209" t="str">
        <f>IFS(isnumber(Raw!X104),Raw!X104/2,isnumber(Raw!U104),Raw!U104/2,1,)</f>
        <v/>
      </c>
      <c r="F104" s="209" t="str">
        <f t="shared" si="2"/>
        <v/>
      </c>
      <c r="G104" s="209" t="str">
        <f>if(and(isnumber(Raw!U104),isnumber(Raw!V104)),round(Raw!U104*Raw!V104,1),)</f>
        <v/>
      </c>
      <c r="H104" s="209" t="str">
        <f>if(and(isnumber(Raw!U104),isnumber(Raw!V104)),round(pi()*Raw!U104/2*Raw!V104/2,1),)</f>
        <v/>
      </c>
      <c r="I104" s="210" t="str">
        <f t="shared" si="3"/>
        <v/>
      </c>
      <c r="J104" s="209" t="str">
        <f t="shared" si="4"/>
        <v/>
      </c>
      <c r="K104" s="209" t="str">
        <f t="shared" si="5"/>
        <v/>
      </c>
      <c r="L104" s="209" t="str">
        <f t="shared" si="6"/>
        <v/>
      </c>
      <c r="M104" s="209" t="str">
        <f t="shared" si="7"/>
        <v/>
      </c>
      <c r="N104" s="210" t="str">
        <f>if(and(isnumber(Raw!U104),isnumber(Raw!V104),isnumber(Raw!W104)),0.5*Pi()*(Raw!V104/2)^2+(Raw!W104*(Raw!U104-0.5*Raw!V104))+2*((Raw!V104-Raw!W104)/2*(Raw!U104-0.5*Raw!V104)),)</f>
        <v/>
      </c>
      <c r="O104" s="174" t="str">
        <f>ifs(Raw!M104="Rectangle",G104,Raw!M104="Cut-teardrop",N104,Raw!M104="Oval",H104,Raw!M104="Flat Circle",I104,Raw!M104="Oval to Circle",F104,Raw!M104="Circle",F104,AND(Raw!M104="Circle to Oval",isnumber(Raw!X104),isblank(Raw!Z104)),F104,Raw!M104="Hexagon",J104,Raw!M104="Septagon",K104,Raw!M104="Octagon",L104,Raw!M104="Nonagon",M104)</f>
        <v>#N/A</v>
      </c>
      <c r="Q104" s="211" t="str">
        <f>if(AND(isnumber(Raw!BW104),isnumber(Raw!CJ104)),Raw!BW104+Raw!CJ104,Raw!CE104)</f>
        <v/>
      </c>
      <c r="R104" s="126" t="str">
        <f>if(isnumber(Raw!CE104),Raw!CE104,)</f>
        <v/>
      </c>
      <c r="S104" s="144" t="str">
        <f>if(isblank(Raw!AT104),Raw!AS104,Raw!AT104)</f>
        <v/>
      </c>
      <c r="T104" s="145"/>
      <c r="U104" s="212" t="str">
        <f>ifs(istext(Raw!AT104),Raw!AT104,AND(Raw!AT104&gt;0,isblank(Raw!AS104)),Raw!AT104,1,Raw!AS104)</f>
        <v/>
      </c>
      <c r="V104" s="144"/>
      <c r="W104" s="130"/>
      <c r="AA104" s="213" t="str">
        <f>ifs(AND(Raw!BH104=0,Raw!BK104&gt;0),Raw!BK104*Numbers!J$1,OR(iserror(AB104),Raw!BK104="NR"),"?",1,AB104*Raw!BH104+Raw!BK104*Numbers!J$1)</f>
        <v>?</v>
      </c>
      <c r="AB104" s="130" t="str">
        <f>(Raw!AY104*vlookup(Raw!AX104,Ores[],11,FALSE)+if(isblank(Raw!AZ104),0,Raw!BA104*vlookup(Raw!AZ104,Ores[],11,FALSE))+if(isblank(Raw!BB104),0,Raw!BC104*vlookup(Raw!BB104,Ores[],11,FALSE))+if(isblank(Raw!BD104),0,Raw!BE104*vlookup(Raw!BD104,Ores[],11,FALSE))+if(isblank(Raw!BF104),0,Raw!BG104*vlookup(Raw!BF104,Ores[],11,FALSE)))/Raw!BH104</f>
        <v>#N/A</v>
      </c>
      <c r="AC104" s="130" t="str">
        <f>if(AND(isblank(Raw!BK104),isblank(Raw!BM104),isnumber(Raw!CS104),Raw!CS104&gt;0),if(isnumber(Raw!BL104),Raw!CS104/Raw!BL104,Raw!BL104),)</f>
        <v/>
      </c>
      <c r="AD104" s="130" t="str">
        <f>if(AND(Raw!BK104&gt;0,isblank(Raw!BM104),isnumber(Raw!CS104),Raw!CS104&gt;0),if(isnumber(Raw!BL104),Raw!CS104/Raw!BL104,Raw!BL104),)</f>
        <v/>
      </c>
      <c r="AE104" s="130" t="str">
        <f>if(AND(isblank(Raw!BK104),Raw!BM104&gt;0,isnumber(Raw!CS104),Raw!CS104&gt;0),if(isnumber(Raw!BL104),Raw!CS104/Raw!BL104,Raw!BL104),)</f>
        <v/>
      </c>
      <c r="AF104" s="130" t="str">
        <f>if(AND(Raw!BK104&gt;0,Raw!BM104&gt;0,isnumber(Raw!CS104),Raw!CS104&gt;0),if(isnumber(Raw!BL104),Raw!CS104/Raw!BL104,Raw!BL104),)</f>
        <v/>
      </c>
      <c r="AG104" s="214" t="str">
        <f>if(AND(isblank(Raw!BK104),Raw!BM104&gt;0,isnumber(Raw!CS104),Raw!CS104&gt;0),Raw!BM104,)</f>
        <v/>
      </c>
      <c r="AH104" s="214" t="str">
        <f t="shared" si="8"/>
        <v/>
      </c>
      <c r="AI104" s="214" t="str">
        <f t="shared" ref="AI104:AK104" si="110">if(AND(AD104&gt;0,isnumber($AB104)),$AB104,)</f>
        <v/>
      </c>
      <c r="AJ104" s="214" t="str">
        <f t="shared" si="110"/>
        <v/>
      </c>
      <c r="AK104" s="214" t="str">
        <f t="shared" si="110"/>
        <v/>
      </c>
      <c r="AL104" s="214" t="str">
        <f>if(AND(Raw!BK104&gt;0,isblank(Raw!BM104),isnumber(Raw!CS104),Raw!CS104&gt;0),Raw!BK104,)</f>
        <v/>
      </c>
      <c r="AM104" s="214" t="str">
        <f>if(AND(Raw!BK104&gt;0,Raw!BM104&gt;0,isnumber(Raw!CS104),Raw!CS104&gt;0),Raw!BM104,)</f>
        <v/>
      </c>
      <c r="AN104" s="214" t="str">
        <f>if(AND(Raw!BK104&gt;0,Raw!BM104&gt;0,isnumber(Raw!CS104),Raw!CS104&gt;0),Raw!BK104,)</f>
        <v/>
      </c>
      <c r="AO104" s="214" t="str">
        <f t="array" ref="AO104">if(Raw!H104="Vinland",max(AO$1:indirect("AO"&amp;(row()-1)))+1,)</f>
        <v/>
      </c>
      <c r="AP104" s="214" t="str">
        <f t="array" ref="AP104">if(Raw!H104="Icelandic",max(AP$1:indirect("AP"&amp;(row()-1)))+1,)</f>
        <v/>
      </c>
      <c r="AQ104" s="214" t="str">
        <f t="array" ref="AQ104">if(Raw!H104="Turf-to-Tools",max(AQ$1:indirect("AQ"&amp;(row()-1)))+1,)</f>
        <v/>
      </c>
      <c r="AR104" s="216">
        <f>IFS(OR(iserror(Raw!BP104),iserror(Raw!BQ104)),"NR",OR(Raw!BP104="?",Raw!BQ104="?"),"?",1,(Raw!BP104+Raw!BQ104)*Raw!BH104/100)</f>
        <v>0</v>
      </c>
    </row>
    <row r="105">
      <c r="B105" s="208"/>
      <c r="D105" s="209"/>
      <c r="E105" s="209"/>
      <c r="F105" s="209"/>
      <c r="G105" s="209"/>
      <c r="H105" s="209"/>
      <c r="I105" s="209"/>
      <c r="J105" s="209"/>
      <c r="K105" s="209"/>
      <c r="L105" s="209"/>
      <c r="M105" s="209"/>
      <c r="N105" s="210"/>
    </row>
    <row r="106">
      <c r="B106" s="208"/>
      <c r="D106" s="209"/>
      <c r="E106" s="209"/>
      <c r="F106" s="209"/>
      <c r="G106" s="209"/>
      <c r="H106" s="209"/>
      <c r="I106" s="209"/>
      <c r="J106" s="209"/>
      <c r="K106" s="209"/>
      <c r="L106" s="209"/>
      <c r="M106" s="209"/>
      <c r="N106" s="210"/>
    </row>
    <row r="107">
      <c r="B107" s="208"/>
      <c r="D107" s="209"/>
      <c r="E107" s="209"/>
      <c r="F107" s="209"/>
      <c r="G107" s="209"/>
      <c r="H107" s="209"/>
      <c r="I107" s="209"/>
      <c r="J107" s="209"/>
      <c r="K107" s="209"/>
      <c r="L107" s="209"/>
      <c r="M107" s="209"/>
      <c r="N107" s="210"/>
    </row>
    <row r="108">
      <c r="B108" s="208"/>
      <c r="D108" s="209"/>
      <c r="E108" s="209"/>
      <c r="F108" s="209"/>
      <c r="G108" s="209"/>
      <c r="H108" s="209"/>
      <c r="I108" s="209"/>
      <c r="J108" s="209"/>
      <c r="K108" s="209"/>
      <c r="L108" s="209"/>
      <c r="M108" s="209"/>
      <c r="N108" s="210"/>
    </row>
    <row r="109">
      <c r="B109" s="208"/>
      <c r="D109" s="209"/>
      <c r="E109" s="209"/>
      <c r="F109" s="209"/>
      <c r="G109" s="209"/>
      <c r="H109" s="209"/>
      <c r="I109" s="209"/>
      <c r="J109" s="209"/>
      <c r="K109" s="209"/>
      <c r="L109" s="209"/>
      <c r="M109" s="209"/>
      <c r="N109" s="210"/>
    </row>
    <row r="110">
      <c r="B110" s="208"/>
      <c r="D110" s="209"/>
      <c r="E110" s="209"/>
      <c r="F110" s="209"/>
      <c r="G110" s="209"/>
      <c r="H110" s="209"/>
      <c r="I110" s="209"/>
      <c r="J110" s="209"/>
      <c r="K110" s="209"/>
      <c r="L110" s="209"/>
      <c r="M110" s="209"/>
      <c r="N110" s="210"/>
    </row>
    <row r="111">
      <c r="B111" s="208"/>
      <c r="D111" s="209"/>
      <c r="E111" s="209"/>
      <c r="F111" s="209"/>
      <c r="G111" s="209"/>
      <c r="H111" s="209"/>
      <c r="I111" s="209"/>
      <c r="J111" s="209"/>
      <c r="K111" s="209"/>
      <c r="L111" s="209"/>
      <c r="M111" s="209"/>
      <c r="N111" s="210"/>
    </row>
    <row r="112">
      <c r="B112" s="208"/>
      <c r="D112" s="209"/>
      <c r="E112" s="209"/>
      <c r="F112" s="209"/>
      <c r="G112" s="209"/>
      <c r="H112" s="209"/>
      <c r="I112" s="209"/>
      <c r="J112" s="209"/>
      <c r="K112" s="209"/>
      <c r="L112" s="209"/>
      <c r="M112" s="209"/>
      <c r="N112" s="210"/>
    </row>
    <row r="113">
      <c r="B113" s="208"/>
      <c r="D113" s="209"/>
      <c r="E113" s="209"/>
      <c r="F113" s="209"/>
      <c r="G113" s="209"/>
      <c r="H113" s="209"/>
      <c r="I113" s="209"/>
      <c r="J113" s="209"/>
      <c r="K113" s="209"/>
      <c r="L113" s="209"/>
      <c r="M113" s="209"/>
      <c r="N113" s="210"/>
    </row>
    <row r="114">
      <c r="B114" s="208"/>
      <c r="D114" s="209"/>
      <c r="E114" s="209"/>
      <c r="F114" s="209"/>
      <c r="G114" s="209"/>
      <c r="H114" s="209"/>
      <c r="I114" s="209"/>
      <c r="J114" s="209"/>
      <c r="K114" s="209"/>
      <c r="L114" s="209"/>
      <c r="M114" s="209"/>
      <c r="N114" s="210"/>
    </row>
    <row r="115">
      <c r="B115" s="208"/>
      <c r="D115" s="209"/>
      <c r="E115" s="209"/>
      <c r="F115" s="209"/>
      <c r="G115" s="209"/>
      <c r="H115" s="209"/>
      <c r="I115" s="209"/>
      <c r="J115" s="209"/>
      <c r="K115" s="209"/>
      <c r="L115" s="209"/>
      <c r="M115" s="209"/>
      <c r="N115" s="210"/>
    </row>
    <row r="116">
      <c r="B116" s="208"/>
      <c r="D116" s="209"/>
      <c r="E116" s="209"/>
      <c r="F116" s="209"/>
      <c r="G116" s="209"/>
      <c r="H116" s="209"/>
      <c r="I116" s="209"/>
      <c r="J116" s="209"/>
      <c r="K116" s="209"/>
      <c r="L116" s="209"/>
      <c r="M116" s="209"/>
      <c r="N116" s="210"/>
    </row>
    <row r="117">
      <c r="B117" s="208"/>
      <c r="D117" s="209"/>
      <c r="E117" s="209"/>
      <c r="F117" s="209"/>
      <c r="G117" s="209"/>
      <c r="H117" s="209"/>
      <c r="I117" s="209"/>
      <c r="J117" s="209"/>
      <c r="K117" s="209"/>
      <c r="L117" s="209"/>
      <c r="M117" s="209"/>
      <c r="N117" s="210"/>
    </row>
    <row r="118">
      <c r="B118" s="208"/>
      <c r="D118" s="209"/>
      <c r="E118" s="209"/>
      <c r="F118" s="209"/>
      <c r="G118" s="209"/>
      <c r="H118" s="209"/>
      <c r="I118" s="209"/>
      <c r="J118" s="209"/>
      <c r="K118" s="209"/>
      <c r="L118" s="209"/>
      <c r="M118" s="209"/>
      <c r="N118" s="210"/>
    </row>
    <row r="119">
      <c r="B119" s="208"/>
      <c r="D119" s="209"/>
      <c r="E119" s="209"/>
      <c r="F119" s="209"/>
      <c r="G119" s="209"/>
      <c r="H119" s="209"/>
      <c r="I119" s="209"/>
      <c r="J119" s="209"/>
      <c r="K119" s="209"/>
      <c r="L119" s="209"/>
      <c r="M119" s="209"/>
      <c r="N119" s="210"/>
    </row>
    <row r="120">
      <c r="B120" s="208"/>
      <c r="D120" s="209"/>
      <c r="E120" s="209"/>
      <c r="F120" s="209"/>
      <c r="G120" s="209"/>
      <c r="H120" s="209"/>
      <c r="I120" s="209"/>
      <c r="J120" s="209"/>
      <c r="K120" s="209"/>
      <c r="L120" s="209"/>
      <c r="M120" s="209"/>
      <c r="N120" s="210"/>
    </row>
    <row r="121">
      <c r="B121" s="208"/>
      <c r="D121" s="209"/>
      <c r="E121" s="209"/>
      <c r="F121" s="209"/>
      <c r="G121" s="209"/>
      <c r="H121" s="209"/>
      <c r="I121" s="209"/>
      <c r="J121" s="209"/>
      <c r="K121" s="209"/>
      <c r="L121" s="209"/>
      <c r="M121" s="209"/>
      <c r="N121" s="210"/>
    </row>
    <row r="122">
      <c r="B122" s="208"/>
      <c r="D122" s="209"/>
      <c r="E122" s="209"/>
      <c r="F122" s="209"/>
      <c r="G122" s="209"/>
      <c r="H122" s="209"/>
      <c r="I122" s="209"/>
      <c r="J122" s="209"/>
      <c r="K122" s="209"/>
      <c r="L122" s="209"/>
      <c r="M122" s="209"/>
      <c r="N122" s="210"/>
    </row>
    <row r="123">
      <c r="B123" s="208"/>
      <c r="D123" s="209"/>
      <c r="E123" s="209"/>
      <c r="F123" s="209"/>
      <c r="G123" s="209"/>
      <c r="H123" s="209"/>
      <c r="I123" s="209"/>
      <c r="J123" s="209"/>
      <c r="K123" s="209"/>
      <c r="L123" s="209"/>
      <c r="M123" s="209"/>
      <c r="N123" s="210"/>
    </row>
    <row r="124">
      <c r="B124" s="208"/>
      <c r="D124" s="209"/>
      <c r="E124" s="209"/>
      <c r="F124" s="209"/>
      <c r="G124" s="209"/>
      <c r="H124" s="209"/>
      <c r="I124" s="209"/>
      <c r="J124" s="209"/>
      <c r="K124" s="209"/>
      <c r="L124" s="209"/>
      <c r="M124" s="209"/>
      <c r="N124" s="210"/>
    </row>
    <row r="125">
      <c r="B125" s="208"/>
      <c r="D125" s="209"/>
      <c r="E125" s="209"/>
      <c r="F125" s="209"/>
      <c r="G125" s="209"/>
      <c r="H125" s="209"/>
      <c r="I125" s="209"/>
      <c r="J125" s="209"/>
      <c r="K125" s="209"/>
      <c r="L125" s="209"/>
      <c r="M125" s="209"/>
      <c r="N125" s="210"/>
    </row>
    <row r="126">
      <c r="B126" s="208"/>
      <c r="D126" s="209"/>
      <c r="E126" s="209"/>
      <c r="F126" s="209"/>
      <c r="G126" s="209"/>
      <c r="H126" s="209"/>
      <c r="I126" s="209"/>
      <c r="J126" s="209"/>
      <c r="K126" s="209"/>
      <c r="L126" s="209"/>
      <c r="M126" s="209"/>
      <c r="N126" s="210"/>
    </row>
    <row r="127">
      <c r="B127" s="208"/>
      <c r="D127" s="209"/>
      <c r="E127" s="209"/>
      <c r="F127" s="209"/>
      <c r="G127" s="209"/>
      <c r="H127" s="209"/>
      <c r="I127" s="209"/>
      <c r="J127" s="209"/>
      <c r="K127" s="209"/>
      <c r="L127" s="209"/>
      <c r="M127" s="209"/>
      <c r="N127" s="210"/>
    </row>
    <row r="128">
      <c r="B128" s="208"/>
      <c r="D128" s="209"/>
      <c r="E128" s="209"/>
      <c r="F128" s="209"/>
      <c r="G128" s="209"/>
      <c r="H128" s="209"/>
      <c r="I128" s="209"/>
      <c r="J128" s="209"/>
      <c r="K128" s="209"/>
      <c r="L128" s="209"/>
      <c r="M128" s="209"/>
      <c r="N128" s="210"/>
    </row>
    <row r="129">
      <c r="B129" s="208"/>
      <c r="D129" s="209"/>
      <c r="E129" s="209"/>
      <c r="F129" s="209"/>
      <c r="G129" s="209"/>
      <c r="H129" s="209"/>
      <c r="I129" s="209"/>
      <c r="J129" s="209"/>
      <c r="K129" s="209"/>
      <c r="L129" s="209"/>
      <c r="M129" s="209"/>
      <c r="N129" s="210"/>
    </row>
    <row r="130">
      <c r="B130" s="208"/>
      <c r="D130" s="209"/>
      <c r="E130" s="209"/>
      <c r="F130" s="209"/>
      <c r="G130" s="209"/>
      <c r="H130" s="209"/>
      <c r="I130" s="209"/>
      <c r="J130" s="209"/>
      <c r="K130" s="209"/>
      <c r="L130" s="209"/>
      <c r="M130" s="209"/>
      <c r="N130" s="210"/>
    </row>
    <row r="131">
      <c r="B131" s="208"/>
      <c r="D131" s="209"/>
      <c r="E131" s="209"/>
      <c r="F131" s="209"/>
      <c r="G131" s="209"/>
      <c r="H131" s="209"/>
      <c r="I131" s="209"/>
      <c r="J131" s="209"/>
      <c r="K131" s="209"/>
      <c r="L131" s="209"/>
      <c r="M131" s="209"/>
      <c r="N131" s="210"/>
    </row>
    <row r="132">
      <c r="B132" s="208"/>
      <c r="D132" s="209"/>
      <c r="E132" s="209"/>
      <c r="F132" s="209"/>
      <c r="G132" s="209"/>
      <c r="H132" s="209"/>
      <c r="I132" s="209"/>
      <c r="J132" s="209"/>
      <c r="K132" s="209"/>
      <c r="L132" s="209"/>
      <c r="M132" s="209"/>
      <c r="N132" s="210"/>
    </row>
    <row r="133">
      <c r="B133" s="208"/>
      <c r="D133" s="209"/>
      <c r="E133" s="209"/>
      <c r="F133" s="209"/>
      <c r="G133" s="209"/>
      <c r="H133" s="209"/>
      <c r="I133" s="209"/>
      <c r="J133" s="209"/>
      <c r="K133" s="209"/>
      <c r="L133" s="209"/>
      <c r="M133" s="209"/>
      <c r="N133" s="210"/>
    </row>
    <row r="134">
      <c r="B134" s="208"/>
      <c r="D134" s="209"/>
      <c r="E134" s="209"/>
      <c r="F134" s="209"/>
      <c r="G134" s="209"/>
      <c r="H134" s="209"/>
      <c r="I134" s="209"/>
      <c r="J134" s="209"/>
      <c r="K134" s="209"/>
      <c r="L134" s="209"/>
      <c r="M134" s="209"/>
      <c r="N134" s="210"/>
    </row>
    <row r="135">
      <c r="B135" s="208"/>
      <c r="D135" s="209"/>
      <c r="E135" s="209"/>
      <c r="F135" s="209"/>
      <c r="G135" s="209"/>
      <c r="H135" s="209"/>
      <c r="I135" s="209"/>
      <c r="J135" s="209"/>
      <c r="K135" s="209"/>
      <c r="L135" s="209"/>
      <c r="M135" s="209"/>
      <c r="N135" s="210"/>
    </row>
    <row r="136">
      <c r="B136" s="208"/>
      <c r="D136" s="209"/>
      <c r="E136" s="209"/>
      <c r="F136" s="209"/>
      <c r="G136" s="209"/>
      <c r="H136" s="209"/>
      <c r="I136" s="209"/>
      <c r="J136" s="209"/>
      <c r="K136" s="209"/>
      <c r="L136" s="209"/>
      <c r="M136" s="209"/>
      <c r="N136" s="210"/>
    </row>
    <row r="137">
      <c r="B137" s="208"/>
      <c r="D137" s="209"/>
      <c r="E137" s="209"/>
      <c r="F137" s="209"/>
      <c r="G137" s="209"/>
      <c r="H137" s="209"/>
      <c r="I137" s="209"/>
      <c r="J137" s="209"/>
      <c r="K137" s="209"/>
      <c r="L137" s="209"/>
      <c r="M137" s="209"/>
      <c r="N137" s="210"/>
    </row>
    <row r="138">
      <c r="B138" s="208"/>
      <c r="D138" s="209"/>
      <c r="E138" s="209"/>
      <c r="F138" s="209"/>
      <c r="G138" s="209"/>
      <c r="H138" s="209"/>
      <c r="I138" s="209"/>
      <c r="J138" s="209"/>
      <c r="K138" s="209"/>
      <c r="L138" s="209"/>
      <c r="M138" s="209"/>
      <c r="N138" s="210"/>
    </row>
    <row r="139">
      <c r="B139" s="208"/>
      <c r="D139" s="209"/>
      <c r="E139" s="209"/>
      <c r="F139" s="209"/>
      <c r="G139" s="209"/>
      <c r="H139" s="209"/>
      <c r="I139" s="209"/>
      <c r="J139" s="209"/>
      <c r="K139" s="209"/>
      <c r="L139" s="209"/>
      <c r="M139" s="209"/>
      <c r="N139" s="210"/>
    </row>
    <row r="140">
      <c r="B140" s="208"/>
      <c r="D140" s="209"/>
      <c r="E140" s="209"/>
      <c r="F140" s="209"/>
      <c r="G140" s="209"/>
      <c r="H140" s="209"/>
      <c r="I140" s="209"/>
      <c r="J140" s="209"/>
      <c r="K140" s="209"/>
      <c r="L140" s="209"/>
      <c r="M140" s="209"/>
      <c r="N140" s="210"/>
    </row>
    <row r="141">
      <c r="B141" s="208"/>
      <c r="D141" s="209"/>
      <c r="E141" s="209"/>
      <c r="F141" s="209"/>
      <c r="G141" s="209"/>
      <c r="H141" s="209"/>
      <c r="I141" s="209"/>
      <c r="J141" s="209"/>
      <c r="K141" s="209"/>
      <c r="L141" s="209"/>
      <c r="M141" s="209"/>
      <c r="N141" s="210"/>
    </row>
    <row r="142">
      <c r="B142" s="208"/>
      <c r="D142" s="209"/>
      <c r="E142" s="209"/>
      <c r="F142" s="209"/>
      <c r="G142" s="209"/>
      <c r="H142" s="209"/>
      <c r="I142" s="209"/>
      <c r="J142" s="209"/>
      <c r="K142" s="209"/>
      <c r="L142" s="209"/>
      <c r="M142" s="209"/>
      <c r="N142" s="210"/>
    </row>
    <row r="143">
      <c r="B143" s="208"/>
      <c r="D143" s="209"/>
      <c r="E143" s="209"/>
      <c r="F143" s="209"/>
      <c r="G143" s="209"/>
      <c r="H143" s="209"/>
      <c r="I143" s="209"/>
      <c r="J143" s="209"/>
      <c r="K143" s="209"/>
      <c r="L143" s="209"/>
      <c r="M143" s="209"/>
      <c r="N143" s="210"/>
    </row>
    <row r="144">
      <c r="B144" s="208"/>
      <c r="D144" s="209"/>
      <c r="E144" s="209"/>
      <c r="F144" s="209"/>
      <c r="G144" s="209"/>
      <c r="H144" s="209"/>
      <c r="I144" s="209"/>
      <c r="J144" s="209"/>
      <c r="K144" s="209"/>
      <c r="L144" s="209"/>
      <c r="M144" s="209"/>
      <c r="N144" s="210"/>
    </row>
    <row r="145">
      <c r="B145" s="208"/>
      <c r="D145" s="209"/>
      <c r="E145" s="209"/>
      <c r="F145" s="209"/>
      <c r="G145" s="209"/>
      <c r="H145" s="209"/>
      <c r="I145" s="209"/>
      <c r="J145" s="209"/>
      <c r="K145" s="209"/>
      <c r="L145" s="209"/>
      <c r="M145" s="209"/>
      <c r="N145" s="210"/>
    </row>
    <row r="146">
      <c r="B146" s="208"/>
      <c r="D146" s="209"/>
      <c r="E146" s="209"/>
      <c r="F146" s="209"/>
      <c r="G146" s="209"/>
      <c r="H146" s="209"/>
      <c r="I146" s="209"/>
      <c r="J146" s="209"/>
      <c r="K146" s="209"/>
      <c r="L146" s="209"/>
      <c r="M146" s="209"/>
      <c r="N146" s="210"/>
    </row>
    <row r="147">
      <c r="B147" s="208"/>
      <c r="D147" s="209"/>
      <c r="E147" s="209"/>
      <c r="F147" s="209"/>
      <c r="G147" s="209"/>
      <c r="H147" s="209"/>
      <c r="I147" s="209"/>
      <c r="J147" s="209"/>
      <c r="K147" s="209"/>
      <c r="L147" s="209"/>
      <c r="M147" s="209"/>
      <c r="N147" s="210"/>
    </row>
    <row r="148">
      <c r="B148" s="208"/>
      <c r="D148" s="209"/>
      <c r="E148" s="209"/>
      <c r="F148" s="209"/>
      <c r="G148" s="209"/>
      <c r="H148" s="209"/>
      <c r="I148" s="209"/>
      <c r="J148" s="209"/>
      <c r="K148" s="209"/>
      <c r="L148" s="209"/>
      <c r="M148" s="209"/>
      <c r="N148" s="210"/>
    </row>
    <row r="149">
      <c r="B149" s="208"/>
      <c r="D149" s="209"/>
      <c r="E149" s="209"/>
      <c r="F149" s="209"/>
      <c r="G149" s="209"/>
      <c r="H149" s="209"/>
      <c r="I149" s="209"/>
      <c r="J149" s="209"/>
      <c r="K149" s="209"/>
      <c r="L149" s="209"/>
      <c r="M149" s="209"/>
      <c r="N149" s="210"/>
    </row>
    <row r="150">
      <c r="B150" s="208"/>
      <c r="D150" s="209"/>
      <c r="E150" s="209"/>
      <c r="F150" s="209"/>
      <c r="G150" s="209"/>
      <c r="H150" s="209"/>
      <c r="I150" s="209"/>
      <c r="J150" s="209"/>
      <c r="K150" s="209"/>
      <c r="L150" s="209"/>
      <c r="M150" s="209"/>
      <c r="N150" s="210"/>
    </row>
    <row r="151">
      <c r="B151" s="208"/>
      <c r="D151" s="209"/>
      <c r="E151" s="209"/>
      <c r="F151" s="209"/>
      <c r="G151" s="209"/>
      <c r="H151" s="209"/>
      <c r="I151" s="209"/>
      <c r="J151" s="209"/>
      <c r="K151" s="209"/>
      <c r="L151" s="209"/>
      <c r="M151" s="209"/>
      <c r="N151" s="210"/>
    </row>
    <row r="152">
      <c r="B152" s="208"/>
      <c r="D152" s="209"/>
      <c r="E152" s="209"/>
      <c r="F152" s="209"/>
      <c r="G152" s="209"/>
      <c r="H152" s="209"/>
      <c r="I152" s="209"/>
      <c r="J152" s="209"/>
      <c r="K152" s="209"/>
      <c r="L152" s="209"/>
      <c r="M152" s="209"/>
      <c r="N152" s="210"/>
    </row>
    <row r="153">
      <c r="B153" s="208"/>
      <c r="D153" s="209"/>
      <c r="E153" s="209"/>
      <c r="F153" s="209"/>
      <c r="G153" s="209"/>
      <c r="H153" s="209"/>
      <c r="I153" s="209"/>
      <c r="J153" s="209"/>
      <c r="K153" s="209"/>
      <c r="L153" s="209"/>
      <c r="M153" s="209"/>
      <c r="N153" s="210"/>
    </row>
    <row r="154">
      <c r="B154" s="208"/>
      <c r="D154" s="209"/>
      <c r="E154" s="209"/>
      <c r="F154" s="209"/>
      <c r="G154" s="209"/>
      <c r="H154" s="209"/>
      <c r="I154" s="209"/>
      <c r="J154" s="209"/>
      <c r="K154" s="209"/>
      <c r="L154" s="209"/>
      <c r="M154" s="209"/>
      <c r="N154" s="210"/>
    </row>
    <row r="155">
      <c r="B155" s="208"/>
      <c r="D155" s="209"/>
      <c r="E155" s="209"/>
      <c r="F155" s="209"/>
      <c r="G155" s="209"/>
      <c r="H155" s="209"/>
      <c r="I155" s="209"/>
      <c r="J155" s="209"/>
      <c r="K155" s="209"/>
      <c r="L155" s="209"/>
      <c r="M155" s="209"/>
      <c r="N155" s="210"/>
    </row>
    <row r="156">
      <c r="B156" s="208"/>
      <c r="D156" s="209"/>
      <c r="E156" s="209"/>
      <c r="F156" s="209"/>
      <c r="G156" s="209"/>
      <c r="H156" s="209"/>
      <c r="I156" s="209"/>
      <c r="J156" s="209"/>
      <c r="K156" s="209"/>
      <c r="L156" s="209"/>
      <c r="M156" s="209"/>
      <c r="N156" s="210"/>
    </row>
    <row r="157">
      <c r="B157" s="208"/>
      <c r="D157" s="209"/>
      <c r="E157" s="209"/>
      <c r="F157" s="209"/>
      <c r="G157" s="209"/>
      <c r="H157" s="209"/>
      <c r="I157" s="209"/>
      <c r="J157" s="209"/>
      <c r="K157" s="209"/>
      <c r="L157" s="209"/>
      <c r="M157" s="209"/>
      <c r="N157" s="210"/>
    </row>
    <row r="158">
      <c r="B158" s="208"/>
      <c r="D158" s="209"/>
      <c r="E158" s="209"/>
      <c r="F158" s="209"/>
      <c r="G158" s="209"/>
      <c r="H158" s="209"/>
      <c r="I158" s="209"/>
      <c r="J158" s="209"/>
      <c r="K158" s="209"/>
      <c r="L158" s="209"/>
      <c r="M158" s="209"/>
      <c r="N158" s="210"/>
    </row>
    <row r="159">
      <c r="B159" s="208"/>
      <c r="D159" s="209"/>
      <c r="E159" s="209"/>
      <c r="F159" s="209"/>
      <c r="G159" s="209"/>
      <c r="H159" s="209"/>
      <c r="I159" s="209"/>
      <c r="J159" s="209"/>
      <c r="K159" s="209"/>
      <c r="L159" s="209"/>
      <c r="M159" s="209"/>
      <c r="N159" s="210"/>
    </row>
    <row r="160">
      <c r="B160" s="208"/>
      <c r="D160" s="209"/>
      <c r="E160" s="209"/>
      <c r="F160" s="209"/>
      <c r="G160" s="209"/>
      <c r="H160" s="209"/>
      <c r="I160" s="209"/>
      <c r="J160" s="209"/>
      <c r="K160" s="209"/>
      <c r="L160" s="209"/>
      <c r="M160" s="209"/>
      <c r="N160" s="210"/>
    </row>
    <row r="161">
      <c r="B161" s="208"/>
      <c r="D161" s="209"/>
      <c r="E161" s="209"/>
      <c r="F161" s="209"/>
      <c r="G161" s="209"/>
      <c r="H161" s="209"/>
      <c r="I161" s="209"/>
      <c r="J161" s="209"/>
      <c r="K161" s="209"/>
      <c r="L161" s="209"/>
      <c r="M161" s="209"/>
      <c r="N161" s="210"/>
    </row>
    <row r="162">
      <c r="B162" s="208"/>
      <c r="D162" s="209"/>
      <c r="E162" s="209"/>
      <c r="F162" s="209"/>
      <c r="G162" s="209"/>
      <c r="H162" s="209"/>
      <c r="I162" s="209"/>
      <c r="J162" s="209"/>
      <c r="K162" s="209"/>
      <c r="L162" s="209"/>
      <c r="M162" s="209"/>
      <c r="N162" s="210"/>
    </row>
    <row r="163">
      <c r="B163" s="208"/>
      <c r="D163" s="209"/>
      <c r="E163" s="209"/>
      <c r="F163" s="209"/>
      <c r="G163" s="209"/>
      <c r="H163" s="209"/>
      <c r="I163" s="209"/>
      <c r="J163" s="209"/>
      <c r="K163" s="209"/>
      <c r="L163" s="209"/>
      <c r="M163" s="209"/>
      <c r="N163" s="210"/>
    </row>
    <row r="164">
      <c r="B164" s="208"/>
      <c r="D164" s="209"/>
      <c r="E164" s="209"/>
      <c r="F164" s="209"/>
      <c r="G164" s="209"/>
      <c r="H164" s="209"/>
      <c r="I164" s="209"/>
      <c r="J164" s="209"/>
      <c r="K164" s="209"/>
      <c r="L164" s="209"/>
      <c r="M164" s="209"/>
      <c r="N164" s="210"/>
    </row>
    <row r="165">
      <c r="B165" s="208"/>
      <c r="D165" s="209"/>
      <c r="E165" s="209"/>
      <c r="F165" s="209"/>
      <c r="G165" s="209"/>
      <c r="H165" s="209"/>
      <c r="I165" s="209"/>
      <c r="J165" s="209"/>
      <c r="K165" s="209"/>
      <c r="L165" s="209"/>
      <c r="M165" s="209"/>
      <c r="N165" s="210"/>
    </row>
    <row r="166">
      <c r="B166" s="208"/>
      <c r="D166" s="209"/>
      <c r="E166" s="209"/>
      <c r="F166" s="209"/>
      <c r="G166" s="209"/>
      <c r="H166" s="209"/>
      <c r="I166" s="209"/>
      <c r="J166" s="209"/>
      <c r="K166" s="209"/>
      <c r="L166" s="209"/>
      <c r="M166" s="209"/>
      <c r="N166" s="210"/>
    </row>
    <row r="167">
      <c r="B167" s="208"/>
      <c r="D167" s="209"/>
      <c r="E167" s="209"/>
      <c r="F167" s="209"/>
      <c r="G167" s="209"/>
      <c r="H167" s="209"/>
      <c r="I167" s="209"/>
      <c r="J167" s="209"/>
      <c r="K167" s="209"/>
      <c r="L167" s="209"/>
      <c r="M167" s="209"/>
      <c r="N167" s="210"/>
    </row>
    <row r="168">
      <c r="B168" s="208"/>
      <c r="D168" s="209"/>
      <c r="E168" s="209"/>
      <c r="F168" s="209"/>
      <c r="G168" s="209"/>
      <c r="H168" s="209"/>
      <c r="I168" s="209"/>
      <c r="J168" s="209"/>
      <c r="K168" s="209"/>
      <c r="L168" s="209"/>
      <c r="M168" s="209"/>
      <c r="N168" s="210"/>
    </row>
    <row r="169">
      <c r="B169" s="208"/>
      <c r="D169" s="209"/>
      <c r="E169" s="209"/>
      <c r="F169" s="209"/>
      <c r="G169" s="209"/>
      <c r="H169" s="209"/>
      <c r="I169" s="209"/>
      <c r="J169" s="209"/>
      <c r="K169" s="209"/>
      <c r="L169" s="209"/>
      <c r="M169" s="209"/>
      <c r="N169" s="210"/>
    </row>
    <row r="170">
      <c r="B170" s="208"/>
      <c r="D170" s="209"/>
      <c r="E170" s="209"/>
      <c r="F170" s="209"/>
      <c r="G170" s="209"/>
      <c r="H170" s="209"/>
      <c r="I170" s="209"/>
      <c r="J170" s="209"/>
      <c r="K170" s="209"/>
      <c r="L170" s="209"/>
      <c r="M170" s="209"/>
      <c r="N170" s="210"/>
    </row>
    <row r="171">
      <c r="B171" s="208"/>
      <c r="D171" s="209"/>
      <c r="E171" s="209"/>
      <c r="F171" s="209"/>
      <c r="G171" s="209"/>
      <c r="H171" s="209"/>
      <c r="I171" s="209"/>
      <c r="J171" s="209"/>
      <c r="K171" s="209"/>
      <c r="L171" s="209"/>
      <c r="M171" s="209"/>
      <c r="N171" s="210"/>
    </row>
    <row r="172">
      <c r="B172" s="208"/>
      <c r="D172" s="209"/>
      <c r="E172" s="209"/>
      <c r="F172" s="209"/>
      <c r="G172" s="209"/>
      <c r="H172" s="209"/>
      <c r="I172" s="209"/>
      <c r="J172" s="209"/>
      <c r="K172" s="209"/>
      <c r="L172" s="209"/>
      <c r="M172" s="209"/>
      <c r="N172" s="210"/>
    </row>
    <row r="173">
      <c r="B173" s="208"/>
      <c r="D173" s="209"/>
      <c r="E173" s="209"/>
      <c r="F173" s="209"/>
      <c r="G173" s="209"/>
      <c r="H173" s="209"/>
      <c r="I173" s="209"/>
      <c r="J173" s="209"/>
      <c r="K173" s="209"/>
      <c r="L173" s="209"/>
      <c r="M173" s="209"/>
      <c r="N173" s="210"/>
    </row>
    <row r="174">
      <c r="B174" s="208"/>
      <c r="D174" s="209"/>
      <c r="E174" s="209"/>
      <c r="F174" s="209"/>
      <c r="G174" s="209"/>
      <c r="H174" s="209"/>
      <c r="I174" s="209"/>
      <c r="J174" s="209"/>
      <c r="K174" s="209"/>
      <c r="L174" s="209"/>
      <c r="M174" s="209"/>
      <c r="N174" s="210"/>
    </row>
    <row r="175">
      <c r="B175" s="208"/>
      <c r="D175" s="209"/>
      <c r="E175" s="209"/>
      <c r="F175" s="209"/>
      <c r="G175" s="209"/>
      <c r="H175" s="209"/>
      <c r="I175" s="209"/>
      <c r="J175" s="209"/>
      <c r="K175" s="209"/>
      <c r="L175" s="209"/>
      <c r="M175" s="209"/>
      <c r="N175" s="210"/>
    </row>
    <row r="176">
      <c r="B176" s="208"/>
      <c r="D176" s="209"/>
      <c r="E176" s="209"/>
      <c r="F176" s="209"/>
      <c r="G176" s="209"/>
      <c r="H176" s="209"/>
      <c r="I176" s="209"/>
      <c r="J176" s="209"/>
      <c r="K176" s="209"/>
      <c r="L176" s="209"/>
      <c r="M176" s="209"/>
      <c r="N176" s="210"/>
    </row>
    <row r="177">
      <c r="B177" s="208"/>
      <c r="D177" s="209"/>
      <c r="E177" s="209"/>
      <c r="F177" s="209"/>
      <c r="G177" s="209"/>
      <c r="H177" s="209"/>
      <c r="I177" s="209"/>
      <c r="J177" s="209"/>
      <c r="K177" s="209"/>
      <c r="L177" s="209"/>
      <c r="M177" s="209"/>
      <c r="N177" s="210"/>
    </row>
    <row r="178">
      <c r="B178" s="208"/>
      <c r="D178" s="209"/>
      <c r="E178" s="209"/>
      <c r="F178" s="209"/>
      <c r="G178" s="209"/>
      <c r="H178" s="209"/>
      <c r="I178" s="209"/>
      <c r="J178" s="209"/>
      <c r="K178" s="209"/>
      <c r="L178" s="209"/>
      <c r="M178" s="209"/>
      <c r="N178" s="210"/>
    </row>
    <row r="179">
      <c r="B179" s="208"/>
      <c r="D179" s="209"/>
      <c r="E179" s="209"/>
      <c r="F179" s="209"/>
      <c r="G179" s="209"/>
      <c r="H179" s="209"/>
      <c r="I179" s="209"/>
      <c r="J179" s="209"/>
      <c r="K179" s="209"/>
      <c r="L179" s="209"/>
      <c r="M179" s="209"/>
      <c r="N179" s="210"/>
    </row>
    <row r="180">
      <c r="B180" s="208"/>
      <c r="D180" s="209"/>
      <c r="E180" s="209"/>
      <c r="F180" s="209"/>
      <c r="G180" s="209"/>
      <c r="H180" s="209"/>
      <c r="I180" s="209"/>
      <c r="J180" s="209"/>
      <c r="K180" s="209"/>
      <c r="L180" s="209"/>
      <c r="M180" s="209"/>
      <c r="N180" s="210"/>
    </row>
    <row r="181">
      <c r="B181" s="208"/>
      <c r="D181" s="209"/>
      <c r="E181" s="209"/>
      <c r="F181" s="209"/>
      <c r="G181" s="209"/>
      <c r="H181" s="209"/>
      <c r="I181" s="209"/>
      <c r="J181" s="209"/>
      <c r="K181" s="209"/>
      <c r="L181" s="209"/>
      <c r="M181" s="209"/>
      <c r="N181" s="210"/>
    </row>
    <row r="182">
      <c r="B182" s="208"/>
      <c r="D182" s="209"/>
      <c r="E182" s="209"/>
      <c r="F182" s="209"/>
      <c r="G182" s="209"/>
      <c r="H182" s="209"/>
      <c r="I182" s="209"/>
      <c r="J182" s="209"/>
      <c r="K182" s="209"/>
      <c r="L182" s="209"/>
      <c r="M182" s="209"/>
      <c r="N182" s="210"/>
    </row>
    <row r="183">
      <c r="B183" s="208"/>
      <c r="D183" s="209"/>
      <c r="E183" s="209"/>
      <c r="F183" s="209"/>
      <c r="G183" s="209"/>
      <c r="H183" s="209"/>
      <c r="I183" s="209"/>
      <c r="J183" s="209"/>
      <c r="K183" s="209"/>
      <c r="L183" s="209"/>
      <c r="M183" s="209"/>
      <c r="N183" s="210"/>
    </row>
    <row r="184">
      <c r="B184" s="208"/>
      <c r="D184" s="209"/>
      <c r="E184" s="209"/>
      <c r="F184" s="209"/>
      <c r="G184" s="209"/>
      <c r="H184" s="209"/>
      <c r="I184" s="209"/>
      <c r="J184" s="209"/>
      <c r="K184" s="209"/>
      <c r="L184" s="209"/>
      <c r="M184" s="209"/>
      <c r="N184" s="210"/>
    </row>
    <row r="185">
      <c r="B185" s="208"/>
      <c r="D185" s="209"/>
      <c r="E185" s="209"/>
      <c r="F185" s="209"/>
      <c r="G185" s="209"/>
      <c r="H185" s="209"/>
      <c r="I185" s="209"/>
      <c r="J185" s="209"/>
      <c r="K185" s="209"/>
      <c r="L185" s="209"/>
      <c r="M185" s="209"/>
      <c r="N185" s="210"/>
    </row>
    <row r="186">
      <c r="B186" s="208"/>
      <c r="D186" s="209"/>
      <c r="E186" s="209"/>
      <c r="F186" s="209"/>
      <c r="G186" s="209"/>
      <c r="H186" s="209"/>
      <c r="I186" s="209"/>
      <c r="J186" s="209"/>
      <c r="K186" s="209"/>
      <c r="L186" s="209"/>
      <c r="M186" s="209"/>
      <c r="N186" s="210"/>
    </row>
    <row r="187">
      <c r="B187" s="208"/>
      <c r="D187" s="209"/>
      <c r="E187" s="209"/>
      <c r="F187" s="209"/>
      <c r="G187" s="209"/>
      <c r="H187" s="209"/>
      <c r="I187" s="209"/>
      <c r="J187" s="209"/>
      <c r="K187" s="209"/>
      <c r="L187" s="209"/>
      <c r="M187" s="209"/>
      <c r="N187" s="210"/>
    </row>
    <row r="188">
      <c r="B188" s="208"/>
      <c r="D188" s="209"/>
      <c r="E188" s="209"/>
      <c r="F188" s="209"/>
      <c r="G188" s="209"/>
      <c r="H188" s="209"/>
      <c r="I188" s="209"/>
      <c r="J188" s="209"/>
      <c r="K188" s="209"/>
      <c r="L188" s="209"/>
      <c r="M188" s="209"/>
      <c r="N188" s="210"/>
    </row>
    <row r="189">
      <c r="B189" s="208"/>
      <c r="D189" s="209"/>
      <c r="E189" s="209"/>
      <c r="F189" s="209"/>
      <c r="G189" s="209"/>
      <c r="H189" s="209"/>
      <c r="I189" s="209"/>
      <c r="J189" s="209"/>
      <c r="K189" s="209"/>
      <c r="L189" s="209"/>
      <c r="M189" s="209"/>
      <c r="N189" s="210"/>
    </row>
    <row r="190">
      <c r="B190" s="208"/>
      <c r="D190" s="209"/>
      <c r="E190" s="209"/>
      <c r="F190" s="209"/>
      <c r="G190" s="209"/>
      <c r="H190" s="209"/>
      <c r="I190" s="209"/>
      <c r="J190" s="209"/>
      <c r="K190" s="209"/>
      <c r="L190" s="209"/>
      <c r="M190" s="209"/>
      <c r="N190" s="210"/>
    </row>
    <row r="191">
      <c r="B191" s="208"/>
      <c r="D191" s="209"/>
      <c r="E191" s="209"/>
      <c r="F191" s="209"/>
      <c r="G191" s="209"/>
      <c r="H191" s="209"/>
      <c r="I191" s="209"/>
      <c r="J191" s="209"/>
      <c r="K191" s="209"/>
      <c r="L191" s="209"/>
      <c r="M191" s="209"/>
      <c r="N191" s="210"/>
    </row>
    <row r="192">
      <c r="B192" s="208"/>
      <c r="D192" s="209"/>
      <c r="E192" s="209"/>
      <c r="F192" s="209"/>
      <c r="G192" s="209"/>
      <c r="H192" s="209"/>
      <c r="I192" s="209"/>
      <c r="J192" s="209"/>
      <c r="K192" s="209"/>
      <c r="L192" s="209"/>
      <c r="M192" s="209"/>
      <c r="N192" s="210"/>
    </row>
    <row r="193">
      <c r="B193" s="208"/>
      <c r="D193" s="209"/>
      <c r="E193" s="209"/>
      <c r="F193" s="209"/>
      <c r="G193" s="209"/>
      <c r="H193" s="209"/>
      <c r="I193" s="209"/>
      <c r="J193" s="209"/>
      <c r="K193" s="209"/>
      <c r="L193" s="209"/>
      <c r="M193" s="209"/>
      <c r="N193" s="210"/>
    </row>
    <row r="194">
      <c r="B194" s="208"/>
      <c r="D194" s="209"/>
      <c r="E194" s="209"/>
      <c r="F194" s="209"/>
      <c r="G194" s="209"/>
      <c r="H194" s="209"/>
      <c r="I194" s="209"/>
      <c r="J194" s="209"/>
      <c r="K194" s="209"/>
      <c r="L194" s="209"/>
      <c r="M194" s="209"/>
      <c r="N194" s="210"/>
    </row>
    <row r="195">
      <c r="B195" s="208"/>
      <c r="D195" s="209"/>
      <c r="E195" s="209"/>
      <c r="F195" s="209"/>
      <c r="G195" s="209"/>
      <c r="H195" s="209"/>
      <c r="I195" s="209"/>
      <c r="J195" s="209"/>
      <c r="K195" s="209"/>
      <c r="L195" s="209"/>
      <c r="M195" s="209"/>
      <c r="N195" s="210"/>
    </row>
    <row r="196">
      <c r="B196" s="208"/>
      <c r="D196" s="209"/>
      <c r="E196" s="209"/>
      <c r="F196" s="209"/>
      <c r="G196" s="209"/>
      <c r="H196" s="209"/>
      <c r="I196" s="209"/>
      <c r="J196" s="209"/>
      <c r="K196" s="209"/>
      <c r="L196" s="209"/>
      <c r="M196" s="209"/>
      <c r="N196" s="210"/>
    </row>
    <row r="197">
      <c r="B197" s="208"/>
      <c r="D197" s="209"/>
      <c r="E197" s="209"/>
      <c r="F197" s="209"/>
      <c r="G197" s="209"/>
      <c r="H197" s="209"/>
      <c r="I197" s="209"/>
      <c r="J197" s="209"/>
      <c r="K197" s="209"/>
      <c r="L197" s="209"/>
      <c r="M197" s="209"/>
      <c r="N197" s="210"/>
    </row>
    <row r="198">
      <c r="B198" s="208"/>
      <c r="D198" s="209"/>
      <c r="E198" s="209"/>
      <c r="F198" s="209"/>
      <c r="G198" s="209"/>
      <c r="H198" s="209"/>
      <c r="I198" s="209"/>
      <c r="J198" s="209"/>
      <c r="K198" s="209"/>
      <c r="L198" s="209"/>
      <c r="M198" s="209"/>
      <c r="N198" s="210"/>
    </row>
    <row r="199">
      <c r="B199" s="208"/>
      <c r="D199" s="209"/>
      <c r="E199" s="209"/>
      <c r="F199" s="209"/>
      <c r="G199" s="209"/>
      <c r="H199" s="209"/>
      <c r="I199" s="209"/>
      <c r="J199" s="209"/>
      <c r="K199" s="209"/>
      <c r="L199" s="209"/>
      <c r="M199" s="209"/>
      <c r="N199" s="210"/>
    </row>
    <row r="200">
      <c r="B200" s="208"/>
      <c r="D200" s="209"/>
      <c r="E200" s="209"/>
      <c r="F200" s="209"/>
      <c r="G200" s="209"/>
      <c r="H200" s="209"/>
      <c r="I200" s="209"/>
      <c r="J200" s="209"/>
      <c r="K200" s="209"/>
      <c r="L200" s="209"/>
      <c r="M200" s="209"/>
      <c r="N200" s="210"/>
    </row>
    <row r="201">
      <c r="B201" s="208"/>
      <c r="D201" s="209"/>
      <c r="E201" s="209"/>
      <c r="F201" s="209"/>
      <c r="G201" s="209"/>
      <c r="H201" s="209"/>
      <c r="I201" s="209"/>
      <c r="J201" s="209"/>
      <c r="K201" s="209"/>
      <c r="L201" s="209"/>
      <c r="M201" s="209"/>
      <c r="N201" s="210"/>
    </row>
    <row r="202">
      <c r="B202" s="208"/>
      <c r="D202" s="209"/>
      <c r="E202" s="209"/>
      <c r="F202" s="209"/>
      <c r="G202" s="209"/>
      <c r="H202" s="209"/>
      <c r="I202" s="209"/>
      <c r="J202" s="209"/>
      <c r="K202" s="209"/>
      <c r="L202" s="209"/>
      <c r="M202" s="209"/>
      <c r="N202" s="210"/>
    </row>
    <row r="203">
      <c r="B203" s="208"/>
      <c r="D203" s="209"/>
      <c r="E203" s="209"/>
      <c r="F203" s="209"/>
      <c r="G203" s="209"/>
      <c r="H203" s="209"/>
      <c r="I203" s="209"/>
      <c r="J203" s="209"/>
      <c r="K203" s="209"/>
      <c r="L203" s="209"/>
      <c r="M203" s="209"/>
      <c r="N203" s="210"/>
    </row>
    <row r="204">
      <c r="B204" s="208"/>
      <c r="D204" s="209"/>
      <c r="E204" s="209"/>
      <c r="F204" s="209"/>
      <c r="G204" s="209"/>
      <c r="H204" s="209"/>
      <c r="I204" s="209"/>
      <c r="J204" s="209"/>
      <c r="K204" s="209"/>
      <c r="L204" s="209"/>
      <c r="M204" s="209"/>
      <c r="N204" s="210"/>
    </row>
    <row r="205">
      <c r="B205" s="208"/>
      <c r="D205" s="209"/>
      <c r="E205" s="209"/>
      <c r="F205" s="209"/>
      <c r="G205" s="209"/>
      <c r="H205" s="209"/>
      <c r="I205" s="209"/>
      <c r="J205" s="209"/>
      <c r="K205" s="209"/>
      <c r="L205" s="209"/>
      <c r="M205" s="209"/>
      <c r="N205" s="210"/>
    </row>
    <row r="206">
      <c r="B206" s="208"/>
      <c r="D206" s="209"/>
      <c r="E206" s="209"/>
      <c r="F206" s="209"/>
      <c r="G206" s="209"/>
      <c r="H206" s="209"/>
      <c r="I206" s="209"/>
      <c r="J206" s="209"/>
      <c r="K206" s="209"/>
      <c r="L206" s="209"/>
      <c r="M206" s="209"/>
      <c r="N206" s="210"/>
    </row>
    <row r="207">
      <c r="B207" s="208"/>
      <c r="D207" s="209"/>
      <c r="E207" s="209"/>
      <c r="F207" s="209"/>
      <c r="G207" s="209"/>
      <c r="H207" s="209"/>
      <c r="I207" s="209"/>
      <c r="J207" s="209"/>
      <c r="K207" s="209"/>
      <c r="L207" s="209"/>
      <c r="M207" s="209"/>
      <c r="N207" s="210"/>
    </row>
    <row r="208">
      <c r="B208" s="208"/>
      <c r="D208" s="209"/>
      <c r="E208" s="209"/>
      <c r="F208" s="209"/>
      <c r="G208" s="209"/>
      <c r="H208" s="209"/>
      <c r="I208" s="209"/>
      <c r="J208" s="209"/>
      <c r="K208" s="209"/>
      <c r="L208" s="209"/>
      <c r="M208" s="209"/>
      <c r="N208" s="210"/>
    </row>
    <row r="209">
      <c r="B209" s="208"/>
      <c r="D209" s="209"/>
      <c r="E209" s="209"/>
      <c r="F209" s="209"/>
      <c r="G209" s="209"/>
      <c r="H209" s="209"/>
      <c r="I209" s="209"/>
      <c r="J209" s="209"/>
      <c r="K209" s="209"/>
      <c r="L209" s="209"/>
      <c r="M209" s="209"/>
      <c r="N209" s="210"/>
    </row>
    <row r="210">
      <c r="B210" s="208"/>
      <c r="D210" s="209"/>
      <c r="E210" s="209"/>
      <c r="F210" s="209"/>
      <c r="G210" s="209"/>
      <c r="H210" s="209"/>
      <c r="I210" s="209"/>
      <c r="J210" s="209"/>
      <c r="K210" s="209"/>
      <c r="L210" s="209"/>
      <c r="M210" s="209"/>
      <c r="N210" s="210"/>
    </row>
    <row r="211">
      <c r="B211" s="208"/>
      <c r="D211" s="209"/>
      <c r="E211" s="209"/>
      <c r="F211" s="209"/>
      <c r="G211" s="209"/>
      <c r="H211" s="209"/>
      <c r="I211" s="209"/>
      <c r="J211" s="209"/>
      <c r="K211" s="209"/>
      <c r="L211" s="209"/>
      <c r="M211" s="209"/>
      <c r="N211" s="210"/>
    </row>
    <row r="212">
      <c r="B212" s="208"/>
      <c r="D212" s="209"/>
      <c r="E212" s="209"/>
      <c r="F212" s="209"/>
      <c r="G212" s="209"/>
      <c r="H212" s="209"/>
      <c r="I212" s="209"/>
      <c r="J212" s="209"/>
      <c r="K212" s="209"/>
      <c r="L212" s="209"/>
      <c r="M212" s="209"/>
      <c r="N212" s="210"/>
    </row>
    <row r="213">
      <c r="B213" s="208"/>
      <c r="D213" s="209"/>
      <c r="E213" s="209"/>
      <c r="F213" s="209"/>
      <c r="G213" s="209"/>
      <c r="H213" s="209"/>
      <c r="I213" s="209"/>
      <c r="J213" s="209"/>
      <c r="K213" s="209"/>
      <c r="L213" s="209"/>
      <c r="M213" s="209"/>
      <c r="N213" s="210"/>
    </row>
    <row r="214">
      <c r="B214" s="208"/>
      <c r="D214" s="209"/>
      <c r="E214" s="209"/>
      <c r="F214" s="209"/>
      <c r="G214" s="209"/>
      <c r="H214" s="209"/>
      <c r="I214" s="209"/>
      <c r="J214" s="209"/>
      <c r="K214" s="209"/>
      <c r="L214" s="209"/>
      <c r="M214" s="209"/>
      <c r="N214" s="210"/>
    </row>
    <row r="215">
      <c r="B215" s="208"/>
      <c r="D215" s="209"/>
      <c r="E215" s="209"/>
      <c r="F215" s="209"/>
      <c r="G215" s="209"/>
      <c r="H215" s="209"/>
      <c r="I215" s="209"/>
      <c r="J215" s="209"/>
      <c r="K215" s="209"/>
      <c r="L215" s="209"/>
      <c r="M215" s="209"/>
      <c r="N215" s="210"/>
    </row>
    <row r="216">
      <c r="B216" s="208"/>
      <c r="D216" s="209"/>
      <c r="E216" s="209"/>
      <c r="F216" s="209"/>
      <c r="G216" s="209"/>
      <c r="H216" s="209"/>
      <c r="I216" s="209"/>
      <c r="J216" s="209"/>
      <c r="K216" s="209"/>
      <c r="L216" s="209"/>
      <c r="M216" s="209"/>
      <c r="N216" s="210"/>
    </row>
    <row r="217">
      <c r="B217" s="208"/>
      <c r="D217" s="209"/>
      <c r="E217" s="209"/>
      <c r="F217" s="209"/>
      <c r="G217" s="209"/>
      <c r="H217" s="209"/>
      <c r="I217" s="209"/>
      <c r="J217" s="209"/>
      <c r="K217" s="209"/>
      <c r="L217" s="209"/>
      <c r="M217" s="209"/>
      <c r="N217" s="210"/>
    </row>
    <row r="218">
      <c r="B218" s="208"/>
      <c r="D218" s="209"/>
      <c r="E218" s="209"/>
      <c r="F218" s="209"/>
      <c r="G218" s="209"/>
      <c r="H218" s="209"/>
      <c r="I218" s="209"/>
      <c r="J218" s="209"/>
      <c r="K218" s="209"/>
      <c r="L218" s="209"/>
      <c r="M218" s="209"/>
      <c r="N218" s="210"/>
    </row>
    <row r="219">
      <c r="B219" s="208"/>
      <c r="D219" s="209"/>
      <c r="E219" s="209"/>
      <c r="F219" s="209"/>
      <c r="G219" s="209"/>
      <c r="H219" s="209"/>
      <c r="I219" s="209"/>
      <c r="J219" s="209"/>
      <c r="K219" s="209"/>
      <c r="L219" s="209"/>
      <c r="M219" s="209"/>
      <c r="N219" s="210"/>
    </row>
    <row r="220">
      <c r="B220" s="208"/>
      <c r="D220" s="209"/>
      <c r="E220" s="209"/>
      <c r="F220" s="209"/>
      <c r="G220" s="209"/>
      <c r="H220" s="209"/>
      <c r="I220" s="209"/>
      <c r="J220" s="209"/>
      <c r="K220" s="209"/>
      <c r="L220" s="209"/>
      <c r="M220" s="209"/>
      <c r="N220" s="210"/>
    </row>
    <row r="221">
      <c r="B221" s="208"/>
      <c r="D221" s="209"/>
      <c r="E221" s="209"/>
      <c r="F221" s="209"/>
      <c r="G221" s="209"/>
      <c r="H221" s="209"/>
      <c r="I221" s="209"/>
      <c r="J221" s="209"/>
      <c r="K221" s="209"/>
      <c r="L221" s="209"/>
      <c r="M221" s="209"/>
      <c r="N221" s="210"/>
    </row>
    <row r="222">
      <c r="B222" s="208"/>
      <c r="D222" s="209"/>
      <c r="E222" s="209"/>
      <c r="F222" s="209"/>
      <c r="G222" s="209"/>
      <c r="H222" s="209"/>
      <c r="I222" s="209"/>
      <c r="J222" s="209"/>
      <c r="K222" s="209"/>
      <c r="L222" s="209"/>
      <c r="M222" s="209"/>
      <c r="N222" s="210"/>
    </row>
    <row r="223">
      <c r="B223" s="208"/>
      <c r="D223" s="209"/>
      <c r="E223" s="209"/>
      <c r="F223" s="209"/>
      <c r="G223" s="209"/>
      <c r="H223" s="209"/>
      <c r="I223" s="209"/>
      <c r="J223" s="209"/>
      <c r="K223" s="209"/>
      <c r="L223" s="209"/>
      <c r="M223" s="209"/>
      <c r="N223" s="210"/>
    </row>
    <row r="224">
      <c r="B224" s="208"/>
      <c r="D224" s="209"/>
      <c r="E224" s="209"/>
      <c r="F224" s="209"/>
      <c r="G224" s="209"/>
      <c r="H224" s="209"/>
      <c r="I224" s="209"/>
      <c r="J224" s="209"/>
      <c r="K224" s="209"/>
      <c r="L224" s="209"/>
      <c r="M224" s="209"/>
      <c r="N224" s="210"/>
    </row>
    <row r="225">
      <c r="B225" s="208"/>
      <c r="D225" s="209"/>
      <c r="E225" s="209"/>
      <c r="F225" s="209"/>
      <c r="G225" s="209"/>
      <c r="H225" s="209"/>
      <c r="I225" s="209"/>
      <c r="J225" s="209"/>
      <c r="K225" s="209"/>
      <c r="L225" s="209"/>
      <c r="M225" s="209"/>
      <c r="N225" s="210"/>
    </row>
    <row r="226">
      <c r="B226" s="208"/>
      <c r="D226" s="209"/>
      <c r="E226" s="209"/>
      <c r="F226" s="209"/>
      <c r="G226" s="209"/>
      <c r="H226" s="209"/>
      <c r="I226" s="209"/>
      <c r="J226" s="209"/>
      <c r="K226" s="209"/>
      <c r="L226" s="209"/>
      <c r="M226" s="209"/>
      <c r="N226" s="210"/>
    </row>
    <row r="227">
      <c r="B227" s="208"/>
      <c r="D227" s="209"/>
      <c r="E227" s="209"/>
      <c r="F227" s="209"/>
      <c r="G227" s="209"/>
      <c r="H227" s="209"/>
      <c r="I227" s="209"/>
      <c r="J227" s="209"/>
      <c r="K227" s="209"/>
      <c r="L227" s="209"/>
      <c r="M227" s="209"/>
      <c r="N227" s="210"/>
    </row>
    <row r="228">
      <c r="B228" s="208"/>
      <c r="D228" s="209"/>
      <c r="E228" s="209"/>
      <c r="F228" s="209"/>
      <c r="G228" s="209"/>
      <c r="H228" s="209"/>
      <c r="I228" s="209"/>
      <c r="J228" s="209"/>
      <c r="K228" s="209"/>
      <c r="L228" s="209"/>
      <c r="M228" s="209"/>
      <c r="N228" s="210"/>
    </row>
    <row r="229">
      <c r="B229" s="208"/>
      <c r="D229" s="209"/>
      <c r="E229" s="209"/>
      <c r="F229" s="209"/>
      <c r="G229" s="209"/>
      <c r="H229" s="209"/>
      <c r="I229" s="209"/>
      <c r="J229" s="209"/>
      <c r="K229" s="209"/>
      <c r="L229" s="209"/>
      <c r="M229" s="209"/>
      <c r="N229" s="210"/>
    </row>
    <row r="230">
      <c r="B230" s="208"/>
      <c r="D230" s="209"/>
      <c r="E230" s="209"/>
      <c r="F230" s="209"/>
      <c r="G230" s="209"/>
      <c r="H230" s="209"/>
      <c r="I230" s="209"/>
      <c r="J230" s="209"/>
      <c r="K230" s="209"/>
      <c r="L230" s="209"/>
      <c r="M230" s="209"/>
      <c r="N230" s="210"/>
    </row>
    <row r="231">
      <c r="B231" s="208"/>
      <c r="D231" s="209"/>
      <c r="E231" s="209"/>
      <c r="F231" s="209"/>
      <c r="G231" s="209"/>
      <c r="H231" s="209"/>
      <c r="I231" s="209"/>
      <c r="J231" s="209"/>
      <c r="K231" s="209"/>
      <c r="L231" s="209"/>
      <c r="M231" s="209"/>
      <c r="N231" s="210"/>
    </row>
    <row r="232">
      <c r="B232" s="208"/>
      <c r="D232" s="209"/>
      <c r="E232" s="209"/>
      <c r="F232" s="209"/>
      <c r="G232" s="209"/>
      <c r="H232" s="209"/>
      <c r="I232" s="209"/>
      <c r="J232" s="209"/>
      <c r="K232" s="209"/>
      <c r="L232" s="209"/>
      <c r="M232" s="209"/>
      <c r="N232" s="210"/>
    </row>
    <row r="233">
      <c r="B233" s="208"/>
      <c r="D233" s="209"/>
      <c r="E233" s="209"/>
      <c r="F233" s="209"/>
      <c r="G233" s="209"/>
      <c r="H233" s="209"/>
      <c r="I233" s="209"/>
      <c r="J233" s="209"/>
      <c r="K233" s="209"/>
      <c r="L233" s="209"/>
      <c r="M233" s="209"/>
      <c r="N233" s="210"/>
    </row>
    <row r="234">
      <c r="B234" s="208"/>
      <c r="D234" s="209"/>
      <c r="E234" s="209"/>
      <c r="F234" s="209"/>
      <c r="G234" s="209"/>
      <c r="H234" s="209"/>
      <c r="I234" s="209"/>
      <c r="J234" s="209"/>
      <c r="K234" s="209"/>
      <c r="L234" s="209"/>
      <c r="M234" s="209"/>
      <c r="N234" s="210"/>
    </row>
    <row r="235">
      <c r="B235" s="208"/>
      <c r="D235" s="209"/>
      <c r="E235" s="209"/>
      <c r="F235" s="209"/>
      <c r="G235" s="209"/>
      <c r="H235" s="209"/>
      <c r="I235" s="209"/>
      <c r="J235" s="209"/>
      <c r="K235" s="209"/>
      <c r="L235" s="209"/>
      <c r="M235" s="209"/>
      <c r="N235" s="210"/>
    </row>
    <row r="236">
      <c r="B236" s="208"/>
      <c r="D236" s="209"/>
      <c r="E236" s="209"/>
      <c r="F236" s="209"/>
      <c r="G236" s="209"/>
      <c r="H236" s="209"/>
      <c r="I236" s="209"/>
      <c r="J236" s="209"/>
      <c r="K236" s="209"/>
      <c r="L236" s="209"/>
      <c r="M236" s="209"/>
      <c r="N236" s="210"/>
    </row>
    <row r="237">
      <c r="B237" s="208"/>
      <c r="D237" s="209"/>
      <c r="E237" s="209"/>
      <c r="F237" s="209"/>
      <c r="G237" s="209"/>
      <c r="H237" s="209"/>
      <c r="I237" s="209"/>
      <c r="J237" s="209"/>
      <c r="K237" s="209"/>
      <c r="L237" s="209"/>
      <c r="M237" s="209"/>
      <c r="N237" s="210"/>
    </row>
    <row r="238">
      <c r="B238" s="208"/>
      <c r="D238" s="209"/>
      <c r="E238" s="209"/>
      <c r="F238" s="209"/>
      <c r="G238" s="209"/>
      <c r="H238" s="209"/>
      <c r="I238" s="209"/>
      <c r="J238" s="209"/>
      <c r="K238" s="209"/>
      <c r="L238" s="209"/>
      <c r="M238" s="209"/>
      <c r="N238" s="210"/>
    </row>
    <row r="239">
      <c r="B239" s="208"/>
      <c r="D239" s="209"/>
      <c r="E239" s="209"/>
      <c r="F239" s="209"/>
      <c r="G239" s="209"/>
      <c r="H239" s="209"/>
      <c r="I239" s="209"/>
      <c r="J239" s="209"/>
      <c r="K239" s="209"/>
      <c r="L239" s="209"/>
      <c r="M239" s="209"/>
      <c r="N239" s="210"/>
    </row>
    <row r="240">
      <c r="B240" s="208"/>
      <c r="D240" s="209"/>
      <c r="E240" s="209"/>
      <c r="F240" s="209"/>
      <c r="G240" s="209"/>
      <c r="H240" s="209"/>
      <c r="I240" s="209"/>
      <c r="J240" s="209"/>
      <c r="K240" s="209"/>
      <c r="L240" s="209"/>
      <c r="M240" s="209"/>
      <c r="N240" s="210"/>
    </row>
    <row r="241">
      <c r="B241" s="208"/>
      <c r="D241" s="209"/>
      <c r="E241" s="209"/>
      <c r="F241" s="209"/>
      <c r="G241" s="209"/>
      <c r="H241" s="209"/>
      <c r="I241" s="209"/>
      <c r="J241" s="209"/>
      <c r="K241" s="209"/>
      <c r="L241" s="209"/>
      <c r="M241" s="209"/>
      <c r="N241" s="210"/>
    </row>
    <row r="242">
      <c r="B242" s="208"/>
      <c r="D242" s="209"/>
      <c r="E242" s="209"/>
      <c r="F242" s="209"/>
      <c r="G242" s="209"/>
      <c r="H242" s="209"/>
      <c r="I242" s="209"/>
      <c r="J242" s="209"/>
      <c r="K242" s="209"/>
      <c r="L242" s="209"/>
      <c r="M242" s="209"/>
      <c r="N242" s="210"/>
    </row>
    <row r="243">
      <c r="B243" s="208"/>
      <c r="D243" s="209"/>
      <c r="E243" s="209"/>
      <c r="F243" s="209"/>
      <c r="G243" s="209"/>
      <c r="H243" s="209"/>
      <c r="I243" s="209"/>
      <c r="J243" s="209"/>
      <c r="K243" s="209"/>
      <c r="L243" s="209"/>
      <c r="M243" s="209"/>
      <c r="N243" s="210"/>
    </row>
    <row r="244">
      <c r="B244" s="208"/>
      <c r="D244" s="209"/>
      <c r="E244" s="209"/>
      <c r="F244" s="209"/>
      <c r="G244" s="209"/>
      <c r="H244" s="209"/>
      <c r="I244" s="209"/>
      <c r="J244" s="209"/>
      <c r="K244" s="209"/>
      <c r="L244" s="209"/>
      <c r="M244" s="209"/>
      <c r="N244" s="210"/>
    </row>
    <row r="245">
      <c r="B245" s="208"/>
      <c r="D245" s="209"/>
      <c r="E245" s="209"/>
      <c r="F245" s="209"/>
      <c r="G245" s="209"/>
      <c r="H245" s="209"/>
      <c r="I245" s="209"/>
      <c r="J245" s="209"/>
      <c r="K245" s="209"/>
      <c r="L245" s="209"/>
      <c r="M245" s="209"/>
      <c r="N245" s="210"/>
    </row>
    <row r="246">
      <c r="B246" s="208"/>
      <c r="D246" s="209"/>
      <c r="E246" s="209"/>
      <c r="F246" s="209"/>
      <c r="G246" s="209"/>
      <c r="H246" s="209"/>
      <c r="I246" s="209"/>
      <c r="J246" s="209"/>
      <c r="K246" s="209"/>
      <c r="L246" s="209"/>
      <c r="M246" s="209"/>
      <c r="N246" s="210"/>
    </row>
    <row r="247">
      <c r="B247" s="208"/>
      <c r="D247" s="209"/>
      <c r="E247" s="209"/>
      <c r="F247" s="209"/>
      <c r="G247" s="209"/>
      <c r="H247" s="209"/>
      <c r="I247" s="209"/>
      <c r="J247" s="209"/>
      <c r="K247" s="209"/>
      <c r="L247" s="209"/>
      <c r="M247" s="209"/>
      <c r="N247" s="210"/>
    </row>
    <row r="248">
      <c r="B248" s="208"/>
      <c r="D248" s="209"/>
      <c r="E248" s="209"/>
      <c r="F248" s="209"/>
      <c r="G248" s="209"/>
      <c r="H248" s="209"/>
      <c r="I248" s="209"/>
      <c r="J248" s="209"/>
      <c r="K248" s="209"/>
      <c r="L248" s="209"/>
      <c r="M248" s="209"/>
      <c r="N248" s="210"/>
    </row>
    <row r="249">
      <c r="B249" s="208"/>
      <c r="D249" s="209"/>
      <c r="E249" s="209"/>
      <c r="F249" s="209"/>
      <c r="G249" s="209"/>
      <c r="H249" s="209"/>
      <c r="I249" s="209"/>
      <c r="J249" s="209"/>
      <c r="K249" s="209"/>
      <c r="L249" s="209"/>
      <c r="M249" s="209"/>
      <c r="N249" s="210"/>
    </row>
    <row r="250">
      <c r="B250" s="208"/>
      <c r="D250" s="209"/>
      <c r="E250" s="209"/>
      <c r="F250" s="209"/>
      <c r="G250" s="209"/>
      <c r="H250" s="209"/>
      <c r="I250" s="209"/>
      <c r="J250" s="209"/>
      <c r="K250" s="209"/>
      <c r="L250" s="209"/>
      <c r="M250" s="209"/>
      <c r="N250" s="210"/>
    </row>
    <row r="251">
      <c r="B251" s="208"/>
      <c r="D251" s="209"/>
      <c r="E251" s="209"/>
      <c r="F251" s="209"/>
      <c r="G251" s="209"/>
      <c r="H251" s="209"/>
      <c r="I251" s="209"/>
      <c r="J251" s="209"/>
      <c r="K251" s="209"/>
      <c r="L251" s="209"/>
      <c r="M251" s="209"/>
      <c r="N251" s="210"/>
    </row>
    <row r="252">
      <c r="B252" s="208"/>
      <c r="D252" s="209"/>
      <c r="E252" s="209"/>
      <c r="F252" s="209"/>
      <c r="G252" s="209"/>
      <c r="H252" s="209"/>
      <c r="I252" s="209"/>
      <c r="J252" s="209"/>
      <c r="K252" s="209"/>
      <c r="L252" s="209"/>
      <c r="M252" s="209"/>
      <c r="N252" s="210"/>
    </row>
    <row r="253">
      <c r="B253" s="208"/>
      <c r="D253" s="209"/>
      <c r="E253" s="209"/>
      <c r="F253" s="209"/>
      <c r="G253" s="209"/>
      <c r="H253" s="209"/>
      <c r="I253" s="209"/>
      <c r="J253" s="209"/>
      <c r="K253" s="209"/>
      <c r="L253" s="209"/>
      <c r="M253" s="209"/>
      <c r="N253" s="210"/>
    </row>
    <row r="254">
      <c r="B254" s="208"/>
      <c r="D254" s="209"/>
      <c r="E254" s="209"/>
      <c r="F254" s="209"/>
      <c r="G254" s="209"/>
      <c r="H254" s="209"/>
      <c r="I254" s="209"/>
      <c r="J254" s="209"/>
      <c r="K254" s="209"/>
      <c r="L254" s="209"/>
      <c r="M254" s="209"/>
      <c r="N254" s="210"/>
    </row>
    <row r="255">
      <c r="B255" s="208"/>
      <c r="D255" s="209"/>
      <c r="E255" s="209"/>
      <c r="F255" s="209"/>
      <c r="G255" s="209"/>
      <c r="H255" s="209"/>
      <c r="I255" s="209"/>
      <c r="J255" s="209"/>
      <c r="K255" s="209"/>
      <c r="L255" s="209"/>
      <c r="M255" s="209"/>
      <c r="N255" s="210"/>
    </row>
    <row r="256">
      <c r="B256" s="208"/>
      <c r="D256" s="209"/>
      <c r="E256" s="209"/>
      <c r="F256" s="209"/>
      <c r="G256" s="209"/>
      <c r="H256" s="209"/>
      <c r="I256" s="209"/>
      <c r="J256" s="209"/>
      <c r="K256" s="209"/>
      <c r="L256" s="209"/>
      <c r="M256" s="209"/>
      <c r="N256" s="210"/>
    </row>
    <row r="257">
      <c r="B257" s="208"/>
      <c r="D257" s="209"/>
      <c r="E257" s="209"/>
      <c r="F257" s="209"/>
      <c r="G257" s="209"/>
      <c r="H257" s="209"/>
      <c r="I257" s="209"/>
      <c r="J257" s="209"/>
      <c r="K257" s="209"/>
      <c r="L257" s="209"/>
      <c r="M257" s="209"/>
      <c r="N257" s="210"/>
    </row>
    <row r="258">
      <c r="B258" s="208"/>
      <c r="D258" s="209"/>
      <c r="E258" s="209"/>
      <c r="F258" s="209"/>
      <c r="G258" s="209"/>
      <c r="H258" s="209"/>
      <c r="I258" s="209"/>
      <c r="J258" s="209"/>
      <c r="K258" s="209"/>
      <c r="L258" s="209"/>
      <c r="M258" s="209"/>
      <c r="N258" s="210"/>
    </row>
    <row r="259">
      <c r="B259" s="208"/>
      <c r="D259" s="209"/>
      <c r="E259" s="209"/>
      <c r="F259" s="209"/>
      <c r="G259" s="209"/>
      <c r="H259" s="209"/>
      <c r="I259" s="209"/>
      <c r="J259" s="209"/>
      <c r="K259" s="209"/>
      <c r="L259" s="209"/>
      <c r="M259" s="209"/>
      <c r="N259" s="210"/>
    </row>
    <row r="260">
      <c r="B260" s="208"/>
      <c r="D260" s="209"/>
      <c r="E260" s="209"/>
      <c r="F260" s="209"/>
      <c r="G260" s="209"/>
      <c r="H260" s="209"/>
      <c r="I260" s="209"/>
      <c r="J260" s="209"/>
      <c r="K260" s="209"/>
      <c r="L260" s="209"/>
      <c r="M260" s="209"/>
      <c r="N260" s="210"/>
    </row>
    <row r="261">
      <c r="B261" s="208"/>
      <c r="D261" s="209"/>
      <c r="E261" s="209"/>
      <c r="F261" s="209"/>
      <c r="G261" s="209"/>
      <c r="H261" s="209"/>
      <c r="I261" s="209"/>
      <c r="J261" s="209"/>
      <c r="K261" s="209"/>
      <c r="L261" s="209"/>
      <c r="M261" s="209"/>
      <c r="N261" s="210"/>
    </row>
    <row r="262">
      <c r="B262" s="208"/>
      <c r="D262" s="209"/>
      <c r="E262" s="209"/>
      <c r="F262" s="209"/>
      <c r="G262" s="209"/>
      <c r="H262" s="209"/>
      <c r="I262" s="209"/>
      <c r="J262" s="209"/>
      <c r="K262" s="209"/>
      <c r="L262" s="209"/>
      <c r="M262" s="209"/>
      <c r="N262" s="210"/>
    </row>
    <row r="263">
      <c r="B263" s="208"/>
      <c r="D263" s="209"/>
      <c r="E263" s="209"/>
      <c r="F263" s="209"/>
      <c r="G263" s="209"/>
      <c r="H263" s="209"/>
      <c r="I263" s="209"/>
      <c r="J263" s="209"/>
      <c r="K263" s="209"/>
      <c r="L263" s="209"/>
      <c r="M263" s="209"/>
      <c r="N263" s="210"/>
    </row>
    <row r="264">
      <c r="B264" s="208"/>
      <c r="D264" s="209"/>
      <c r="E264" s="209"/>
      <c r="F264" s="209"/>
      <c r="G264" s="209"/>
      <c r="H264" s="209"/>
      <c r="I264" s="209"/>
      <c r="J264" s="209"/>
      <c r="K264" s="209"/>
      <c r="L264" s="209"/>
      <c r="M264" s="209"/>
      <c r="N264" s="210"/>
    </row>
    <row r="265">
      <c r="B265" s="208"/>
      <c r="D265" s="209"/>
      <c r="E265" s="209"/>
      <c r="F265" s="209"/>
      <c r="G265" s="209"/>
      <c r="H265" s="209"/>
      <c r="I265" s="209"/>
      <c r="J265" s="209"/>
      <c r="K265" s="209"/>
      <c r="L265" s="209"/>
      <c r="M265" s="209"/>
      <c r="N265" s="210"/>
    </row>
    <row r="266">
      <c r="B266" s="208"/>
      <c r="D266" s="209"/>
      <c r="E266" s="209"/>
      <c r="F266" s="209"/>
      <c r="G266" s="209"/>
      <c r="H266" s="209"/>
      <c r="I266" s="209"/>
      <c r="J266" s="209"/>
      <c r="K266" s="209"/>
      <c r="L266" s="209"/>
      <c r="M266" s="209"/>
      <c r="N266" s="210"/>
    </row>
    <row r="267">
      <c r="B267" s="208"/>
      <c r="D267" s="209"/>
      <c r="E267" s="209"/>
      <c r="F267" s="209"/>
      <c r="G267" s="209"/>
      <c r="H267" s="209"/>
      <c r="I267" s="209"/>
      <c r="J267" s="209"/>
      <c r="K267" s="209"/>
      <c r="L267" s="209"/>
      <c r="M267" s="209"/>
      <c r="N267" s="210"/>
    </row>
    <row r="268">
      <c r="B268" s="208"/>
      <c r="D268" s="209"/>
      <c r="E268" s="209"/>
      <c r="F268" s="209"/>
      <c r="G268" s="209"/>
      <c r="H268" s="209"/>
      <c r="I268" s="209"/>
      <c r="J268" s="209"/>
      <c r="K268" s="209"/>
      <c r="L268" s="209"/>
      <c r="M268" s="209"/>
      <c r="N268" s="210"/>
    </row>
    <row r="269">
      <c r="B269" s="208"/>
      <c r="D269" s="209"/>
      <c r="E269" s="209"/>
      <c r="F269" s="209"/>
      <c r="G269" s="209"/>
      <c r="H269" s="209"/>
      <c r="I269" s="209"/>
      <c r="J269" s="209"/>
      <c r="K269" s="209"/>
      <c r="L269" s="209"/>
      <c r="M269" s="209"/>
      <c r="N269" s="210"/>
    </row>
    <row r="270">
      <c r="B270" s="208"/>
      <c r="D270" s="209"/>
      <c r="E270" s="209"/>
      <c r="F270" s="209"/>
      <c r="G270" s="209"/>
      <c r="H270" s="209"/>
      <c r="I270" s="209"/>
      <c r="J270" s="209"/>
      <c r="K270" s="209"/>
      <c r="L270" s="209"/>
      <c r="M270" s="209"/>
      <c r="N270" s="210"/>
    </row>
    <row r="271">
      <c r="B271" s="208"/>
      <c r="D271" s="209"/>
      <c r="E271" s="209"/>
      <c r="F271" s="209"/>
      <c r="G271" s="209"/>
      <c r="H271" s="209"/>
      <c r="I271" s="209"/>
      <c r="J271" s="209"/>
      <c r="K271" s="209"/>
      <c r="L271" s="209"/>
      <c r="M271" s="209"/>
      <c r="N271" s="210"/>
    </row>
    <row r="272">
      <c r="B272" s="208"/>
      <c r="D272" s="209"/>
      <c r="E272" s="209"/>
      <c r="F272" s="209"/>
      <c r="G272" s="209"/>
      <c r="H272" s="209"/>
      <c r="I272" s="209"/>
      <c r="J272" s="209"/>
      <c r="K272" s="209"/>
      <c r="L272" s="209"/>
      <c r="M272" s="209"/>
      <c r="N272" s="210"/>
    </row>
    <row r="273">
      <c r="B273" s="208"/>
      <c r="D273" s="209"/>
      <c r="E273" s="209"/>
      <c r="F273" s="209"/>
      <c r="G273" s="209"/>
      <c r="H273" s="209"/>
      <c r="I273" s="209"/>
      <c r="J273" s="209"/>
      <c r="K273" s="209"/>
      <c r="L273" s="209"/>
      <c r="M273" s="209"/>
      <c r="N273" s="210"/>
    </row>
    <row r="274">
      <c r="B274" s="208"/>
      <c r="D274" s="209"/>
      <c r="E274" s="209"/>
      <c r="F274" s="209"/>
      <c r="G274" s="209"/>
      <c r="H274" s="209"/>
      <c r="I274" s="209"/>
      <c r="J274" s="209"/>
      <c r="K274" s="209"/>
      <c r="L274" s="209"/>
      <c r="M274" s="209"/>
      <c r="N274" s="210"/>
    </row>
    <row r="275">
      <c r="B275" s="208"/>
      <c r="D275" s="209"/>
      <c r="E275" s="209"/>
      <c r="F275" s="209"/>
      <c r="G275" s="209"/>
      <c r="H275" s="209"/>
      <c r="I275" s="209"/>
      <c r="J275" s="209"/>
      <c r="K275" s="209"/>
      <c r="L275" s="209"/>
      <c r="M275" s="209"/>
      <c r="N275" s="210"/>
    </row>
    <row r="276">
      <c r="B276" s="208"/>
      <c r="D276" s="209"/>
      <c r="E276" s="209"/>
      <c r="F276" s="209"/>
      <c r="G276" s="209"/>
      <c r="H276" s="209"/>
      <c r="I276" s="209"/>
      <c r="J276" s="209"/>
      <c r="K276" s="209"/>
      <c r="L276" s="209"/>
      <c r="M276" s="209"/>
      <c r="N276" s="210"/>
    </row>
    <row r="277">
      <c r="B277" s="208"/>
      <c r="D277" s="209"/>
      <c r="E277" s="209"/>
      <c r="F277" s="209"/>
      <c r="G277" s="209"/>
      <c r="H277" s="209"/>
      <c r="I277" s="209"/>
      <c r="J277" s="209"/>
      <c r="K277" s="209"/>
      <c r="L277" s="209"/>
      <c r="M277" s="209"/>
      <c r="N277" s="210"/>
    </row>
    <row r="278">
      <c r="B278" s="208"/>
      <c r="D278" s="209"/>
      <c r="E278" s="209"/>
      <c r="F278" s="209"/>
      <c r="G278" s="209"/>
      <c r="H278" s="209"/>
      <c r="I278" s="209"/>
      <c r="J278" s="209"/>
      <c r="K278" s="209"/>
      <c r="L278" s="209"/>
      <c r="M278" s="209"/>
      <c r="N278" s="210"/>
    </row>
    <row r="279">
      <c r="B279" s="208"/>
      <c r="D279" s="209"/>
      <c r="E279" s="209"/>
      <c r="F279" s="209"/>
      <c r="G279" s="209"/>
      <c r="H279" s="209"/>
      <c r="I279" s="209"/>
      <c r="J279" s="209"/>
      <c r="K279" s="209"/>
      <c r="L279" s="209"/>
      <c r="M279" s="209"/>
      <c r="N279" s="210"/>
    </row>
    <row r="280">
      <c r="B280" s="208"/>
      <c r="D280" s="209"/>
      <c r="E280" s="209"/>
      <c r="F280" s="209"/>
      <c r="G280" s="209"/>
      <c r="H280" s="209"/>
      <c r="I280" s="209"/>
      <c r="J280" s="209"/>
      <c r="K280" s="209"/>
      <c r="L280" s="209"/>
      <c r="M280" s="209"/>
      <c r="N280" s="210"/>
    </row>
    <row r="281">
      <c r="B281" s="208"/>
      <c r="D281" s="209"/>
      <c r="E281" s="209"/>
      <c r="F281" s="209"/>
      <c r="G281" s="209"/>
      <c r="H281" s="209"/>
      <c r="I281" s="209"/>
      <c r="J281" s="209"/>
      <c r="K281" s="209"/>
      <c r="L281" s="209"/>
      <c r="M281" s="209"/>
      <c r="N281" s="210"/>
    </row>
    <row r="282">
      <c r="B282" s="208"/>
      <c r="D282" s="209"/>
      <c r="E282" s="209"/>
      <c r="F282" s="209"/>
      <c r="G282" s="209"/>
      <c r="H282" s="209"/>
      <c r="I282" s="209"/>
      <c r="J282" s="209"/>
      <c r="K282" s="209"/>
      <c r="L282" s="209"/>
      <c r="M282" s="209"/>
      <c r="N282" s="210"/>
    </row>
    <row r="283">
      <c r="B283" s="208"/>
      <c r="D283" s="209"/>
      <c r="E283" s="209"/>
      <c r="F283" s="209"/>
      <c r="G283" s="209"/>
      <c r="H283" s="209"/>
      <c r="I283" s="209"/>
      <c r="J283" s="209"/>
      <c r="K283" s="209"/>
      <c r="L283" s="209"/>
      <c r="M283" s="209"/>
      <c r="N283" s="210"/>
    </row>
    <row r="284">
      <c r="B284" s="208"/>
      <c r="D284" s="209"/>
      <c r="E284" s="209"/>
      <c r="F284" s="209"/>
      <c r="G284" s="209"/>
      <c r="H284" s="209"/>
      <c r="I284" s="209"/>
      <c r="J284" s="209"/>
      <c r="K284" s="209"/>
      <c r="L284" s="209"/>
      <c r="M284" s="209"/>
      <c r="N284" s="210"/>
    </row>
    <row r="285">
      <c r="B285" s="208"/>
      <c r="D285" s="209"/>
      <c r="E285" s="209"/>
      <c r="F285" s="209"/>
      <c r="G285" s="209"/>
      <c r="H285" s="209"/>
      <c r="I285" s="209"/>
      <c r="J285" s="209"/>
      <c r="K285" s="209"/>
      <c r="L285" s="209"/>
      <c r="M285" s="209"/>
      <c r="N285" s="210"/>
    </row>
    <row r="286">
      <c r="B286" s="208"/>
      <c r="D286" s="209"/>
      <c r="E286" s="209"/>
      <c r="F286" s="209"/>
      <c r="G286" s="209"/>
      <c r="H286" s="209"/>
      <c r="I286" s="209"/>
      <c r="J286" s="209"/>
      <c r="K286" s="209"/>
      <c r="L286" s="209"/>
      <c r="M286" s="209"/>
      <c r="N286" s="210"/>
    </row>
    <row r="287">
      <c r="B287" s="208"/>
      <c r="D287" s="209"/>
      <c r="E287" s="209"/>
      <c r="F287" s="209"/>
      <c r="G287" s="209"/>
      <c r="H287" s="209"/>
      <c r="I287" s="209"/>
      <c r="J287" s="209"/>
      <c r="K287" s="209"/>
      <c r="L287" s="209"/>
      <c r="M287" s="209"/>
      <c r="N287" s="210"/>
    </row>
    <row r="288">
      <c r="B288" s="208"/>
      <c r="D288" s="209"/>
      <c r="E288" s="209"/>
      <c r="F288" s="209"/>
      <c r="G288" s="209"/>
      <c r="H288" s="209"/>
      <c r="I288" s="209"/>
      <c r="J288" s="209"/>
      <c r="K288" s="209"/>
      <c r="L288" s="209"/>
      <c r="M288" s="209"/>
      <c r="N288" s="210"/>
    </row>
    <row r="289">
      <c r="B289" s="208"/>
      <c r="D289" s="209"/>
      <c r="E289" s="209"/>
      <c r="F289" s="209"/>
      <c r="G289" s="209"/>
      <c r="H289" s="209"/>
      <c r="I289" s="209"/>
      <c r="J289" s="209"/>
      <c r="K289" s="209"/>
      <c r="L289" s="209"/>
      <c r="M289" s="209"/>
      <c r="N289" s="210"/>
    </row>
    <row r="290">
      <c r="B290" s="208"/>
      <c r="D290" s="209"/>
      <c r="E290" s="209"/>
      <c r="F290" s="209"/>
      <c r="G290" s="209"/>
      <c r="H290" s="209"/>
      <c r="I290" s="209"/>
      <c r="J290" s="209"/>
      <c r="K290" s="209"/>
      <c r="L290" s="209"/>
      <c r="M290" s="209"/>
      <c r="N290" s="210"/>
    </row>
    <row r="291">
      <c r="B291" s="208"/>
      <c r="D291" s="209"/>
      <c r="E291" s="209"/>
      <c r="F291" s="209"/>
      <c r="G291" s="209"/>
      <c r="H291" s="209"/>
      <c r="I291" s="209"/>
      <c r="J291" s="209"/>
      <c r="K291" s="209"/>
      <c r="L291" s="209"/>
      <c r="M291" s="209"/>
      <c r="N291" s="210"/>
    </row>
    <row r="292">
      <c r="B292" s="208"/>
      <c r="D292" s="209"/>
      <c r="E292" s="209"/>
      <c r="F292" s="209"/>
      <c r="G292" s="209"/>
      <c r="H292" s="209"/>
      <c r="I292" s="209"/>
      <c r="J292" s="209"/>
      <c r="K292" s="209"/>
      <c r="L292" s="209"/>
      <c r="M292" s="209"/>
      <c r="N292" s="210"/>
    </row>
    <row r="293">
      <c r="B293" s="208"/>
      <c r="D293" s="209"/>
      <c r="E293" s="209"/>
      <c r="F293" s="209"/>
      <c r="G293" s="209"/>
      <c r="H293" s="209"/>
      <c r="I293" s="209"/>
      <c r="J293" s="209"/>
      <c r="K293" s="209"/>
      <c r="L293" s="209"/>
      <c r="M293" s="209"/>
      <c r="N293" s="210"/>
    </row>
    <row r="294">
      <c r="B294" s="208"/>
      <c r="D294" s="209"/>
      <c r="E294" s="209"/>
      <c r="F294" s="209"/>
      <c r="G294" s="209"/>
      <c r="H294" s="209"/>
      <c r="I294" s="209"/>
      <c r="J294" s="209"/>
      <c r="K294" s="209"/>
      <c r="L294" s="209"/>
      <c r="M294" s="209"/>
      <c r="N294" s="210"/>
    </row>
    <row r="295">
      <c r="B295" s="208"/>
      <c r="D295" s="209"/>
      <c r="E295" s="209"/>
      <c r="F295" s="209"/>
      <c r="G295" s="209"/>
      <c r="H295" s="209"/>
      <c r="I295" s="209"/>
      <c r="J295" s="209"/>
      <c r="K295" s="209"/>
      <c r="L295" s="209"/>
      <c r="M295" s="209"/>
      <c r="N295" s="210"/>
    </row>
    <row r="296">
      <c r="B296" s="208"/>
      <c r="D296" s="209"/>
      <c r="E296" s="209"/>
      <c r="F296" s="209"/>
      <c r="G296" s="209"/>
      <c r="H296" s="209"/>
      <c r="I296" s="209"/>
      <c r="J296" s="209"/>
      <c r="K296" s="209"/>
      <c r="L296" s="209"/>
      <c r="M296" s="209"/>
      <c r="N296" s="210"/>
    </row>
    <row r="297">
      <c r="B297" s="208"/>
      <c r="D297" s="209"/>
      <c r="E297" s="209"/>
      <c r="F297" s="209"/>
      <c r="G297" s="209"/>
      <c r="H297" s="209"/>
      <c r="I297" s="209"/>
      <c r="J297" s="209"/>
      <c r="K297" s="209"/>
      <c r="L297" s="209"/>
      <c r="M297" s="209"/>
      <c r="N297" s="210"/>
    </row>
    <row r="298">
      <c r="B298" s="208"/>
      <c r="D298" s="209"/>
      <c r="E298" s="209"/>
      <c r="F298" s="209"/>
      <c r="G298" s="209"/>
      <c r="H298" s="209"/>
      <c r="I298" s="209"/>
      <c r="J298" s="209"/>
      <c r="K298" s="209"/>
      <c r="L298" s="209"/>
      <c r="M298" s="209"/>
      <c r="N298" s="210"/>
    </row>
    <row r="299">
      <c r="B299" s="208"/>
      <c r="D299" s="209"/>
      <c r="E299" s="209"/>
      <c r="F299" s="209"/>
      <c r="G299" s="209"/>
      <c r="H299" s="209"/>
      <c r="I299" s="209"/>
      <c r="J299" s="209"/>
      <c r="K299" s="209"/>
      <c r="L299" s="209"/>
      <c r="M299" s="209"/>
      <c r="N299" s="210"/>
    </row>
    <row r="300">
      <c r="B300" s="208"/>
      <c r="D300" s="209"/>
      <c r="E300" s="209"/>
      <c r="F300" s="209"/>
      <c r="G300" s="209"/>
      <c r="H300" s="209"/>
      <c r="I300" s="209"/>
      <c r="J300" s="209"/>
      <c r="K300" s="209"/>
      <c r="L300" s="209"/>
      <c r="M300" s="209"/>
      <c r="N300" s="210"/>
    </row>
    <row r="301">
      <c r="B301" s="208"/>
      <c r="D301" s="209"/>
      <c r="E301" s="209"/>
      <c r="F301" s="209"/>
      <c r="G301" s="209"/>
      <c r="H301" s="209"/>
      <c r="I301" s="209"/>
      <c r="J301" s="209"/>
      <c r="K301" s="209"/>
      <c r="L301" s="209"/>
      <c r="M301" s="209"/>
      <c r="N301" s="210"/>
    </row>
    <row r="302">
      <c r="B302" s="208"/>
      <c r="D302" s="209"/>
      <c r="E302" s="209"/>
      <c r="F302" s="209"/>
      <c r="G302" s="209"/>
      <c r="H302" s="209"/>
      <c r="I302" s="209"/>
      <c r="J302" s="209"/>
      <c r="K302" s="209"/>
      <c r="L302" s="209"/>
      <c r="M302" s="209"/>
      <c r="N302" s="210"/>
    </row>
    <row r="303">
      <c r="B303" s="208"/>
      <c r="D303" s="209"/>
      <c r="E303" s="209"/>
      <c r="F303" s="209"/>
      <c r="G303" s="209"/>
      <c r="H303" s="209"/>
      <c r="I303" s="209"/>
      <c r="J303" s="209"/>
      <c r="K303" s="209"/>
      <c r="L303" s="209"/>
      <c r="M303" s="209"/>
      <c r="N303" s="210"/>
    </row>
    <row r="304">
      <c r="B304" s="208"/>
      <c r="D304" s="209"/>
      <c r="E304" s="209"/>
      <c r="F304" s="209"/>
      <c r="G304" s="209"/>
      <c r="H304" s="209"/>
      <c r="I304" s="209"/>
      <c r="J304" s="209"/>
      <c r="K304" s="209"/>
      <c r="L304" s="209"/>
      <c r="M304" s="209"/>
      <c r="N304" s="210"/>
    </row>
    <row r="305">
      <c r="B305" s="208"/>
      <c r="D305" s="209"/>
      <c r="E305" s="209"/>
      <c r="F305" s="209"/>
      <c r="G305" s="209"/>
      <c r="H305" s="209"/>
      <c r="I305" s="209"/>
      <c r="J305" s="209"/>
      <c r="K305" s="209"/>
      <c r="L305" s="209"/>
      <c r="M305" s="209"/>
      <c r="N305" s="210"/>
    </row>
    <row r="306">
      <c r="B306" s="208"/>
      <c r="D306" s="209"/>
      <c r="E306" s="209"/>
      <c r="F306" s="209"/>
      <c r="G306" s="209"/>
      <c r="H306" s="209"/>
      <c r="I306" s="209"/>
      <c r="J306" s="209"/>
      <c r="K306" s="209"/>
      <c r="L306" s="209"/>
      <c r="M306" s="209"/>
      <c r="N306" s="210"/>
    </row>
    <row r="307">
      <c r="B307" s="208"/>
      <c r="D307" s="209"/>
      <c r="E307" s="209"/>
      <c r="F307" s="209"/>
      <c r="G307" s="209"/>
      <c r="H307" s="209"/>
      <c r="I307" s="209"/>
      <c r="J307" s="209"/>
      <c r="K307" s="209"/>
      <c r="L307" s="209"/>
      <c r="M307" s="209"/>
      <c r="N307" s="210"/>
    </row>
    <row r="308">
      <c r="B308" s="208"/>
      <c r="D308" s="209"/>
      <c r="E308" s="209"/>
      <c r="F308" s="209"/>
      <c r="G308" s="209"/>
      <c r="H308" s="209"/>
      <c r="I308" s="209"/>
      <c r="J308" s="209"/>
      <c r="K308" s="209"/>
      <c r="L308" s="209"/>
      <c r="M308" s="209"/>
      <c r="N308" s="210"/>
    </row>
    <row r="309">
      <c r="B309" s="208"/>
      <c r="D309" s="209"/>
      <c r="E309" s="209"/>
      <c r="F309" s="209"/>
      <c r="G309" s="209"/>
      <c r="H309" s="209"/>
      <c r="I309" s="209"/>
      <c r="J309" s="209"/>
      <c r="K309" s="209"/>
      <c r="L309" s="209"/>
      <c r="M309" s="209"/>
      <c r="N309" s="210"/>
    </row>
    <row r="310">
      <c r="B310" s="208"/>
      <c r="D310" s="209"/>
      <c r="E310" s="209"/>
      <c r="F310" s="209"/>
      <c r="G310" s="209"/>
      <c r="H310" s="209"/>
      <c r="I310" s="209"/>
      <c r="J310" s="209"/>
      <c r="K310" s="209"/>
      <c r="L310" s="209"/>
      <c r="M310" s="209"/>
      <c r="N310" s="210"/>
    </row>
    <row r="311">
      <c r="B311" s="208"/>
      <c r="D311" s="209"/>
      <c r="E311" s="209"/>
      <c r="F311" s="209"/>
      <c r="G311" s="209"/>
      <c r="H311" s="209"/>
      <c r="I311" s="209"/>
      <c r="J311" s="209"/>
      <c r="K311" s="209"/>
      <c r="L311" s="209"/>
      <c r="M311" s="209"/>
      <c r="N311" s="210"/>
    </row>
    <row r="312">
      <c r="B312" s="208"/>
      <c r="D312" s="209"/>
      <c r="E312" s="209"/>
      <c r="F312" s="209"/>
      <c r="G312" s="209"/>
      <c r="H312" s="209"/>
      <c r="I312" s="209"/>
      <c r="J312" s="209"/>
      <c r="K312" s="209"/>
      <c r="L312" s="209"/>
      <c r="M312" s="209"/>
      <c r="N312" s="210"/>
    </row>
    <row r="313">
      <c r="B313" s="208"/>
      <c r="D313" s="209"/>
      <c r="E313" s="209"/>
      <c r="F313" s="209"/>
      <c r="G313" s="209"/>
      <c r="H313" s="209"/>
      <c r="I313" s="209"/>
      <c r="J313" s="209"/>
      <c r="K313" s="209"/>
      <c r="L313" s="209"/>
      <c r="M313" s="209"/>
      <c r="N313" s="210"/>
    </row>
    <row r="314">
      <c r="B314" s="208"/>
      <c r="D314" s="209"/>
      <c r="E314" s="209"/>
      <c r="F314" s="209"/>
      <c r="G314" s="209"/>
      <c r="H314" s="209"/>
      <c r="I314" s="209"/>
      <c r="J314" s="209"/>
      <c r="K314" s="209"/>
      <c r="L314" s="209"/>
      <c r="M314" s="209"/>
      <c r="N314" s="210"/>
    </row>
    <row r="315">
      <c r="B315" s="208"/>
      <c r="D315" s="209"/>
      <c r="E315" s="209"/>
      <c r="F315" s="209"/>
      <c r="G315" s="209"/>
      <c r="H315" s="209"/>
      <c r="I315" s="209"/>
      <c r="J315" s="209"/>
      <c r="K315" s="209"/>
      <c r="L315" s="209"/>
      <c r="M315" s="209"/>
      <c r="N315" s="210"/>
    </row>
    <row r="316">
      <c r="B316" s="208"/>
      <c r="D316" s="209"/>
      <c r="E316" s="209"/>
      <c r="F316" s="209"/>
      <c r="G316" s="209"/>
      <c r="H316" s="209"/>
      <c r="I316" s="209"/>
      <c r="J316" s="209"/>
      <c r="K316" s="209"/>
      <c r="L316" s="209"/>
      <c r="M316" s="209"/>
      <c r="N316" s="210"/>
    </row>
    <row r="317">
      <c r="B317" s="208"/>
      <c r="D317" s="209"/>
      <c r="E317" s="209"/>
      <c r="F317" s="209"/>
      <c r="G317" s="209"/>
      <c r="H317" s="209"/>
      <c r="I317" s="209"/>
      <c r="J317" s="209"/>
      <c r="K317" s="209"/>
      <c r="L317" s="209"/>
      <c r="M317" s="209"/>
      <c r="N317" s="210"/>
    </row>
    <row r="318">
      <c r="B318" s="208"/>
      <c r="D318" s="209"/>
      <c r="E318" s="209"/>
      <c r="F318" s="209"/>
      <c r="G318" s="209"/>
      <c r="H318" s="209"/>
      <c r="I318" s="209"/>
      <c r="J318" s="209"/>
      <c r="K318" s="209"/>
      <c r="L318" s="209"/>
      <c r="M318" s="209"/>
      <c r="N318" s="210"/>
    </row>
    <row r="319">
      <c r="B319" s="208"/>
      <c r="D319" s="209"/>
      <c r="E319" s="209"/>
      <c r="F319" s="209"/>
      <c r="G319" s="209"/>
      <c r="H319" s="209"/>
      <c r="I319" s="209"/>
      <c r="J319" s="209"/>
      <c r="K319" s="209"/>
      <c r="L319" s="209"/>
      <c r="M319" s="209"/>
      <c r="N319" s="210"/>
    </row>
    <row r="320">
      <c r="B320" s="208"/>
      <c r="D320" s="209"/>
      <c r="E320" s="209"/>
      <c r="F320" s="209"/>
      <c r="G320" s="209"/>
      <c r="H320" s="209"/>
      <c r="I320" s="209"/>
      <c r="J320" s="209"/>
      <c r="K320" s="209"/>
      <c r="L320" s="209"/>
      <c r="M320" s="209"/>
      <c r="N320" s="210"/>
    </row>
    <row r="321">
      <c r="B321" s="208"/>
      <c r="D321" s="209"/>
      <c r="E321" s="209"/>
      <c r="F321" s="209"/>
      <c r="G321" s="209"/>
      <c r="H321" s="209"/>
      <c r="I321" s="209"/>
      <c r="J321" s="209"/>
      <c r="K321" s="209"/>
      <c r="L321" s="209"/>
      <c r="M321" s="209"/>
      <c r="N321" s="210"/>
    </row>
    <row r="322">
      <c r="B322" s="208"/>
      <c r="D322" s="209"/>
      <c r="E322" s="209"/>
      <c r="F322" s="209"/>
      <c r="G322" s="209"/>
      <c r="H322" s="209"/>
      <c r="I322" s="209"/>
      <c r="J322" s="209"/>
      <c r="K322" s="209"/>
      <c r="L322" s="209"/>
      <c r="M322" s="209"/>
      <c r="N322" s="210"/>
    </row>
    <row r="323">
      <c r="B323" s="208"/>
      <c r="D323" s="209"/>
      <c r="E323" s="209"/>
      <c r="F323" s="209"/>
      <c r="G323" s="209"/>
      <c r="H323" s="209"/>
      <c r="I323" s="209"/>
      <c r="J323" s="209"/>
      <c r="K323" s="209"/>
      <c r="L323" s="209"/>
      <c r="M323" s="209"/>
      <c r="N323" s="210"/>
    </row>
    <row r="324">
      <c r="B324" s="208"/>
      <c r="D324" s="209"/>
      <c r="E324" s="209"/>
      <c r="F324" s="209"/>
      <c r="G324" s="209"/>
      <c r="H324" s="209"/>
      <c r="I324" s="209"/>
      <c r="J324" s="209"/>
      <c r="K324" s="209"/>
      <c r="L324" s="209"/>
      <c r="M324" s="209"/>
      <c r="N324" s="210"/>
    </row>
    <row r="325">
      <c r="B325" s="208"/>
      <c r="D325" s="209"/>
      <c r="E325" s="209"/>
      <c r="F325" s="209"/>
      <c r="G325" s="209"/>
      <c r="H325" s="209"/>
      <c r="I325" s="209"/>
      <c r="J325" s="209"/>
      <c r="K325" s="209"/>
      <c r="L325" s="209"/>
      <c r="M325" s="209"/>
      <c r="N325" s="210"/>
    </row>
    <row r="326">
      <c r="B326" s="208"/>
      <c r="D326" s="209"/>
      <c r="E326" s="209"/>
      <c r="F326" s="209"/>
      <c r="G326" s="209"/>
      <c r="H326" s="209"/>
      <c r="I326" s="209"/>
      <c r="J326" s="209"/>
      <c r="K326" s="209"/>
      <c r="L326" s="209"/>
      <c r="M326" s="209"/>
      <c r="N326" s="210"/>
    </row>
    <row r="327">
      <c r="B327" s="208"/>
      <c r="D327" s="209"/>
      <c r="E327" s="209"/>
      <c r="F327" s="209"/>
      <c r="G327" s="209"/>
      <c r="H327" s="209"/>
      <c r="I327" s="209"/>
      <c r="J327" s="209"/>
      <c r="K327" s="209"/>
      <c r="L327" s="209"/>
      <c r="M327" s="209"/>
      <c r="N327" s="210"/>
    </row>
    <row r="328">
      <c r="B328" s="208"/>
      <c r="D328" s="209"/>
      <c r="E328" s="209"/>
      <c r="F328" s="209"/>
      <c r="G328" s="209"/>
      <c r="H328" s="209"/>
      <c r="I328" s="209"/>
      <c r="J328" s="209"/>
      <c r="K328" s="209"/>
      <c r="L328" s="209"/>
      <c r="M328" s="209"/>
      <c r="N328" s="210"/>
    </row>
    <row r="329">
      <c r="B329" s="208"/>
      <c r="D329" s="209"/>
      <c r="E329" s="209"/>
      <c r="F329" s="209"/>
      <c r="G329" s="209"/>
      <c r="H329" s="209"/>
      <c r="I329" s="209"/>
      <c r="J329" s="209"/>
      <c r="K329" s="209"/>
      <c r="L329" s="209"/>
      <c r="M329" s="209"/>
      <c r="N329" s="210"/>
    </row>
    <row r="330">
      <c r="B330" s="208"/>
      <c r="D330" s="209"/>
      <c r="E330" s="209"/>
      <c r="F330" s="209"/>
      <c r="G330" s="209"/>
      <c r="H330" s="209"/>
      <c r="I330" s="209"/>
      <c r="J330" s="209"/>
      <c r="K330" s="209"/>
      <c r="L330" s="209"/>
      <c r="M330" s="209"/>
      <c r="N330" s="210"/>
    </row>
    <row r="331">
      <c r="B331" s="208"/>
      <c r="D331" s="209"/>
      <c r="E331" s="209"/>
      <c r="F331" s="209"/>
      <c r="G331" s="209"/>
      <c r="H331" s="209"/>
      <c r="I331" s="209"/>
      <c r="J331" s="209"/>
      <c r="K331" s="209"/>
      <c r="L331" s="209"/>
      <c r="M331" s="209"/>
      <c r="N331" s="210"/>
    </row>
    <row r="332">
      <c r="B332" s="208"/>
      <c r="D332" s="209"/>
      <c r="E332" s="209"/>
      <c r="F332" s="209"/>
      <c r="G332" s="209"/>
      <c r="H332" s="209"/>
      <c r="I332" s="209"/>
      <c r="J332" s="209"/>
      <c r="K332" s="209"/>
      <c r="L332" s="209"/>
      <c r="M332" s="209"/>
      <c r="N332" s="210"/>
    </row>
    <row r="333">
      <c r="B333" s="208"/>
      <c r="D333" s="209"/>
      <c r="E333" s="209"/>
      <c r="F333" s="209"/>
      <c r="G333" s="209"/>
      <c r="H333" s="209"/>
      <c r="I333" s="209"/>
      <c r="J333" s="209"/>
      <c r="K333" s="209"/>
      <c r="L333" s="209"/>
      <c r="M333" s="209"/>
      <c r="N333" s="210"/>
    </row>
    <row r="334">
      <c r="B334" s="208"/>
      <c r="D334" s="209"/>
      <c r="E334" s="209"/>
      <c r="F334" s="209"/>
      <c r="G334" s="209"/>
      <c r="H334" s="209"/>
      <c r="I334" s="209"/>
      <c r="J334" s="209"/>
      <c r="K334" s="209"/>
      <c r="L334" s="209"/>
      <c r="M334" s="209"/>
      <c r="N334" s="210"/>
    </row>
    <row r="335">
      <c r="B335" s="208"/>
      <c r="D335" s="209"/>
      <c r="E335" s="209"/>
      <c r="F335" s="209"/>
      <c r="G335" s="209"/>
      <c r="H335" s="209"/>
      <c r="I335" s="209"/>
      <c r="J335" s="209"/>
      <c r="K335" s="209"/>
      <c r="L335" s="209"/>
      <c r="M335" s="209"/>
      <c r="N335" s="210"/>
    </row>
    <row r="336">
      <c r="B336" s="208"/>
      <c r="D336" s="209"/>
      <c r="E336" s="209"/>
      <c r="F336" s="209"/>
      <c r="G336" s="209"/>
      <c r="H336" s="209"/>
      <c r="I336" s="209"/>
      <c r="J336" s="209"/>
      <c r="K336" s="209"/>
      <c r="L336" s="209"/>
      <c r="M336" s="209"/>
      <c r="N336" s="210"/>
    </row>
    <row r="337">
      <c r="B337" s="208"/>
      <c r="D337" s="209"/>
      <c r="E337" s="209"/>
      <c r="F337" s="209"/>
      <c r="G337" s="209"/>
      <c r="H337" s="209"/>
      <c r="I337" s="209"/>
      <c r="J337" s="209"/>
      <c r="K337" s="209"/>
      <c r="L337" s="209"/>
      <c r="M337" s="209"/>
      <c r="N337" s="210"/>
    </row>
    <row r="338">
      <c r="B338" s="208"/>
      <c r="D338" s="209"/>
      <c r="E338" s="209"/>
      <c r="F338" s="209"/>
      <c r="G338" s="209"/>
      <c r="H338" s="209"/>
      <c r="I338" s="209"/>
      <c r="J338" s="209"/>
      <c r="K338" s="209"/>
      <c r="L338" s="209"/>
      <c r="M338" s="209"/>
      <c r="N338" s="210"/>
    </row>
    <row r="339">
      <c r="B339" s="208"/>
      <c r="D339" s="209"/>
      <c r="E339" s="209"/>
      <c r="F339" s="209"/>
      <c r="G339" s="209"/>
      <c r="H339" s="209"/>
      <c r="I339" s="209"/>
      <c r="J339" s="209"/>
      <c r="K339" s="209"/>
      <c r="L339" s="209"/>
      <c r="M339" s="209"/>
      <c r="N339" s="210"/>
    </row>
    <row r="340">
      <c r="B340" s="208"/>
      <c r="D340" s="209"/>
      <c r="E340" s="209"/>
      <c r="F340" s="209"/>
      <c r="G340" s="209"/>
      <c r="H340" s="209"/>
      <c r="I340" s="209"/>
      <c r="J340" s="209"/>
      <c r="K340" s="209"/>
      <c r="L340" s="209"/>
      <c r="M340" s="209"/>
      <c r="N340" s="210"/>
    </row>
    <row r="341">
      <c r="B341" s="208"/>
      <c r="D341" s="209"/>
      <c r="E341" s="209"/>
      <c r="F341" s="209"/>
      <c r="G341" s="209"/>
      <c r="H341" s="209"/>
      <c r="I341" s="209"/>
      <c r="J341" s="209"/>
      <c r="K341" s="209"/>
      <c r="L341" s="209"/>
      <c r="M341" s="209"/>
      <c r="N341" s="210"/>
    </row>
    <row r="342">
      <c r="B342" s="208"/>
      <c r="D342" s="209"/>
      <c r="E342" s="209"/>
      <c r="F342" s="209"/>
      <c r="G342" s="209"/>
      <c r="H342" s="209"/>
      <c r="I342" s="209"/>
      <c r="J342" s="209"/>
      <c r="K342" s="209"/>
      <c r="L342" s="209"/>
      <c r="M342" s="209"/>
      <c r="N342" s="210"/>
    </row>
    <row r="343">
      <c r="B343" s="208"/>
      <c r="D343" s="209"/>
      <c r="E343" s="209"/>
      <c r="F343" s="209"/>
      <c r="G343" s="209"/>
      <c r="H343" s="209"/>
      <c r="I343" s="209"/>
      <c r="J343" s="209"/>
      <c r="K343" s="209"/>
      <c r="L343" s="209"/>
      <c r="M343" s="209"/>
      <c r="N343" s="210"/>
    </row>
    <row r="344">
      <c r="B344" s="208"/>
      <c r="D344" s="209"/>
      <c r="E344" s="209"/>
      <c r="F344" s="209"/>
      <c r="G344" s="209"/>
      <c r="H344" s="209"/>
      <c r="I344" s="209"/>
      <c r="J344" s="209"/>
      <c r="K344" s="209"/>
      <c r="L344" s="209"/>
      <c r="M344" s="209"/>
      <c r="N344" s="210"/>
    </row>
    <row r="345">
      <c r="B345" s="208"/>
      <c r="D345" s="209"/>
      <c r="E345" s="209"/>
      <c r="F345" s="209"/>
      <c r="G345" s="209"/>
      <c r="H345" s="209"/>
      <c r="I345" s="209"/>
      <c r="J345" s="209"/>
      <c r="K345" s="209"/>
      <c r="L345" s="209"/>
      <c r="M345" s="209"/>
      <c r="N345" s="210"/>
    </row>
    <row r="346">
      <c r="B346" s="208"/>
      <c r="D346" s="209"/>
      <c r="E346" s="209"/>
      <c r="F346" s="209"/>
      <c r="G346" s="209"/>
      <c r="H346" s="209"/>
      <c r="I346" s="209"/>
      <c r="J346" s="209"/>
      <c r="K346" s="209"/>
      <c r="L346" s="209"/>
      <c r="M346" s="209"/>
      <c r="N346" s="210"/>
    </row>
    <row r="347">
      <c r="B347" s="208"/>
      <c r="D347" s="209"/>
      <c r="E347" s="209"/>
      <c r="F347" s="209"/>
      <c r="G347" s="209"/>
      <c r="H347" s="209"/>
      <c r="I347" s="209"/>
      <c r="J347" s="209"/>
      <c r="K347" s="209"/>
      <c r="L347" s="209"/>
      <c r="M347" s="209"/>
      <c r="N347" s="210"/>
    </row>
    <row r="348">
      <c r="B348" s="208"/>
      <c r="D348" s="209"/>
      <c r="E348" s="209"/>
      <c r="F348" s="209"/>
      <c r="G348" s="209"/>
      <c r="H348" s="209"/>
      <c r="I348" s="209"/>
      <c r="J348" s="209"/>
      <c r="K348" s="209"/>
      <c r="L348" s="209"/>
      <c r="M348" s="209"/>
      <c r="N348" s="210"/>
    </row>
    <row r="349">
      <c r="B349" s="208"/>
      <c r="D349" s="209"/>
      <c r="E349" s="209"/>
      <c r="F349" s="209"/>
      <c r="G349" s="209"/>
      <c r="H349" s="209"/>
      <c r="I349" s="209"/>
      <c r="J349" s="209"/>
      <c r="K349" s="209"/>
      <c r="L349" s="209"/>
      <c r="M349" s="209"/>
      <c r="N349" s="210"/>
    </row>
    <row r="350">
      <c r="B350" s="208"/>
      <c r="D350" s="209"/>
      <c r="E350" s="209"/>
      <c r="F350" s="209"/>
      <c r="G350" s="209"/>
      <c r="H350" s="209"/>
      <c r="I350" s="209"/>
      <c r="J350" s="209"/>
      <c r="K350" s="209"/>
      <c r="L350" s="209"/>
      <c r="M350" s="209"/>
      <c r="N350" s="210"/>
    </row>
    <row r="351">
      <c r="B351" s="208"/>
      <c r="D351" s="209"/>
      <c r="E351" s="209"/>
      <c r="F351" s="209"/>
      <c r="G351" s="209"/>
      <c r="H351" s="209"/>
      <c r="I351" s="209"/>
      <c r="J351" s="209"/>
      <c r="K351" s="209"/>
      <c r="L351" s="209"/>
      <c r="M351" s="209"/>
      <c r="N351" s="210"/>
    </row>
    <row r="352">
      <c r="B352" s="208"/>
      <c r="D352" s="209"/>
      <c r="E352" s="209"/>
      <c r="F352" s="209"/>
      <c r="G352" s="209"/>
      <c r="H352" s="209"/>
      <c r="I352" s="209"/>
      <c r="J352" s="209"/>
      <c r="K352" s="209"/>
      <c r="L352" s="209"/>
      <c r="M352" s="209"/>
      <c r="N352" s="210"/>
    </row>
    <row r="353">
      <c r="B353" s="208"/>
      <c r="D353" s="209"/>
      <c r="E353" s="209"/>
      <c r="F353" s="209"/>
      <c r="G353" s="209"/>
      <c r="H353" s="209"/>
      <c r="I353" s="209"/>
      <c r="J353" s="209"/>
      <c r="K353" s="209"/>
      <c r="L353" s="209"/>
      <c r="M353" s="209"/>
      <c r="N353" s="210"/>
    </row>
    <row r="354">
      <c r="B354" s="208"/>
      <c r="D354" s="209"/>
      <c r="E354" s="209"/>
      <c r="F354" s="209"/>
      <c r="G354" s="209"/>
      <c r="H354" s="209"/>
      <c r="I354" s="209"/>
      <c r="J354" s="209"/>
      <c r="K354" s="209"/>
      <c r="L354" s="209"/>
      <c r="M354" s="209"/>
      <c r="N354" s="210"/>
    </row>
    <row r="355">
      <c r="B355" s="208"/>
      <c r="D355" s="209"/>
      <c r="E355" s="209"/>
      <c r="F355" s="209"/>
      <c r="G355" s="209"/>
      <c r="H355" s="209"/>
      <c r="I355" s="209"/>
      <c r="J355" s="209"/>
      <c r="K355" s="209"/>
      <c r="L355" s="209"/>
      <c r="M355" s="209"/>
      <c r="N355" s="210"/>
    </row>
    <row r="356">
      <c r="B356" s="208"/>
      <c r="D356" s="209"/>
      <c r="E356" s="209"/>
      <c r="F356" s="209"/>
      <c r="G356" s="209"/>
      <c r="H356" s="209"/>
      <c r="I356" s="209"/>
      <c r="J356" s="209"/>
      <c r="K356" s="209"/>
      <c r="L356" s="209"/>
      <c r="M356" s="209"/>
      <c r="N356" s="210"/>
    </row>
    <row r="357">
      <c r="B357" s="208"/>
      <c r="D357" s="209"/>
      <c r="E357" s="209"/>
      <c r="F357" s="209"/>
      <c r="G357" s="209"/>
      <c r="H357" s="209"/>
      <c r="I357" s="209"/>
      <c r="J357" s="209"/>
      <c r="K357" s="209"/>
      <c r="L357" s="209"/>
      <c r="M357" s="209"/>
      <c r="N357" s="210"/>
    </row>
    <row r="358">
      <c r="B358" s="208"/>
      <c r="D358" s="209"/>
      <c r="E358" s="209"/>
      <c r="F358" s="209"/>
      <c r="G358" s="209"/>
      <c r="H358" s="209"/>
      <c r="I358" s="209"/>
      <c r="J358" s="209"/>
      <c r="K358" s="209"/>
      <c r="L358" s="209"/>
      <c r="M358" s="209"/>
      <c r="N358" s="210"/>
    </row>
    <row r="359">
      <c r="B359" s="208"/>
      <c r="D359" s="209"/>
      <c r="E359" s="209"/>
      <c r="F359" s="209"/>
      <c r="G359" s="209"/>
      <c r="H359" s="209"/>
      <c r="I359" s="209"/>
      <c r="J359" s="209"/>
      <c r="K359" s="209"/>
      <c r="L359" s="209"/>
      <c r="M359" s="209"/>
      <c r="N359" s="210"/>
    </row>
    <row r="360">
      <c r="B360" s="208"/>
      <c r="D360" s="209"/>
      <c r="E360" s="209"/>
      <c r="F360" s="209"/>
      <c r="G360" s="209"/>
      <c r="H360" s="209"/>
      <c r="I360" s="209"/>
      <c r="J360" s="209"/>
      <c r="K360" s="209"/>
      <c r="L360" s="209"/>
      <c r="M360" s="209"/>
      <c r="N360" s="210"/>
    </row>
    <row r="361">
      <c r="B361" s="208"/>
      <c r="D361" s="209"/>
      <c r="E361" s="209"/>
      <c r="F361" s="209"/>
      <c r="G361" s="209"/>
      <c r="H361" s="209"/>
      <c r="I361" s="209"/>
      <c r="J361" s="209"/>
      <c r="K361" s="209"/>
      <c r="L361" s="209"/>
      <c r="M361" s="209"/>
      <c r="N361" s="210"/>
    </row>
    <row r="362">
      <c r="B362" s="208"/>
      <c r="D362" s="209"/>
      <c r="E362" s="209"/>
      <c r="F362" s="209"/>
      <c r="G362" s="209"/>
      <c r="H362" s="209"/>
      <c r="I362" s="209"/>
      <c r="J362" s="209"/>
      <c r="K362" s="209"/>
      <c r="L362" s="209"/>
      <c r="M362" s="209"/>
      <c r="N362" s="210"/>
    </row>
    <row r="363">
      <c r="B363" s="208"/>
      <c r="D363" s="209"/>
      <c r="E363" s="209"/>
      <c r="F363" s="209"/>
      <c r="G363" s="209"/>
      <c r="H363" s="209"/>
      <c r="I363" s="209"/>
      <c r="J363" s="209"/>
      <c r="K363" s="209"/>
      <c r="L363" s="209"/>
      <c r="M363" s="209"/>
      <c r="N363" s="210"/>
    </row>
    <row r="364">
      <c r="B364" s="208"/>
      <c r="D364" s="209"/>
      <c r="E364" s="209"/>
      <c r="F364" s="209"/>
      <c r="G364" s="209"/>
      <c r="H364" s="209"/>
      <c r="I364" s="209"/>
      <c r="J364" s="209"/>
      <c r="K364" s="209"/>
      <c r="L364" s="209"/>
      <c r="M364" s="209"/>
      <c r="N364" s="210"/>
    </row>
    <row r="365">
      <c r="B365" s="208"/>
      <c r="D365" s="209"/>
      <c r="E365" s="209"/>
      <c r="F365" s="209"/>
      <c r="G365" s="209"/>
      <c r="H365" s="209"/>
      <c r="I365" s="209"/>
      <c r="J365" s="209"/>
      <c r="K365" s="209"/>
      <c r="L365" s="209"/>
      <c r="M365" s="209"/>
      <c r="N365" s="210"/>
    </row>
    <row r="366">
      <c r="B366" s="208"/>
      <c r="D366" s="209"/>
      <c r="E366" s="209"/>
      <c r="F366" s="209"/>
      <c r="G366" s="209"/>
      <c r="H366" s="209"/>
      <c r="I366" s="209"/>
      <c r="J366" s="209"/>
      <c r="K366" s="209"/>
      <c r="L366" s="209"/>
      <c r="M366" s="209"/>
      <c r="N366" s="210"/>
    </row>
    <row r="367">
      <c r="B367" s="208"/>
      <c r="D367" s="209"/>
      <c r="E367" s="209"/>
      <c r="F367" s="209"/>
      <c r="G367" s="209"/>
      <c r="H367" s="209"/>
      <c r="I367" s="209"/>
      <c r="J367" s="209"/>
      <c r="K367" s="209"/>
      <c r="L367" s="209"/>
      <c r="M367" s="209"/>
      <c r="N367" s="210"/>
    </row>
    <row r="368">
      <c r="B368" s="208"/>
      <c r="D368" s="209"/>
      <c r="E368" s="209"/>
      <c r="F368" s="209"/>
      <c r="G368" s="209"/>
      <c r="H368" s="209"/>
      <c r="I368" s="209"/>
      <c r="J368" s="209"/>
      <c r="K368" s="209"/>
      <c r="L368" s="209"/>
      <c r="M368" s="209"/>
      <c r="N368" s="210"/>
    </row>
    <row r="369">
      <c r="B369" s="208"/>
      <c r="D369" s="209"/>
      <c r="E369" s="209"/>
      <c r="F369" s="209"/>
      <c r="G369" s="209"/>
      <c r="H369" s="209"/>
      <c r="I369" s="209"/>
      <c r="J369" s="209"/>
      <c r="K369" s="209"/>
      <c r="L369" s="209"/>
      <c r="M369" s="209"/>
      <c r="N369" s="210"/>
    </row>
    <row r="370">
      <c r="B370" s="208"/>
      <c r="D370" s="209"/>
      <c r="E370" s="209"/>
      <c r="F370" s="209"/>
      <c r="G370" s="209"/>
      <c r="H370" s="209"/>
      <c r="I370" s="209"/>
      <c r="J370" s="209"/>
      <c r="K370" s="209"/>
      <c r="L370" s="209"/>
      <c r="M370" s="209"/>
      <c r="N370" s="210"/>
    </row>
    <row r="371">
      <c r="B371" s="208"/>
      <c r="D371" s="209"/>
      <c r="E371" s="209"/>
      <c r="F371" s="209"/>
      <c r="G371" s="209"/>
      <c r="H371" s="209"/>
      <c r="I371" s="209"/>
      <c r="J371" s="209"/>
      <c r="K371" s="209"/>
      <c r="L371" s="209"/>
      <c r="M371" s="209"/>
      <c r="N371" s="210"/>
    </row>
    <row r="372">
      <c r="B372" s="208"/>
      <c r="D372" s="209"/>
      <c r="E372" s="209"/>
      <c r="F372" s="209"/>
      <c r="G372" s="209"/>
      <c r="H372" s="209"/>
      <c r="I372" s="209"/>
      <c r="J372" s="209"/>
      <c r="K372" s="209"/>
      <c r="L372" s="209"/>
      <c r="M372" s="209"/>
      <c r="N372" s="210"/>
    </row>
    <row r="373">
      <c r="B373" s="208"/>
      <c r="D373" s="209"/>
      <c r="E373" s="209"/>
      <c r="F373" s="209"/>
      <c r="G373" s="209"/>
      <c r="H373" s="209"/>
      <c r="I373" s="209"/>
      <c r="J373" s="209"/>
      <c r="K373" s="209"/>
      <c r="L373" s="209"/>
      <c r="M373" s="209"/>
      <c r="N373" s="210"/>
    </row>
    <row r="374">
      <c r="B374" s="208"/>
      <c r="D374" s="209"/>
      <c r="E374" s="209"/>
      <c r="F374" s="209"/>
      <c r="G374" s="209"/>
      <c r="H374" s="209"/>
      <c r="I374" s="209"/>
      <c r="J374" s="209"/>
      <c r="K374" s="209"/>
      <c r="L374" s="209"/>
      <c r="M374" s="209"/>
      <c r="N374" s="210"/>
    </row>
    <row r="375">
      <c r="B375" s="208"/>
      <c r="D375" s="209"/>
      <c r="E375" s="209"/>
      <c r="F375" s="209"/>
      <c r="G375" s="209"/>
      <c r="H375" s="209"/>
      <c r="I375" s="209"/>
      <c r="J375" s="209"/>
      <c r="K375" s="209"/>
      <c r="L375" s="209"/>
      <c r="M375" s="209"/>
      <c r="N375" s="210"/>
    </row>
    <row r="376">
      <c r="B376" s="208"/>
      <c r="D376" s="209"/>
      <c r="E376" s="209"/>
      <c r="F376" s="209"/>
      <c r="G376" s="209"/>
      <c r="H376" s="209"/>
      <c r="I376" s="209"/>
      <c r="J376" s="209"/>
      <c r="K376" s="209"/>
      <c r="L376" s="209"/>
      <c r="M376" s="209"/>
      <c r="N376" s="210"/>
    </row>
    <row r="377">
      <c r="B377" s="208"/>
      <c r="D377" s="209"/>
      <c r="E377" s="209"/>
      <c r="F377" s="209"/>
      <c r="G377" s="209"/>
      <c r="H377" s="209"/>
      <c r="I377" s="209"/>
      <c r="J377" s="209"/>
      <c r="K377" s="209"/>
      <c r="L377" s="209"/>
      <c r="M377" s="209"/>
      <c r="N377" s="210"/>
    </row>
    <row r="378">
      <c r="B378" s="208"/>
      <c r="D378" s="209"/>
      <c r="E378" s="209"/>
      <c r="F378" s="209"/>
      <c r="G378" s="209"/>
      <c r="H378" s="209"/>
      <c r="I378" s="209"/>
      <c r="J378" s="209"/>
      <c r="K378" s="209"/>
      <c r="L378" s="209"/>
      <c r="M378" s="209"/>
      <c r="N378" s="210"/>
    </row>
    <row r="379">
      <c r="B379" s="208"/>
      <c r="D379" s="209"/>
      <c r="E379" s="209"/>
      <c r="F379" s="209"/>
      <c r="G379" s="209"/>
      <c r="H379" s="209"/>
      <c r="I379" s="209"/>
      <c r="J379" s="209"/>
      <c r="K379" s="209"/>
      <c r="L379" s="209"/>
      <c r="M379" s="209"/>
      <c r="N379" s="210"/>
    </row>
    <row r="380">
      <c r="B380" s="208"/>
      <c r="D380" s="209"/>
      <c r="E380" s="209"/>
      <c r="F380" s="209"/>
      <c r="G380" s="209"/>
      <c r="H380" s="209"/>
      <c r="I380" s="209"/>
      <c r="J380" s="209"/>
      <c r="K380" s="209"/>
      <c r="L380" s="209"/>
      <c r="M380" s="209"/>
      <c r="N380" s="210"/>
    </row>
    <row r="381">
      <c r="B381" s="208"/>
      <c r="D381" s="209"/>
      <c r="E381" s="209"/>
      <c r="F381" s="209"/>
      <c r="G381" s="209"/>
      <c r="H381" s="209"/>
      <c r="I381" s="209"/>
      <c r="J381" s="209"/>
      <c r="K381" s="209"/>
      <c r="L381" s="209"/>
      <c r="M381" s="209"/>
      <c r="N381" s="210"/>
    </row>
    <row r="382">
      <c r="B382" s="208"/>
      <c r="D382" s="209"/>
      <c r="E382" s="209"/>
      <c r="F382" s="209"/>
      <c r="G382" s="209"/>
      <c r="H382" s="209"/>
      <c r="I382" s="209"/>
      <c r="J382" s="209"/>
      <c r="K382" s="209"/>
      <c r="L382" s="209"/>
      <c r="M382" s="209"/>
      <c r="N382" s="210"/>
    </row>
    <row r="383">
      <c r="B383" s="208"/>
      <c r="D383" s="209"/>
      <c r="E383" s="209"/>
      <c r="F383" s="209"/>
      <c r="G383" s="209"/>
      <c r="H383" s="209"/>
      <c r="I383" s="209"/>
      <c r="J383" s="209"/>
      <c r="K383" s="209"/>
      <c r="L383" s="209"/>
      <c r="M383" s="209"/>
      <c r="N383" s="210"/>
    </row>
    <row r="384">
      <c r="B384" s="208"/>
      <c r="D384" s="209"/>
      <c r="E384" s="209"/>
      <c r="F384" s="209"/>
      <c r="G384" s="209"/>
      <c r="H384" s="209"/>
      <c r="I384" s="209"/>
      <c r="J384" s="209"/>
      <c r="K384" s="209"/>
      <c r="L384" s="209"/>
      <c r="M384" s="209"/>
      <c r="N384" s="210"/>
    </row>
    <row r="385">
      <c r="B385" s="208"/>
      <c r="D385" s="209"/>
      <c r="E385" s="209"/>
      <c r="F385" s="209"/>
      <c r="G385" s="209"/>
      <c r="H385" s="209"/>
      <c r="I385" s="209"/>
      <c r="J385" s="209"/>
      <c r="K385" s="209"/>
      <c r="L385" s="209"/>
      <c r="M385" s="209"/>
      <c r="N385" s="210"/>
    </row>
    <row r="386">
      <c r="B386" s="208"/>
      <c r="D386" s="209"/>
      <c r="E386" s="209"/>
      <c r="F386" s="209"/>
      <c r="G386" s="209"/>
      <c r="H386" s="209"/>
      <c r="I386" s="209"/>
      <c r="J386" s="209"/>
      <c r="K386" s="209"/>
      <c r="L386" s="209"/>
      <c r="M386" s="209"/>
      <c r="N386" s="210"/>
    </row>
    <row r="387">
      <c r="B387" s="208"/>
      <c r="D387" s="209"/>
      <c r="E387" s="209"/>
      <c r="F387" s="209"/>
      <c r="G387" s="209"/>
      <c r="H387" s="209"/>
      <c r="I387" s="209"/>
      <c r="J387" s="209"/>
      <c r="K387" s="209"/>
      <c r="L387" s="209"/>
      <c r="M387" s="209"/>
      <c r="N387" s="210"/>
    </row>
    <row r="388">
      <c r="B388" s="208"/>
      <c r="D388" s="209"/>
      <c r="E388" s="209"/>
      <c r="F388" s="209"/>
      <c r="G388" s="209"/>
      <c r="H388" s="209"/>
      <c r="I388" s="209"/>
      <c r="J388" s="209"/>
      <c r="K388" s="209"/>
      <c r="L388" s="209"/>
      <c r="M388" s="209"/>
      <c r="N388" s="210"/>
    </row>
    <row r="389">
      <c r="B389" s="208"/>
      <c r="D389" s="209"/>
      <c r="E389" s="209"/>
      <c r="F389" s="209"/>
      <c r="G389" s="209"/>
      <c r="H389" s="209"/>
      <c r="I389" s="209"/>
      <c r="J389" s="209"/>
      <c r="K389" s="209"/>
      <c r="L389" s="209"/>
      <c r="M389" s="209"/>
      <c r="N389" s="210"/>
    </row>
    <row r="390">
      <c r="B390" s="208"/>
      <c r="D390" s="209"/>
      <c r="E390" s="209"/>
      <c r="F390" s="209"/>
      <c r="G390" s="209"/>
      <c r="H390" s="209"/>
      <c r="I390" s="209"/>
      <c r="J390" s="209"/>
      <c r="K390" s="209"/>
      <c r="L390" s="209"/>
      <c r="M390" s="209"/>
      <c r="N390" s="210"/>
    </row>
    <row r="391">
      <c r="B391" s="208"/>
      <c r="D391" s="209"/>
      <c r="E391" s="209"/>
      <c r="F391" s="209"/>
      <c r="G391" s="209"/>
      <c r="H391" s="209"/>
      <c r="I391" s="209"/>
      <c r="J391" s="209"/>
      <c r="K391" s="209"/>
      <c r="L391" s="209"/>
      <c r="M391" s="209"/>
      <c r="N391" s="210"/>
    </row>
    <row r="392">
      <c r="B392" s="208"/>
      <c r="D392" s="209"/>
      <c r="E392" s="209"/>
      <c r="F392" s="209"/>
      <c r="G392" s="209"/>
      <c r="H392" s="209"/>
      <c r="I392" s="209"/>
      <c r="J392" s="209"/>
      <c r="K392" s="209"/>
      <c r="L392" s="209"/>
      <c r="M392" s="209"/>
      <c r="N392" s="210"/>
    </row>
    <row r="393">
      <c r="B393" s="208"/>
      <c r="D393" s="209"/>
      <c r="E393" s="209"/>
      <c r="F393" s="209"/>
      <c r="G393" s="209"/>
      <c r="H393" s="209"/>
      <c r="I393" s="209"/>
      <c r="J393" s="209"/>
      <c r="K393" s="209"/>
      <c r="L393" s="209"/>
      <c r="M393" s="209"/>
      <c r="N393" s="210"/>
    </row>
    <row r="394">
      <c r="B394" s="208"/>
      <c r="D394" s="209"/>
      <c r="E394" s="209"/>
      <c r="F394" s="209"/>
      <c r="G394" s="209"/>
      <c r="H394" s="209"/>
      <c r="I394" s="209"/>
      <c r="J394" s="209"/>
      <c r="K394" s="209"/>
      <c r="L394" s="209"/>
      <c r="M394" s="209"/>
      <c r="N394" s="210"/>
    </row>
    <row r="395">
      <c r="B395" s="208"/>
      <c r="D395" s="209"/>
      <c r="E395" s="209"/>
      <c r="F395" s="209"/>
      <c r="G395" s="209"/>
      <c r="H395" s="209"/>
      <c r="I395" s="209"/>
      <c r="J395" s="209"/>
      <c r="K395" s="209"/>
      <c r="L395" s="209"/>
      <c r="M395" s="209"/>
      <c r="N395" s="210"/>
    </row>
    <row r="396">
      <c r="B396" s="208"/>
      <c r="D396" s="209"/>
      <c r="E396" s="209"/>
      <c r="F396" s="209"/>
      <c r="G396" s="209"/>
      <c r="H396" s="209"/>
      <c r="I396" s="209"/>
      <c r="J396" s="209"/>
      <c r="K396" s="209"/>
      <c r="L396" s="209"/>
      <c r="M396" s="209"/>
      <c r="N396" s="210"/>
    </row>
    <row r="397">
      <c r="B397" s="208"/>
      <c r="D397" s="209"/>
      <c r="E397" s="209"/>
      <c r="F397" s="209"/>
      <c r="G397" s="209"/>
      <c r="H397" s="209"/>
      <c r="I397" s="209"/>
      <c r="J397" s="209"/>
      <c r="K397" s="209"/>
      <c r="L397" s="209"/>
      <c r="M397" s="209"/>
      <c r="N397" s="210"/>
    </row>
    <row r="398">
      <c r="B398" s="208"/>
      <c r="D398" s="209"/>
      <c r="E398" s="209"/>
      <c r="F398" s="209"/>
      <c r="G398" s="209"/>
      <c r="H398" s="209"/>
      <c r="I398" s="209"/>
      <c r="J398" s="209"/>
      <c r="K398" s="209"/>
      <c r="L398" s="209"/>
      <c r="M398" s="209"/>
      <c r="N398" s="210"/>
    </row>
    <row r="399">
      <c r="B399" s="208"/>
      <c r="D399" s="209"/>
      <c r="E399" s="209"/>
      <c r="F399" s="209"/>
      <c r="G399" s="209"/>
      <c r="H399" s="209"/>
      <c r="I399" s="209"/>
      <c r="J399" s="209"/>
      <c r="K399" s="209"/>
      <c r="L399" s="209"/>
      <c r="M399" s="209"/>
      <c r="N399" s="210"/>
    </row>
    <row r="400">
      <c r="B400" s="208"/>
      <c r="D400" s="209"/>
      <c r="E400" s="209"/>
      <c r="F400" s="209"/>
      <c r="G400" s="209"/>
      <c r="H400" s="209"/>
      <c r="I400" s="209"/>
      <c r="J400" s="209"/>
      <c r="K400" s="209"/>
      <c r="L400" s="209"/>
      <c r="M400" s="209"/>
      <c r="N400" s="210"/>
    </row>
    <row r="401">
      <c r="B401" s="208"/>
      <c r="D401" s="209"/>
      <c r="E401" s="209"/>
      <c r="F401" s="209"/>
      <c r="G401" s="209"/>
      <c r="H401" s="209"/>
      <c r="I401" s="209"/>
      <c r="J401" s="209"/>
      <c r="K401" s="209"/>
      <c r="L401" s="209"/>
      <c r="M401" s="209"/>
      <c r="N401" s="210"/>
    </row>
    <row r="402">
      <c r="B402" s="208"/>
      <c r="D402" s="209"/>
      <c r="E402" s="209"/>
      <c r="F402" s="209"/>
      <c r="G402" s="209"/>
      <c r="H402" s="209"/>
      <c r="I402" s="209"/>
      <c r="J402" s="209"/>
      <c r="K402" s="209"/>
      <c r="L402" s="209"/>
      <c r="M402" s="209"/>
      <c r="N402" s="210"/>
    </row>
    <row r="403">
      <c r="B403" s="208"/>
      <c r="D403" s="209"/>
      <c r="E403" s="209"/>
      <c r="F403" s="209"/>
      <c r="G403" s="209"/>
      <c r="H403" s="209"/>
      <c r="I403" s="209"/>
      <c r="J403" s="209"/>
      <c r="K403" s="209"/>
      <c r="L403" s="209"/>
      <c r="M403" s="209"/>
      <c r="N403" s="210"/>
    </row>
    <row r="404">
      <c r="B404" s="208"/>
      <c r="D404" s="209"/>
      <c r="E404" s="209"/>
      <c r="F404" s="209"/>
      <c r="G404" s="209"/>
      <c r="H404" s="209"/>
      <c r="I404" s="209"/>
      <c r="J404" s="209"/>
      <c r="K404" s="209"/>
      <c r="L404" s="209"/>
      <c r="M404" s="209"/>
      <c r="N404" s="210"/>
    </row>
    <row r="405">
      <c r="B405" s="208"/>
      <c r="D405" s="209"/>
      <c r="E405" s="209"/>
      <c r="F405" s="209"/>
      <c r="G405" s="209"/>
      <c r="H405" s="209"/>
      <c r="I405" s="209"/>
      <c r="J405" s="209"/>
      <c r="K405" s="209"/>
      <c r="L405" s="209"/>
      <c r="M405" s="209"/>
      <c r="N405" s="210"/>
    </row>
    <row r="406">
      <c r="B406" s="208"/>
      <c r="D406" s="209"/>
      <c r="E406" s="209"/>
      <c r="F406" s="209"/>
      <c r="G406" s="209"/>
      <c r="H406" s="209"/>
      <c r="I406" s="209"/>
      <c r="J406" s="209"/>
      <c r="K406" s="209"/>
      <c r="L406" s="209"/>
      <c r="M406" s="209"/>
      <c r="N406" s="210"/>
    </row>
    <row r="407">
      <c r="B407" s="208"/>
      <c r="D407" s="209"/>
      <c r="E407" s="209"/>
      <c r="F407" s="209"/>
      <c r="G407" s="209"/>
      <c r="H407" s="209"/>
      <c r="I407" s="209"/>
      <c r="J407" s="209"/>
      <c r="K407" s="209"/>
      <c r="L407" s="209"/>
      <c r="M407" s="209"/>
      <c r="N407" s="210"/>
    </row>
    <row r="408">
      <c r="B408" s="208"/>
      <c r="D408" s="209"/>
      <c r="E408" s="209"/>
      <c r="F408" s="209"/>
      <c r="G408" s="209"/>
      <c r="H408" s="209"/>
      <c r="I408" s="209"/>
      <c r="J408" s="209"/>
      <c r="K408" s="209"/>
      <c r="L408" s="209"/>
      <c r="M408" s="209"/>
      <c r="N408" s="210"/>
    </row>
    <row r="409">
      <c r="B409" s="208"/>
      <c r="D409" s="209"/>
      <c r="E409" s="209"/>
      <c r="F409" s="209"/>
      <c r="G409" s="209"/>
      <c r="H409" s="209"/>
      <c r="I409" s="209"/>
      <c r="J409" s="209"/>
      <c r="K409" s="209"/>
      <c r="L409" s="209"/>
      <c r="M409" s="209"/>
      <c r="N409" s="210"/>
    </row>
    <row r="410">
      <c r="B410" s="208"/>
      <c r="D410" s="209"/>
      <c r="E410" s="209"/>
      <c r="F410" s="209"/>
      <c r="G410" s="209"/>
      <c r="H410" s="209"/>
      <c r="I410" s="209"/>
      <c r="J410" s="209"/>
      <c r="K410" s="209"/>
      <c r="L410" s="209"/>
      <c r="M410" s="209"/>
      <c r="N410" s="210"/>
    </row>
    <row r="411">
      <c r="B411" s="208"/>
      <c r="D411" s="209"/>
      <c r="E411" s="209"/>
      <c r="F411" s="209"/>
      <c r="G411" s="209"/>
      <c r="H411" s="209"/>
      <c r="I411" s="209"/>
      <c r="J411" s="209"/>
      <c r="K411" s="209"/>
      <c r="L411" s="209"/>
      <c r="M411" s="209"/>
      <c r="N411" s="210"/>
    </row>
    <row r="412">
      <c r="B412" s="208"/>
      <c r="D412" s="209"/>
      <c r="E412" s="209"/>
      <c r="F412" s="209"/>
      <c r="G412" s="209"/>
      <c r="H412" s="209"/>
      <c r="I412" s="209"/>
      <c r="J412" s="209"/>
      <c r="K412" s="209"/>
      <c r="L412" s="209"/>
      <c r="M412" s="209"/>
      <c r="N412" s="210"/>
    </row>
    <row r="413">
      <c r="B413" s="208"/>
      <c r="D413" s="209"/>
      <c r="E413" s="209"/>
      <c r="F413" s="209"/>
      <c r="G413" s="209"/>
      <c r="H413" s="209"/>
      <c r="I413" s="209"/>
      <c r="J413" s="209"/>
      <c r="K413" s="209"/>
      <c r="L413" s="209"/>
      <c r="M413" s="209"/>
      <c r="N413" s="210"/>
    </row>
    <row r="414">
      <c r="B414" s="208"/>
      <c r="D414" s="209"/>
      <c r="E414" s="209"/>
      <c r="F414" s="209"/>
      <c r="G414" s="209"/>
      <c r="H414" s="209"/>
      <c r="I414" s="209"/>
      <c r="J414" s="209"/>
      <c r="K414" s="209"/>
      <c r="L414" s="209"/>
      <c r="M414" s="209"/>
      <c r="N414" s="210"/>
    </row>
    <row r="415">
      <c r="B415" s="208"/>
      <c r="D415" s="209"/>
      <c r="E415" s="209"/>
      <c r="F415" s="209"/>
      <c r="G415" s="209"/>
      <c r="H415" s="209"/>
      <c r="I415" s="209"/>
      <c r="J415" s="209"/>
      <c r="K415" s="209"/>
      <c r="L415" s="209"/>
      <c r="M415" s="209"/>
      <c r="N415" s="210"/>
    </row>
    <row r="416">
      <c r="B416" s="208"/>
      <c r="D416" s="209"/>
      <c r="E416" s="209"/>
      <c r="F416" s="209"/>
      <c r="G416" s="209"/>
      <c r="H416" s="209"/>
      <c r="I416" s="209"/>
      <c r="J416" s="209"/>
      <c r="K416" s="209"/>
      <c r="L416" s="209"/>
      <c r="M416" s="209"/>
      <c r="N416" s="210"/>
    </row>
    <row r="417">
      <c r="B417" s="208"/>
      <c r="D417" s="209"/>
      <c r="E417" s="209"/>
      <c r="F417" s="209"/>
      <c r="G417" s="209"/>
      <c r="H417" s="209"/>
      <c r="I417" s="209"/>
      <c r="J417" s="209"/>
      <c r="K417" s="209"/>
      <c r="L417" s="209"/>
      <c r="M417" s="209"/>
      <c r="N417" s="210"/>
    </row>
    <row r="418">
      <c r="B418" s="208"/>
      <c r="D418" s="209"/>
      <c r="E418" s="209"/>
      <c r="F418" s="209"/>
      <c r="G418" s="209"/>
      <c r="H418" s="209"/>
      <c r="I418" s="209"/>
      <c r="J418" s="209"/>
      <c r="K418" s="209"/>
      <c r="L418" s="209"/>
      <c r="M418" s="209"/>
      <c r="N418" s="210"/>
    </row>
    <row r="419">
      <c r="B419" s="208"/>
      <c r="D419" s="209"/>
      <c r="E419" s="209"/>
      <c r="F419" s="209"/>
      <c r="G419" s="209"/>
      <c r="H419" s="209"/>
      <c r="I419" s="209"/>
      <c r="J419" s="209"/>
      <c r="K419" s="209"/>
      <c r="L419" s="209"/>
      <c r="M419" s="209"/>
      <c r="N419" s="210"/>
    </row>
    <row r="420">
      <c r="B420" s="208"/>
      <c r="D420" s="209"/>
      <c r="E420" s="209"/>
      <c r="F420" s="209"/>
      <c r="G420" s="209"/>
      <c r="H420" s="209"/>
      <c r="I420" s="209"/>
      <c r="J420" s="209"/>
      <c r="K420" s="209"/>
      <c r="L420" s="209"/>
      <c r="M420" s="209"/>
      <c r="N420" s="210"/>
    </row>
    <row r="421">
      <c r="B421" s="208"/>
      <c r="D421" s="209"/>
      <c r="E421" s="209"/>
      <c r="F421" s="209"/>
      <c r="G421" s="209"/>
      <c r="H421" s="209"/>
      <c r="I421" s="209"/>
      <c r="J421" s="209"/>
      <c r="K421" s="209"/>
      <c r="L421" s="209"/>
      <c r="M421" s="209"/>
      <c r="N421" s="210"/>
    </row>
    <row r="422">
      <c r="B422" s="208"/>
      <c r="D422" s="209"/>
      <c r="E422" s="209"/>
      <c r="F422" s="209"/>
      <c r="G422" s="209"/>
      <c r="H422" s="209"/>
      <c r="I422" s="209"/>
      <c r="J422" s="209"/>
      <c r="K422" s="209"/>
      <c r="L422" s="209"/>
      <c r="M422" s="209"/>
      <c r="N422" s="210"/>
    </row>
    <row r="423">
      <c r="B423" s="208"/>
      <c r="D423" s="209"/>
      <c r="E423" s="209"/>
      <c r="F423" s="209"/>
      <c r="G423" s="209"/>
      <c r="H423" s="209"/>
      <c r="I423" s="209"/>
      <c r="J423" s="209"/>
      <c r="K423" s="209"/>
      <c r="L423" s="209"/>
      <c r="M423" s="209"/>
      <c r="N423" s="210"/>
    </row>
    <row r="424">
      <c r="B424" s="208"/>
      <c r="D424" s="209"/>
      <c r="E424" s="209"/>
      <c r="F424" s="209"/>
      <c r="G424" s="209"/>
      <c r="H424" s="209"/>
      <c r="I424" s="209"/>
      <c r="J424" s="209"/>
      <c r="K424" s="209"/>
      <c r="L424" s="209"/>
      <c r="M424" s="209"/>
      <c r="N424" s="210"/>
    </row>
    <row r="425">
      <c r="B425" s="208"/>
      <c r="D425" s="209"/>
      <c r="E425" s="209"/>
      <c r="F425" s="209"/>
      <c r="G425" s="209"/>
      <c r="H425" s="209"/>
      <c r="I425" s="209"/>
      <c r="J425" s="209"/>
      <c r="K425" s="209"/>
      <c r="L425" s="209"/>
      <c r="M425" s="209"/>
      <c r="N425" s="210"/>
    </row>
    <row r="426">
      <c r="B426" s="208"/>
      <c r="D426" s="209"/>
      <c r="E426" s="209"/>
      <c r="F426" s="209"/>
      <c r="G426" s="209"/>
      <c r="H426" s="209"/>
      <c r="I426" s="209"/>
      <c r="J426" s="209"/>
      <c r="K426" s="209"/>
      <c r="L426" s="209"/>
      <c r="M426" s="209"/>
      <c r="N426" s="210"/>
    </row>
    <row r="427">
      <c r="B427" s="208"/>
      <c r="D427" s="209"/>
      <c r="E427" s="209"/>
      <c r="F427" s="209"/>
      <c r="G427" s="209"/>
      <c r="H427" s="209"/>
      <c r="I427" s="209"/>
      <c r="J427" s="209"/>
      <c r="K427" s="209"/>
      <c r="L427" s="209"/>
      <c r="M427" s="209"/>
      <c r="N427" s="210"/>
    </row>
    <row r="428">
      <c r="B428" s="208"/>
      <c r="D428" s="209"/>
      <c r="E428" s="209"/>
      <c r="F428" s="209"/>
      <c r="G428" s="209"/>
      <c r="H428" s="209"/>
      <c r="I428" s="209"/>
      <c r="J428" s="209"/>
      <c r="K428" s="209"/>
      <c r="L428" s="209"/>
      <c r="M428" s="209"/>
      <c r="N428" s="210"/>
    </row>
    <row r="429">
      <c r="B429" s="208"/>
      <c r="D429" s="209"/>
      <c r="E429" s="209"/>
      <c r="F429" s="209"/>
      <c r="G429" s="209"/>
      <c r="H429" s="209"/>
      <c r="I429" s="209"/>
      <c r="J429" s="209"/>
      <c r="K429" s="209"/>
      <c r="L429" s="209"/>
      <c r="M429" s="209"/>
      <c r="N429" s="210"/>
    </row>
    <row r="430">
      <c r="B430" s="208"/>
      <c r="D430" s="209"/>
      <c r="E430" s="209"/>
      <c r="F430" s="209"/>
      <c r="G430" s="209"/>
      <c r="H430" s="209"/>
      <c r="I430" s="209"/>
      <c r="J430" s="209"/>
      <c r="K430" s="209"/>
      <c r="L430" s="209"/>
      <c r="M430" s="209"/>
      <c r="N430" s="210"/>
    </row>
    <row r="431">
      <c r="B431" s="208"/>
      <c r="D431" s="209"/>
      <c r="E431" s="209"/>
      <c r="F431" s="209"/>
      <c r="G431" s="209"/>
      <c r="H431" s="209"/>
      <c r="I431" s="209"/>
      <c r="J431" s="209"/>
      <c r="K431" s="209"/>
      <c r="L431" s="209"/>
      <c r="M431" s="209"/>
      <c r="N431" s="210"/>
    </row>
    <row r="432">
      <c r="B432" s="208"/>
      <c r="D432" s="209"/>
      <c r="E432" s="209"/>
      <c r="F432" s="209"/>
      <c r="G432" s="209"/>
      <c r="H432" s="209"/>
      <c r="I432" s="209"/>
      <c r="J432" s="209"/>
      <c r="K432" s="209"/>
      <c r="L432" s="209"/>
      <c r="M432" s="209"/>
      <c r="N432" s="210"/>
    </row>
    <row r="433">
      <c r="B433" s="208"/>
      <c r="D433" s="209"/>
      <c r="E433" s="209"/>
      <c r="F433" s="209"/>
      <c r="G433" s="209"/>
      <c r="H433" s="209"/>
      <c r="I433" s="209"/>
      <c r="J433" s="209"/>
      <c r="K433" s="209"/>
      <c r="L433" s="209"/>
      <c r="M433" s="209"/>
      <c r="N433" s="210"/>
    </row>
    <row r="434">
      <c r="B434" s="208"/>
      <c r="D434" s="209"/>
      <c r="E434" s="209"/>
      <c r="F434" s="209"/>
      <c r="G434" s="209"/>
      <c r="H434" s="209"/>
      <c r="I434" s="209"/>
      <c r="J434" s="209"/>
      <c r="K434" s="209"/>
      <c r="L434" s="209"/>
      <c r="M434" s="209"/>
      <c r="N434" s="210"/>
    </row>
    <row r="435">
      <c r="B435" s="208"/>
      <c r="D435" s="209"/>
      <c r="E435" s="209"/>
      <c r="F435" s="209"/>
      <c r="G435" s="209"/>
      <c r="H435" s="209"/>
      <c r="I435" s="209"/>
      <c r="J435" s="209"/>
      <c r="K435" s="209"/>
      <c r="L435" s="209"/>
      <c r="M435" s="209"/>
      <c r="N435" s="210"/>
    </row>
    <row r="436">
      <c r="B436" s="208"/>
      <c r="D436" s="209"/>
      <c r="E436" s="209"/>
      <c r="F436" s="209"/>
      <c r="G436" s="209"/>
      <c r="H436" s="209"/>
      <c r="I436" s="209"/>
      <c r="J436" s="209"/>
      <c r="K436" s="209"/>
      <c r="L436" s="209"/>
      <c r="M436" s="209"/>
      <c r="N436" s="210"/>
    </row>
    <row r="437">
      <c r="B437" s="208"/>
      <c r="D437" s="209"/>
      <c r="E437" s="209"/>
      <c r="F437" s="209"/>
      <c r="G437" s="209"/>
      <c r="H437" s="209"/>
      <c r="I437" s="209"/>
      <c r="J437" s="209"/>
      <c r="K437" s="209"/>
      <c r="L437" s="209"/>
      <c r="M437" s="209"/>
      <c r="N437" s="210"/>
    </row>
    <row r="438">
      <c r="B438" s="208"/>
      <c r="D438" s="209"/>
      <c r="E438" s="209"/>
      <c r="F438" s="209"/>
      <c r="G438" s="209"/>
      <c r="H438" s="209"/>
      <c r="I438" s="209"/>
      <c r="J438" s="209"/>
      <c r="K438" s="209"/>
      <c r="L438" s="209"/>
      <c r="M438" s="209"/>
      <c r="N438" s="210"/>
    </row>
    <row r="439">
      <c r="B439" s="208"/>
      <c r="D439" s="209"/>
      <c r="E439" s="209"/>
      <c r="F439" s="209"/>
      <c r="G439" s="209"/>
      <c r="H439" s="209"/>
      <c r="I439" s="209"/>
      <c r="J439" s="209"/>
      <c r="K439" s="209"/>
      <c r="L439" s="209"/>
      <c r="M439" s="209"/>
      <c r="N439" s="210"/>
    </row>
    <row r="440">
      <c r="B440" s="208"/>
      <c r="D440" s="209"/>
      <c r="E440" s="209"/>
      <c r="F440" s="209"/>
      <c r="G440" s="209"/>
      <c r="H440" s="209"/>
      <c r="I440" s="209"/>
      <c r="J440" s="209"/>
      <c r="K440" s="209"/>
      <c r="L440" s="209"/>
      <c r="M440" s="209"/>
      <c r="N440" s="210"/>
    </row>
    <row r="441">
      <c r="B441" s="208"/>
      <c r="D441" s="209"/>
      <c r="E441" s="209"/>
      <c r="F441" s="209"/>
      <c r="G441" s="209"/>
      <c r="H441" s="209"/>
      <c r="I441" s="209"/>
      <c r="J441" s="209"/>
      <c r="K441" s="209"/>
      <c r="L441" s="209"/>
      <c r="M441" s="209"/>
      <c r="N441" s="210"/>
    </row>
    <row r="442">
      <c r="B442" s="208"/>
      <c r="D442" s="209"/>
      <c r="E442" s="209"/>
      <c r="F442" s="209"/>
      <c r="G442" s="209"/>
      <c r="H442" s="209"/>
      <c r="I442" s="209"/>
      <c r="J442" s="209"/>
      <c r="K442" s="209"/>
      <c r="L442" s="209"/>
      <c r="M442" s="209"/>
      <c r="N442" s="210"/>
    </row>
    <row r="443">
      <c r="B443" s="208"/>
      <c r="D443" s="209"/>
      <c r="E443" s="209"/>
      <c r="F443" s="209"/>
      <c r="G443" s="209"/>
      <c r="H443" s="209"/>
      <c r="I443" s="209"/>
      <c r="J443" s="209"/>
      <c r="K443" s="209"/>
      <c r="L443" s="209"/>
      <c r="M443" s="209"/>
      <c r="N443" s="210"/>
    </row>
    <row r="444">
      <c r="B444" s="208"/>
      <c r="D444" s="209"/>
      <c r="E444" s="209"/>
      <c r="F444" s="209"/>
      <c r="G444" s="209"/>
      <c r="H444" s="209"/>
      <c r="I444" s="209"/>
      <c r="J444" s="209"/>
      <c r="K444" s="209"/>
      <c r="L444" s="209"/>
      <c r="M444" s="209"/>
      <c r="N444" s="210"/>
    </row>
    <row r="445">
      <c r="B445" s="208"/>
      <c r="D445" s="209"/>
      <c r="E445" s="209"/>
      <c r="F445" s="209"/>
      <c r="G445" s="209"/>
      <c r="H445" s="209"/>
      <c r="I445" s="209"/>
      <c r="J445" s="209"/>
      <c r="K445" s="209"/>
      <c r="L445" s="209"/>
      <c r="M445" s="209"/>
      <c r="N445" s="210"/>
    </row>
    <row r="446">
      <c r="B446" s="208"/>
      <c r="D446" s="209"/>
      <c r="E446" s="209"/>
      <c r="F446" s="209"/>
      <c r="G446" s="209"/>
      <c r="H446" s="209"/>
      <c r="I446" s="209"/>
      <c r="J446" s="209"/>
      <c r="K446" s="209"/>
      <c r="L446" s="209"/>
      <c r="M446" s="209"/>
      <c r="N446" s="210"/>
    </row>
    <row r="447">
      <c r="B447" s="208"/>
      <c r="D447" s="209"/>
      <c r="E447" s="209"/>
      <c r="F447" s="209"/>
      <c r="G447" s="209"/>
      <c r="H447" s="209"/>
      <c r="I447" s="209"/>
      <c r="J447" s="209"/>
      <c r="K447" s="209"/>
      <c r="L447" s="209"/>
      <c r="M447" s="209"/>
      <c r="N447" s="210"/>
    </row>
    <row r="448">
      <c r="B448" s="208"/>
      <c r="D448" s="209"/>
      <c r="E448" s="209"/>
      <c r="F448" s="209"/>
      <c r="G448" s="209"/>
      <c r="H448" s="209"/>
      <c r="I448" s="209"/>
      <c r="J448" s="209"/>
      <c r="K448" s="209"/>
      <c r="L448" s="209"/>
      <c r="M448" s="209"/>
      <c r="N448" s="210"/>
    </row>
    <row r="449">
      <c r="B449" s="208"/>
      <c r="D449" s="209"/>
      <c r="E449" s="209"/>
      <c r="F449" s="209"/>
      <c r="G449" s="209"/>
      <c r="H449" s="209"/>
      <c r="I449" s="209"/>
      <c r="J449" s="209"/>
      <c r="K449" s="209"/>
      <c r="L449" s="209"/>
      <c r="M449" s="209"/>
      <c r="N449" s="210"/>
    </row>
    <row r="450">
      <c r="B450" s="208"/>
      <c r="D450" s="209"/>
      <c r="E450" s="209"/>
      <c r="F450" s="209"/>
      <c r="G450" s="209"/>
      <c r="H450" s="209"/>
      <c r="I450" s="209"/>
      <c r="J450" s="209"/>
      <c r="K450" s="209"/>
      <c r="L450" s="209"/>
      <c r="M450" s="209"/>
      <c r="N450" s="210"/>
    </row>
    <row r="451">
      <c r="B451" s="208"/>
      <c r="D451" s="209"/>
      <c r="E451" s="209"/>
      <c r="F451" s="209"/>
      <c r="G451" s="209"/>
      <c r="H451" s="209"/>
      <c r="I451" s="209"/>
      <c r="J451" s="209"/>
      <c r="K451" s="209"/>
      <c r="L451" s="209"/>
      <c r="M451" s="209"/>
      <c r="N451" s="210"/>
    </row>
    <row r="452">
      <c r="B452" s="208"/>
      <c r="D452" s="209"/>
      <c r="E452" s="209"/>
      <c r="F452" s="209"/>
      <c r="G452" s="209"/>
      <c r="H452" s="209"/>
      <c r="I452" s="209"/>
      <c r="J452" s="209"/>
      <c r="K452" s="209"/>
      <c r="L452" s="209"/>
      <c r="M452" s="209"/>
      <c r="N452" s="210"/>
    </row>
    <row r="453">
      <c r="B453" s="208"/>
      <c r="D453" s="209"/>
      <c r="E453" s="209"/>
      <c r="F453" s="209"/>
      <c r="G453" s="209"/>
      <c r="H453" s="209"/>
      <c r="I453" s="209"/>
      <c r="J453" s="209"/>
      <c r="K453" s="209"/>
      <c r="L453" s="209"/>
      <c r="M453" s="209"/>
      <c r="N453" s="210"/>
    </row>
    <row r="454">
      <c r="B454" s="208"/>
      <c r="D454" s="209"/>
      <c r="E454" s="209"/>
      <c r="F454" s="209"/>
      <c r="G454" s="209"/>
      <c r="H454" s="209"/>
      <c r="I454" s="209"/>
      <c r="J454" s="209"/>
      <c r="K454" s="209"/>
      <c r="L454" s="209"/>
      <c r="M454" s="209"/>
      <c r="N454" s="210"/>
    </row>
    <row r="455">
      <c r="B455" s="208"/>
      <c r="D455" s="209"/>
      <c r="E455" s="209"/>
      <c r="F455" s="209"/>
      <c r="G455" s="209"/>
      <c r="H455" s="209"/>
      <c r="I455" s="209"/>
      <c r="J455" s="209"/>
      <c r="K455" s="209"/>
      <c r="L455" s="209"/>
      <c r="M455" s="209"/>
      <c r="N455" s="210"/>
    </row>
    <row r="456">
      <c r="B456" s="208"/>
      <c r="D456" s="209"/>
      <c r="E456" s="209"/>
      <c r="F456" s="209"/>
      <c r="G456" s="209"/>
      <c r="H456" s="209"/>
      <c r="I456" s="209"/>
      <c r="J456" s="209"/>
      <c r="K456" s="209"/>
      <c r="L456" s="209"/>
      <c r="M456" s="209"/>
      <c r="N456" s="210"/>
    </row>
    <row r="457">
      <c r="B457" s="208"/>
      <c r="D457" s="209"/>
      <c r="E457" s="209"/>
      <c r="F457" s="209"/>
      <c r="G457" s="209"/>
      <c r="H457" s="209"/>
      <c r="I457" s="209"/>
      <c r="J457" s="209"/>
      <c r="K457" s="209"/>
      <c r="L457" s="209"/>
      <c r="M457" s="209"/>
      <c r="N457" s="210"/>
    </row>
    <row r="458">
      <c r="B458" s="208"/>
      <c r="D458" s="209"/>
      <c r="E458" s="209"/>
      <c r="F458" s="209"/>
      <c r="G458" s="209"/>
      <c r="H458" s="209"/>
      <c r="I458" s="209"/>
      <c r="J458" s="209"/>
      <c r="K458" s="209"/>
      <c r="L458" s="209"/>
      <c r="M458" s="209"/>
      <c r="N458" s="210"/>
    </row>
    <row r="459">
      <c r="B459" s="208"/>
      <c r="D459" s="209"/>
      <c r="E459" s="209"/>
      <c r="F459" s="209"/>
      <c r="G459" s="209"/>
      <c r="H459" s="209"/>
      <c r="I459" s="209"/>
      <c r="J459" s="209"/>
      <c r="K459" s="209"/>
      <c r="L459" s="209"/>
      <c r="M459" s="209"/>
      <c r="N459" s="210"/>
    </row>
    <row r="460">
      <c r="B460" s="208"/>
      <c r="D460" s="209"/>
      <c r="E460" s="209"/>
      <c r="F460" s="209"/>
      <c r="G460" s="209"/>
      <c r="H460" s="209"/>
      <c r="I460" s="209"/>
      <c r="J460" s="209"/>
      <c r="K460" s="209"/>
      <c r="L460" s="209"/>
      <c r="M460" s="209"/>
      <c r="N460" s="210"/>
    </row>
    <row r="461">
      <c r="B461" s="208"/>
      <c r="D461" s="209"/>
      <c r="E461" s="209"/>
      <c r="F461" s="209"/>
      <c r="G461" s="209"/>
      <c r="H461" s="209"/>
      <c r="I461" s="209"/>
      <c r="J461" s="209"/>
      <c r="K461" s="209"/>
      <c r="L461" s="209"/>
      <c r="M461" s="209"/>
      <c r="N461" s="210"/>
    </row>
    <row r="462">
      <c r="B462" s="208"/>
      <c r="D462" s="209"/>
      <c r="E462" s="209"/>
      <c r="F462" s="209"/>
      <c r="G462" s="209"/>
      <c r="H462" s="209"/>
      <c r="I462" s="209"/>
      <c r="J462" s="209"/>
      <c r="K462" s="209"/>
      <c r="L462" s="209"/>
      <c r="M462" s="209"/>
      <c r="N462" s="210"/>
    </row>
    <row r="463">
      <c r="B463" s="208"/>
      <c r="D463" s="209"/>
      <c r="E463" s="209"/>
      <c r="F463" s="209"/>
      <c r="G463" s="209"/>
      <c r="H463" s="209"/>
      <c r="I463" s="209"/>
      <c r="J463" s="209"/>
      <c r="K463" s="209"/>
      <c r="L463" s="209"/>
      <c r="M463" s="209"/>
      <c r="N463" s="210"/>
    </row>
    <row r="464">
      <c r="B464" s="208"/>
      <c r="D464" s="209"/>
      <c r="E464" s="209"/>
      <c r="F464" s="209"/>
      <c r="G464" s="209"/>
      <c r="H464" s="209"/>
      <c r="I464" s="209"/>
      <c r="J464" s="209"/>
      <c r="K464" s="209"/>
      <c r="L464" s="209"/>
      <c r="M464" s="209"/>
      <c r="N464" s="210"/>
    </row>
    <row r="465">
      <c r="B465" s="208"/>
      <c r="D465" s="209"/>
      <c r="E465" s="209"/>
      <c r="F465" s="209"/>
      <c r="G465" s="209"/>
      <c r="H465" s="209"/>
      <c r="I465" s="209"/>
      <c r="J465" s="209"/>
      <c r="K465" s="209"/>
      <c r="L465" s="209"/>
      <c r="M465" s="209"/>
      <c r="N465" s="210"/>
    </row>
    <row r="466">
      <c r="B466" s="208"/>
      <c r="D466" s="209"/>
      <c r="E466" s="209"/>
      <c r="F466" s="209"/>
      <c r="G466" s="209"/>
      <c r="H466" s="209"/>
      <c r="I466" s="209"/>
      <c r="J466" s="209"/>
      <c r="K466" s="209"/>
      <c r="L466" s="209"/>
      <c r="M466" s="209"/>
      <c r="N466" s="210"/>
    </row>
    <row r="467">
      <c r="B467" s="208"/>
      <c r="D467" s="209"/>
      <c r="E467" s="209"/>
      <c r="F467" s="209"/>
      <c r="G467" s="209"/>
      <c r="H467" s="209"/>
      <c r="I467" s="209"/>
      <c r="J467" s="209"/>
      <c r="K467" s="209"/>
      <c r="L467" s="209"/>
      <c r="M467" s="209"/>
      <c r="N467" s="210"/>
    </row>
    <row r="468">
      <c r="B468" s="208"/>
      <c r="D468" s="209"/>
      <c r="E468" s="209"/>
      <c r="F468" s="209"/>
      <c r="G468" s="209"/>
      <c r="H468" s="209"/>
      <c r="I468" s="209"/>
      <c r="J468" s="209"/>
      <c r="K468" s="209"/>
      <c r="L468" s="209"/>
      <c r="M468" s="209"/>
      <c r="N468" s="210"/>
    </row>
    <row r="469">
      <c r="B469" s="208"/>
      <c r="D469" s="209"/>
      <c r="E469" s="209"/>
      <c r="F469" s="209"/>
      <c r="G469" s="209"/>
      <c r="H469" s="209"/>
      <c r="I469" s="209"/>
      <c r="J469" s="209"/>
      <c r="K469" s="209"/>
      <c r="L469" s="209"/>
      <c r="M469" s="209"/>
      <c r="N469" s="210"/>
    </row>
    <row r="470">
      <c r="B470" s="208"/>
      <c r="D470" s="209"/>
      <c r="E470" s="209"/>
      <c r="F470" s="209"/>
      <c r="G470" s="209"/>
      <c r="H470" s="209"/>
      <c r="I470" s="209"/>
      <c r="J470" s="209"/>
      <c r="K470" s="209"/>
      <c r="L470" s="209"/>
      <c r="M470" s="209"/>
      <c r="N470" s="210"/>
    </row>
    <row r="471">
      <c r="B471" s="208"/>
      <c r="D471" s="209"/>
      <c r="E471" s="209"/>
      <c r="F471" s="209"/>
      <c r="G471" s="209"/>
      <c r="H471" s="209"/>
      <c r="I471" s="209"/>
      <c r="J471" s="209"/>
      <c r="K471" s="209"/>
      <c r="L471" s="209"/>
      <c r="M471" s="209"/>
      <c r="N471" s="210"/>
    </row>
    <row r="472">
      <c r="B472" s="208"/>
      <c r="D472" s="209"/>
      <c r="E472" s="209"/>
      <c r="F472" s="209"/>
      <c r="G472" s="209"/>
      <c r="H472" s="209"/>
      <c r="I472" s="209"/>
      <c r="J472" s="209"/>
      <c r="K472" s="209"/>
      <c r="L472" s="209"/>
      <c r="M472" s="209"/>
      <c r="N472" s="210"/>
    </row>
    <row r="473">
      <c r="B473" s="208"/>
      <c r="D473" s="209"/>
      <c r="E473" s="209"/>
      <c r="F473" s="209"/>
      <c r="G473" s="209"/>
      <c r="H473" s="209"/>
      <c r="I473" s="209"/>
      <c r="J473" s="209"/>
      <c r="K473" s="209"/>
      <c r="L473" s="209"/>
      <c r="M473" s="209"/>
      <c r="N473" s="210"/>
    </row>
    <row r="474">
      <c r="B474" s="208"/>
      <c r="D474" s="209"/>
      <c r="E474" s="209"/>
      <c r="F474" s="209"/>
      <c r="G474" s="209"/>
      <c r="H474" s="209"/>
      <c r="I474" s="209"/>
      <c r="J474" s="209"/>
      <c r="K474" s="209"/>
      <c r="L474" s="209"/>
      <c r="M474" s="209"/>
      <c r="N474" s="210"/>
    </row>
    <row r="475">
      <c r="B475" s="208"/>
      <c r="D475" s="209"/>
      <c r="E475" s="209"/>
      <c r="F475" s="209"/>
      <c r="G475" s="209"/>
      <c r="H475" s="209"/>
      <c r="I475" s="209"/>
      <c r="J475" s="209"/>
      <c r="K475" s="209"/>
      <c r="L475" s="209"/>
      <c r="M475" s="209"/>
      <c r="N475" s="210"/>
    </row>
    <row r="476">
      <c r="B476" s="208"/>
      <c r="D476" s="209"/>
      <c r="E476" s="209"/>
      <c r="F476" s="209"/>
      <c r="G476" s="209"/>
      <c r="H476" s="209"/>
      <c r="I476" s="209"/>
      <c r="J476" s="209"/>
      <c r="K476" s="209"/>
      <c r="L476" s="209"/>
      <c r="M476" s="209"/>
      <c r="N476" s="210"/>
    </row>
    <row r="477">
      <c r="B477" s="208"/>
      <c r="D477" s="209"/>
      <c r="E477" s="209"/>
      <c r="F477" s="209"/>
      <c r="G477" s="209"/>
      <c r="H477" s="209"/>
      <c r="I477" s="209"/>
      <c r="J477" s="209"/>
      <c r="K477" s="209"/>
      <c r="L477" s="209"/>
      <c r="M477" s="209"/>
      <c r="N477" s="210"/>
    </row>
    <row r="478">
      <c r="B478" s="208"/>
      <c r="D478" s="209"/>
      <c r="E478" s="209"/>
      <c r="F478" s="209"/>
      <c r="G478" s="209"/>
      <c r="H478" s="209"/>
      <c r="I478" s="209"/>
      <c r="J478" s="209"/>
      <c r="K478" s="209"/>
      <c r="L478" s="209"/>
      <c r="M478" s="209"/>
      <c r="N478" s="210"/>
    </row>
    <row r="479">
      <c r="B479" s="208"/>
      <c r="D479" s="209"/>
      <c r="E479" s="209"/>
      <c r="F479" s="209"/>
      <c r="G479" s="209"/>
      <c r="H479" s="209"/>
      <c r="I479" s="209"/>
      <c r="J479" s="209"/>
      <c r="K479" s="209"/>
      <c r="L479" s="209"/>
      <c r="M479" s="209"/>
      <c r="N479" s="210"/>
    </row>
    <row r="480">
      <c r="B480" s="208"/>
      <c r="D480" s="209"/>
      <c r="E480" s="209"/>
      <c r="F480" s="209"/>
      <c r="G480" s="209"/>
      <c r="H480" s="209"/>
      <c r="I480" s="209"/>
      <c r="J480" s="209"/>
      <c r="K480" s="209"/>
      <c r="L480" s="209"/>
      <c r="M480" s="209"/>
      <c r="N480" s="210"/>
    </row>
    <row r="481">
      <c r="B481" s="208"/>
      <c r="D481" s="209"/>
      <c r="E481" s="209"/>
      <c r="F481" s="209"/>
      <c r="G481" s="209"/>
      <c r="H481" s="209"/>
      <c r="I481" s="209"/>
      <c r="J481" s="209"/>
      <c r="K481" s="209"/>
      <c r="L481" s="209"/>
      <c r="M481" s="209"/>
      <c r="N481" s="210"/>
    </row>
    <row r="482">
      <c r="B482" s="208"/>
      <c r="D482" s="209"/>
      <c r="E482" s="209"/>
      <c r="F482" s="209"/>
      <c r="G482" s="209"/>
      <c r="H482" s="209"/>
      <c r="I482" s="209"/>
      <c r="J482" s="209"/>
      <c r="K482" s="209"/>
      <c r="L482" s="209"/>
      <c r="M482" s="209"/>
      <c r="N482" s="210"/>
    </row>
    <row r="483">
      <c r="B483" s="208"/>
      <c r="D483" s="209"/>
      <c r="E483" s="209"/>
      <c r="F483" s="209"/>
      <c r="G483" s="209"/>
      <c r="H483" s="209"/>
      <c r="I483" s="209"/>
      <c r="J483" s="209"/>
      <c r="K483" s="209"/>
      <c r="L483" s="209"/>
      <c r="M483" s="209"/>
      <c r="N483" s="210"/>
    </row>
    <row r="484">
      <c r="B484" s="208"/>
      <c r="D484" s="209"/>
      <c r="E484" s="209"/>
      <c r="F484" s="209"/>
      <c r="G484" s="209"/>
      <c r="H484" s="209"/>
      <c r="I484" s="209"/>
      <c r="J484" s="209"/>
      <c r="K484" s="209"/>
      <c r="L484" s="209"/>
      <c r="M484" s="209"/>
      <c r="N484" s="210"/>
    </row>
    <row r="485">
      <c r="B485" s="208"/>
      <c r="D485" s="209"/>
      <c r="E485" s="209"/>
      <c r="F485" s="209"/>
      <c r="G485" s="209"/>
      <c r="H485" s="209"/>
      <c r="I485" s="209"/>
      <c r="J485" s="209"/>
      <c r="K485" s="209"/>
      <c r="L485" s="209"/>
      <c r="M485" s="209"/>
      <c r="N485" s="210"/>
    </row>
    <row r="486">
      <c r="B486" s="208"/>
      <c r="D486" s="209"/>
      <c r="E486" s="209"/>
      <c r="F486" s="209"/>
      <c r="G486" s="209"/>
      <c r="H486" s="209"/>
      <c r="I486" s="209"/>
      <c r="J486" s="209"/>
      <c r="K486" s="209"/>
      <c r="L486" s="209"/>
      <c r="M486" s="209"/>
      <c r="N486" s="210"/>
    </row>
    <row r="487">
      <c r="B487" s="208"/>
      <c r="D487" s="209"/>
      <c r="E487" s="209"/>
      <c r="F487" s="209"/>
      <c r="G487" s="209"/>
      <c r="H487" s="209"/>
      <c r="I487" s="209"/>
      <c r="J487" s="209"/>
      <c r="K487" s="209"/>
      <c r="L487" s="209"/>
      <c r="M487" s="209"/>
      <c r="N487" s="210"/>
    </row>
    <row r="488">
      <c r="B488" s="208"/>
      <c r="D488" s="209"/>
      <c r="E488" s="209"/>
      <c r="F488" s="209"/>
      <c r="G488" s="209"/>
      <c r="H488" s="209"/>
      <c r="I488" s="209"/>
      <c r="J488" s="209"/>
      <c r="K488" s="209"/>
      <c r="L488" s="209"/>
      <c r="M488" s="209"/>
      <c r="N488" s="210"/>
    </row>
    <row r="489">
      <c r="B489" s="208"/>
      <c r="D489" s="209"/>
      <c r="E489" s="209"/>
      <c r="F489" s="209"/>
      <c r="G489" s="209"/>
      <c r="H489" s="209"/>
      <c r="I489" s="209"/>
      <c r="J489" s="209"/>
      <c r="K489" s="209"/>
      <c r="L489" s="209"/>
      <c r="M489" s="209"/>
      <c r="N489" s="210"/>
    </row>
    <row r="490">
      <c r="B490" s="208"/>
      <c r="D490" s="209"/>
      <c r="E490" s="209"/>
      <c r="F490" s="209"/>
      <c r="G490" s="209"/>
      <c r="H490" s="209"/>
      <c r="I490" s="209"/>
      <c r="J490" s="209"/>
      <c r="K490" s="209"/>
      <c r="L490" s="209"/>
      <c r="M490" s="209"/>
      <c r="N490" s="210"/>
    </row>
    <row r="491">
      <c r="B491" s="208"/>
      <c r="D491" s="209"/>
      <c r="E491" s="209"/>
      <c r="F491" s="209"/>
      <c r="G491" s="209"/>
      <c r="H491" s="209"/>
      <c r="I491" s="209"/>
      <c r="J491" s="209"/>
      <c r="K491" s="209"/>
      <c r="L491" s="209"/>
      <c r="M491" s="209"/>
      <c r="N491" s="210"/>
    </row>
    <row r="492">
      <c r="B492" s="208"/>
      <c r="D492" s="209"/>
      <c r="E492" s="209"/>
      <c r="F492" s="209"/>
      <c r="G492" s="209"/>
      <c r="H492" s="209"/>
      <c r="I492" s="209"/>
      <c r="J492" s="209"/>
      <c r="K492" s="209"/>
      <c r="L492" s="209"/>
      <c r="M492" s="209"/>
      <c r="N492" s="210"/>
    </row>
    <row r="493">
      <c r="B493" s="208"/>
      <c r="D493" s="209"/>
      <c r="E493" s="209"/>
      <c r="F493" s="209"/>
      <c r="G493" s="209"/>
      <c r="H493" s="209"/>
      <c r="I493" s="209"/>
      <c r="J493" s="209"/>
      <c r="K493" s="209"/>
      <c r="L493" s="209"/>
      <c r="M493" s="209"/>
      <c r="N493" s="210"/>
    </row>
    <row r="494">
      <c r="B494" s="208"/>
      <c r="D494" s="209"/>
      <c r="E494" s="209"/>
      <c r="F494" s="209"/>
      <c r="G494" s="209"/>
      <c r="H494" s="209"/>
      <c r="I494" s="209"/>
      <c r="J494" s="209"/>
      <c r="K494" s="209"/>
      <c r="L494" s="209"/>
      <c r="M494" s="209"/>
      <c r="N494" s="210"/>
    </row>
    <row r="495">
      <c r="B495" s="208"/>
      <c r="D495" s="209"/>
      <c r="E495" s="209"/>
      <c r="F495" s="209"/>
      <c r="G495" s="209"/>
      <c r="H495" s="209"/>
      <c r="I495" s="209"/>
      <c r="J495" s="209"/>
      <c r="K495" s="209"/>
      <c r="L495" s="209"/>
      <c r="M495" s="209"/>
      <c r="N495" s="210"/>
    </row>
    <row r="496">
      <c r="B496" s="208"/>
      <c r="D496" s="209"/>
      <c r="E496" s="209"/>
      <c r="F496" s="209"/>
      <c r="G496" s="209"/>
      <c r="H496" s="209"/>
      <c r="I496" s="209"/>
      <c r="J496" s="209"/>
      <c r="K496" s="209"/>
      <c r="L496" s="209"/>
      <c r="M496" s="209"/>
      <c r="N496" s="210"/>
    </row>
    <row r="497">
      <c r="B497" s="208"/>
      <c r="D497" s="209"/>
      <c r="E497" s="209"/>
      <c r="F497" s="209"/>
      <c r="G497" s="209"/>
      <c r="H497" s="209"/>
      <c r="I497" s="209"/>
      <c r="J497" s="209"/>
      <c r="K497" s="209"/>
      <c r="L497" s="209"/>
      <c r="M497" s="209"/>
      <c r="N497" s="210"/>
    </row>
    <row r="498">
      <c r="B498" s="208"/>
      <c r="D498" s="209"/>
      <c r="E498" s="209"/>
      <c r="F498" s="209"/>
      <c r="G498" s="209"/>
      <c r="H498" s="209"/>
      <c r="I498" s="209"/>
      <c r="J498" s="209"/>
      <c r="K498" s="209"/>
      <c r="L498" s="209"/>
      <c r="M498" s="209"/>
      <c r="N498" s="210"/>
    </row>
    <row r="499">
      <c r="B499" s="208"/>
      <c r="D499" s="209"/>
      <c r="E499" s="209"/>
      <c r="F499" s="209"/>
      <c r="G499" s="209"/>
      <c r="H499" s="209"/>
      <c r="I499" s="209"/>
      <c r="J499" s="209"/>
      <c r="K499" s="209"/>
      <c r="L499" s="209"/>
      <c r="M499" s="209"/>
      <c r="N499" s="210"/>
    </row>
    <row r="500">
      <c r="B500" s="208"/>
      <c r="D500" s="209"/>
      <c r="E500" s="209"/>
      <c r="F500" s="209"/>
      <c r="G500" s="209"/>
      <c r="H500" s="209"/>
      <c r="I500" s="209"/>
      <c r="J500" s="209"/>
      <c r="K500" s="209"/>
      <c r="L500" s="209"/>
      <c r="M500" s="209"/>
      <c r="N500" s="210"/>
    </row>
    <row r="501">
      <c r="B501" s="208"/>
      <c r="D501" s="209"/>
      <c r="E501" s="209"/>
      <c r="F501" s="209"/>
      <c r="G501" s="209"/>
      <c r="H501" s="209"/>
      <c r="I501" s="209"/>
      <c r="J501" s="209"/>
      <c r="K501" s="209"/>
      <c r="L501" s="209"/>
      <c r="M501" s="209"/>
      <c r="N501" s="210"/>
    </row>
    <row r="502">
      <c r="B502" s="208"/>
      <c r="D502" s="209"/>
      <c r="E502" s="209"/>
      <c r="F502" s="209"/>
      <c r="G502" s="209"/>
      <c r="H502" s="209"/>
      <c r="I502" s="209"/>
      <c r="J502" s="209"/>
      <c r="K502" s="209"/>
      <c r="L502" s="209"/>
      <c r="M502" s="209"/>
      <c r="N502" s="210"/>
    </row>
    <row r="503">
      <c r="B503" s="208"/>
      <c r="D503" s="209"/>
      <c r="E503" s="209"/>
      <c r="F503" s="209"/>
      <c r="G503" s="209"/>
      <c r="H503" s="209"/>
      <c r="I503" s="209"/>
      <c r="J503" s="209"/>
      <c r="K503" s="209"/>
      <c r="L503" s="209"/>
      <c r="M503" s="209"/>
      <c r="N503" s="210"/>
    </row>
    <row r="504">
      <c r="B504" s="208"/>
      <c r="D504" s="209"/>
      <c r="E504" s="209"/>
      <c r="F504" s="209"/>
      <c r="G504" s="209"/>
      <c r="H504" s="209"/>
      <c r="I504" s="209"/>
      <c r="J504" s="209"/>
      <c r="K504" s="209"/>
      <c r="L504" s="209"/>
      <c r="M504" s="209"/>
      <c r="N504" s="210"/>
    </row>
    <row r="505">
      <c r="B505" s="208"/>
      <c r="D505" s="209"/>
      <c r="E505" s="209"/>
      <c r="F505" s="209"/>
      <c r="G505" s="209"/>
      <c r="H505" s="209"/>
      <c r="I505" s="209"/>
      <c r="J505" s="209"/>
      <c r="K505" s="209"/>
      <c r="L505" s="209"/>
      <c r="M505" s="209"/>
      <c r="N505" s="210"/>
    </row>
    <row r="506">
      <c r="B506" s="208"/>
      <c r="D506" s="209"/>
      <c r="E506" s="209"/>
      <c r="F506" s="209"/>
      <c r="G506" s="209"/>
      <c r="H506" s="209"/>
      <c r="I506" s="209"/>
      <c r="J506" s="209"/>
      <c r="K506" s="209"/>
      <c r="L506" s="209"/>
      <c r="M506" s="209"/>
      <c r="N506" s="210"/>
    </row>
    <row r="507">
      <c r="B507" s="208"/>
      <c r="D507" s="209"/>
      <c r="E507" s="209"/>
      <c r="F507" s="209"/>
      <c r="G507" s="209"/>
      <c r="H507" s="209"/>
      <c r="I507" s="209"/>
      <c r="J507" s="209"/>
      <c r="K507" s="209"/>
      <c r="L507" s="209"/>
      <c r="M507" s="209"/>
      <c r="N507" s="210"/>
    </row>
    <row r="508">
      <c r="B508" s="208"/>
      <c r="D508" s="209"/>
      <c r="E508" s="209"/>
      <c r="F508" s="209"/>
      <c r="G508" s="209"/>
      <c r="H508" s="209"/>
      <c r="I508" s="209"/>
      <c r="J508" s="209"/>
      <c r="K508" s="209"/>
      <c r="L508" s="209"/>
      <c r="M508" s="209"/>
      <c r="N508" s="210"/>
    </row>
    <row r="509">
      <c r="B509" s="208"/>
      <c r="D509" s="209"/>
      <c r="E509" s="209"/>
      <c r="F509" s="209"/>
      <c r="G509" s="209"/>
      <c r="H509" s="209"/>
      <c r="I509" s="209"/>
      <c r="J509" s="209"/>
      <c r="K509" s="209"/>
      <c r="L509" s="209"/>
      <c r="M509" s="209"/>
      <c r="N509" s="210"/>
    </row>
    <row r="510">
      <c r="B510" s="208"/>
      <c r="D510" s="209"/>
      <c r="E510" s="209"/>
      <c r="F510" s="209"/>
      <c r="G510" s="209"/>
      <c r="H510" s="209"/>
      <c r="I510" s="209"/>
      <c r="J510" s="209"/>
      <c r="K510" s="209"/>
      <c r="L510" s="209"/>
      <c r="M510" s="209"/>
      <c r="N510" s="210"/>
    </row>
    <row r="511">
      <c r="B511" s="208"/>
      <c r="D511" s="209"/>
      <c r="E511" s="209"/>
      <c r="F511" s="209"/>
      <c r="G511" s="209"/>
      <c r="H511" s="209"/>
      <c r="I511" s="209"/>
      <c r="J511" s="209"/>
      <c r="K511" s="209"/>
      <c r="L511" s="209"/>
      <c r="M511" s="209"/>
      <c r="N511" s="210"/>
    </row>
    <row r="512">
      <c r="B512" s="208"/>
      <c r="D512" s="209"/>
      <c r="E512" s="209"/>
      <c r="F512" s="209"/>
      <c r="G512" s="209"/>
      <c r="H512" s="209"/>
      <c r="I512" s="209"/>
      <c r="J512" s="209"/>
      <c r="K512" s="209"/>
      <c r="L512" s="209"/>
      <c r="M512" s="209"/>
      <c r="N512" s="210"/>
    </row>
    <row r="513">
      <c r="B513" s="208"/>
      <c r="D513" s="209"/>
      <c r="E513" s="209"/>
      <c r="F513" s="209"/>
      <c r="G513" s="209"/>
      <c r="H513" s="209"/>
      <c r="I513" s="209"/>
      <c r="J513" s="209"/>
      <c r="K513" s="209"/>
      <c r="L513" s="209"/>
      <c r="M513" s="209"/>
      <c r="N513" s="210"/>
    </row>
    <row r="514">
      <c r="B514" s="208"/>
      <c r="D514" s="209"/>
      <c r="E514" s="209"/>
      <c r="F514" s="209"/>
      <c r="G514" s="209"/>
      <c r="H514" s="209"/>
      <c r="I514" s="209"/>
      <c r="J514" s="209"/>
      <c r="K514" s="209"/>
      <c r="L514" s="209"/>
      <c r="M514" s="209"/>
      <c r="N514" s="210"/>
    </row>
    <row r="515">
      <c r="B515" s="208"/>
      <c r="D515" s="209"/>
      <c r="E515" s="209"/>
      <c r="F515" s="209"/>
      <c r="G515" s="209"/>
      <c r="H515" s="209"/>
      <c r="I515" s="209"/>
      <c r="J515" s="209"/>
      <c r="K515" s="209"/>
      <c r="L515" s="209"/>
      <c r="M515" s="209"/>
      <c r="N515" s="210"/>
    </row>
    <row r="516">
      <c r="B516" s="208"/>
      <c r="D516" s="209"/>
      <c r="E516" s="209"/>
      <c r="F516" s="209"/>
      <c r="G516" s="209"/>
      <c r="H516" s="209"/>
      <c r="I516" s="209"/>
      <c r="J516" s="209"/>
      <c r="K516" s="209"/>
      <c r="L516" s="209"/>
      <c r="M516" s="209"/>
      <c r="N516" s="210"/>
    </row>
    <row r="517">
      <c r="B517" s="208"/>
      <c r="D517" s="209"/>
      <c r="E517" s="209"/>
      <c r="F517" s="209"/>
      <c r="G517" s="209"/>
      <c r="H517" s="209"/>
      <c r="I517" s="209"/>
      <c r="J517" s="209"/>
      <c r="K517" s="209"/>
      <c r="L517" s="209"/>
      <c r="M517" s="209"/>
      <c r="N517" s="210"/>
    </row>
    <row r="518">
      <c r="B518" s="208"/>
      <c r="D518" s="209"/>
      <c r="E518" s="209"/>
      <c r="F518" s="209"/>
      <c r="G518" s="209"/>
      <c r="H518" s="209"/>
      <c r="I518" s="209"/>
      <c r="J518" s="209"/>
      <c r="K518" s="209"/>
      <c r="L518" s="209"/>
      <c r="M518" s="209"/>
      <c r="N518" s="210"/>
    </row>
    <row r="519">
      <c r="B519" s="208"/>
      <c r="D519" s="209"/>
      <c r="E519" s="209"/>
      <c r="F519" s="209"/>
      <c r="G519" s="209"/>
      <c r="H519" s="209"/>
      <c r="I519" s="209"/>
      <c r="J519" s="209"/>
      <c r="K519" s="209"/>
      <c r="L519" s="209"/>
      <c r="M519" s="209"/>
      <c r="N519" s="210"/>
    </row>
    <row r="520">
      <c r="B520" s="208"/>
      <c r="D520" s="209"/>
      <c r="E520" s="209"/>
      <c r="F520" s="209"/>
      <c r="G520" s="209"/>
      <c r="H520" s="209"/>
      <c r="I520" s="209"/>
      <c r="J520" s="209"/>
      <c r="K520" s="209"/>
      <c r="L520" s="209"/>
      <c r="M520" s="209"/>
      <c r="N520" s="210"/>
    </row>
    <row r="521">
      <c r="B521" s="208"/>
      <c r="D521" s="209"/>
      <c r="E521" s="209"/>
      <c r="F521" s="209"/>
      <c r="G521" s="209"/>
      <c r="H521" s="209"/>
      <c r="I521" s="209"/>
      <c r="J521" s="209"/>
      <c r="K521" s="209"/>
      <c r="L521" s="209"/>
      <c r="M521" s="209"/>
      <c r="N521" s="210"/>
    </row>
    <row r="522">
      <c r="B522" s="208"/>
      <c r="D522" s="209"/>
      <c r="E522" s="209"/>
      <c r="F522" s="209"/>
      <c r="G522" s="209"/>
      <c r="H522" s="209"/>
      <c r="I522" s="209"/>
      <c r="J522" s="209"/>
      <c r="K522" s="209"/>
      <c r="L522" s="209"/>
      <c r="M522" s="209"/>
      <c r="N522" s="210"/>
    </row>
    <row r="523">
      <c r="B523" s="208"/>
      <c r="D523" s="209"/>
      <c r="E523" s="209"/>
      <c r="F523" s="209"/>
      <c r="G523" s="209"/>
      <c r="H523" s="209"/>
      <c r="I523" s="209"/>
      <c r="J523" s="209"/>
      <c r="K523" s="209"/>
      <c r="L523" s="209"/>
      <c r="M523" s="209"/>
      <c r="N523" s="210"/>
    </row>
    <row r="524">
      <c r="B524" s="208"/>
      <c r="D524" s="209"/>
      <c r="E524" s="209"/>
      <c r="F524" s="209"/>
      <c r="G524" s="209"/>
      <c r="H524" s="209"/>
      <c r="I524" s="209"/>
      <c r="J524" s="209"/>
      <c r="K524" s="209"/>
      <c r="L524" s="209"/>
      <c r="M524" s="209"/>
      <c r="N524" s="210"/>
    </row>
    <row r="525">
      <c r="B525" s="208"/>
      <c r="D525" s="209"/>
      <c r="E525" s="209"/>
      <c r="F525" s="209"/>
      <c r="G525" s="209"/>
      <c r="H525" s="209"/>
      <c r="I525" s="209"/>
      <c r="J525" s="209"/>
      <c r="K525" s="209"/>
      <c r="L525" s="209"/>
      <c r="M525" s="209"/>
      <c r="N525" s="210"/>
    </row>
    <row r="526">
      <c r="B526" s="208"/>
      <c r="D526" s="209"/>
      <c r="E526" s="209"/>
      <c r="F526" s="209"/>
      <c r="G526" s="209"/>
      <c r="H526" s="209"/>
      <c r="I526" s="209"/>
      <c r="J526" s="209"/>
      <c r="K526" s="209"/>
      <c r="L526" s="209"/>
      <c r="M526" s="209"/>
      <c r="N526" s="210"/>
    </row>
    <row r="527">
      <c r="B527" s="208"/>
      <c r="D527" s="209"/>
      <c r="E527" s="209"/>
      <c r="F527" s="209"/>
      <c r="G527" s="209"/>
      <c r="H527" s="209"/>
      <c r="I527" s="209"/>
      <c r="J527" s="209"/>
      <c r="K527" s="209"/>
      <c r="L527" s="209"/>
      <c r="M527" s="209"/>
      <c r="N527" s="210"/>
    </row>
    <row r="528">
      <c r="B528" s="208"/>
      <c r="D528" s="209"/>
      <c r="E528" s="209"/>
      <c r="F528" s="209"/>
      <c r="G528" s="209"/>
      <c r="H528" s="209"/>
      <c r="I528" s="209"/>
      <c r="J528" s="209"/>
      <c r="K528" s="209"/>
      <c r="L528" s="209"/>
      <c r="M528" s="209"/>
      <c r="N528" s="210"/>
    </row>
    <row r="529">
      <c r="B529" s="208"/>
      <c r="D529" s="209"/>
      <c r="E529" s="209"/>
      <c r="F529" s="209"/>
      <c r="G529" s="209"/>
      <c r="H529" s="209"/>
      <c r="I529" s="209"/>
      <c r="J529" s="209"/>
      <c r="K529" s="209"/>
      <c r="L529" s="209"/>
      <c r="M529" s="209"/>
      <c r="N529" s="210"/>
    </row>
    <row r="530">
      <c r="B530" s="208"/>
      <c r="D530" s="209"/>
      <c r="E530" s="209"/>
      <c r="F530" s="209"/>
      <c r="G530" s="209"/>
      <c r="H530" s="209"/>
      <c r="I530" s="209"/>
      <c r="J530" s="209"/>
      <c r="K530" s="209"/>
      <c r="L530" s="209"/>
      <c r="M530" s="209"/>
      <c r="N530" s="210"/>
    </row>
    <row r="531">
      <c r="B531" s="208"/>
      <c r="D531" s="209"/>
      <c r="E531" s="209"/>
      <c r="F531" s="209"/>
      <c r="G531" s="209"/>
      <c r="H531" s="209"/>
      <c r="I531" s="209"/>
      <c r="J531" s="209"/>
      <c r="K531" s="209"/>
      <c r="L531" s="209"/>
      <c r="M531" s="209"/>
      <c r="N531" s="210"/>
    </row>
    <row r="532">
      <c r="B532" s="208"/>
      <c r="D532" s="209"/>
      <c r="E532" s="209"/>
      <c r="F532" s="209"/>
      <c r="G532" s="209"/>
      <c r="H532" s="209"/>
      <c r="I532" s="209"/>
      <c r="J532" s="209"/>
      <c r="K532" s="209"/>
      <c r="L532" s="209"/>
      <c r="M532" s="209"/>
      <c r="N532" s="210"/>
    </row>
    <row r="533">
      <c r="B533" s="208"/>
      <c r="D533" s="209"/>
      <c r="E533" s="209"/>
      <c r="F533" s="209"/>
      <c r="G533" s="209"/>
      <c r="H533" s="209"/>
      <c r="I533" s="209"/>
      <c r="J533" s="209"/>
      <c r="K533" s="209"/>
      <c r="L533" s="209"/>
      <c r="M533" s="209"/>
      <c r="N533" s="210"/>
    </row>
    <row r="534">
      <c r="B534" s="208"/>
      <c r="D534" s="209"/>
      <c r="E534" s="209"/>
      <c r="F534" s="209"/>
      <c r="G534" s="209"/>
      <c r="H534" s="209"/>
      <c r="I534" s="209"/>
      <c r="J534" s="209"/>
      <c r="K534" s="209"/>
      <c r="L534" s="209"/>
      <c r="M534" s="209"/>
      <c r="N534" s="210"/>
    </row>
    <row r="535">
      <c r="B535" s="208"/>
      <c r="D535" s="209"/>
      <c r="E535" s="209"/>
      <c r="F535" s="209"/>
      <c r="G535" s="209"/>
      <c r="H535" s="209"/>
      <c r="I535" s="209"/>
      <c r="J535" s="209"/>
      <c r="K535" s="209"/>
      <c r="L535" s="209"/>
      <c r="M535" s="209"/>
      <c r="N535" s="210"/>
    </row>
    <row r="536">
      <c r="B536" s="208"/>
      <c r="D536" s="209"/>
      <c r="E536" s="209"/>
      <c r="F536" s="209"/>
      <c r="G536" s="209"/>
      <c r="H536" s="209"/>
      <c r="I536" s="209"/>
      <c r="J536" s="209"/>
      <c r="K536" s="209"/>
      <c r="L536" s="209"/>
      <c r="M536" s="209"/>
      <c r="N536" s="210"/>
    </row>
    <row r="537">
      <c r="B537" s="208"/>
      <c r="D537" s="209"/>
      <c r="E537" s="209"/>
      <c r="F537" s="209"/>
      <c r="G537" s="209"/>
      <c r="H537" s="209"/>
      <c r="I537" s="209"/>
      <c r="J537" s="209"/>
      <c r="K537" s="209"/>
      <c r="L537" s="209"/>
      <c r="M537" s="209"/>
      <c r="N537" s="210"/>
    </row>
    <row r="538">
      <c r="B538" s="208"/>
      <c r="D538" s="209"/>
      <c r="E538" s="209"/>
      <c r="F538" s="209"/>
      <c r="G538" s="209"/>
      <c r="H538" s="209"/>
      <c r="I538" s="209"/>
      <c r="J538" s="209"/>
      <c r="K538" s="209"/>
      <c r="L538" s="209"/>
      <c r="M538" s="209"/>
      <c r="N538" s="210"/>
    </row>
    <row r="539">
      <c r="B539" s="208"/>
      <c r="D539" s="209"/>
      <c r="E539" s="209"/>
      <c r="F539" s="209"/>
      <c r="G539" s="209"/>
      <c r="H539" s="209"/>
      <c r="I539" s="209"/>
      <c r="J539" s="209"/>
      <c r="K539" s="209"/>
      <c r="L539" s="209"/>
      <c r="M539" s="209"/>
      <c r="N539" s="210"/>
    </row>
    <row r="540">
      <c r="B540" s="208"/>
      <c r="D540" s="209"/>
      <c r="E540" s="209"/>
      <c r="F540" s="209"/>
      <c r="G540" s="209"/>
      <c r="H540" s="209"/>
      <c r="I540" s="209"/>
      <c r="J540" s="209"/>
      <c r="K540" s="209"/>
      <c r="L540" s="209"/>
      <c r="M540" s="209"/>
      <c r="N540" s="210"/>
    </row>
    <row r="541">
      <c r="B541" s="208"/>
      <c r="D541" s="209"/>
      <c r="E541" s="209"/>
      <c r="F541" s="209"/>
      <c r="G541" s="209"/>
      <c r="H541" s="209"/>
      <c r="I541" s="209"/>
      <c r="J541" s="209"/>
      <c r="K541" s="209"/>
      <c r="L541" s="209"/>
      <c r="M541" s="209"/>
      <c r="N541" s="210"/>
    </row>
    <row r="542">
      <c r="B542" s="208"/>
      <c r="D542" s="209"/>
      <c r="E542" s="209"/>
      <c r="F542" s="209"/>
      <c r="G542" s="209"/>
      <c r="H542" s="209"/>
      <c r="I542" s="209"/>
      <c r="J542" s="209"/>
      <c r="K542" s="209"/>
      <c r="L542" s="209"/>
      <c r="M542" s="209"/>
      <c r="N542" s="210"/>
    </row>
    <row r="543">
      <c r="B543" s="208"/>
      <c r="D543" s="209"/>
      <c r="E543" s="209"/>
      <c r="F543" s="209"/>
      <c r="G543" s="209"/>
      <c r="H543" s="209"/>
      <c r="I543" s="209"/>
      <c r="J543" s="209"/>
      <c r="K543" s="209"/>
      <c r="L543" s="209"/>
      <c r="M543" s="209"/>
      <c r="N543" s="210"/>
    </row>
    <row r="544">
      <c r="B544" s="208"/>
      <c r="D544" s="209"/>
      <c r="E544" s="209"/>
      <c r="F544" s="209"/>
      <c r="G544" s="209"/>
      <c r="H544" s="209"/>
      <c r="I544" s="209"/>
      <c r="J544" s="209"/>
      <c r="K544" s="209"/>
      <c r="L544" s="209"/>
      <c r="M544" s="209"/>
      <c r="N544" s="210"/>
    </row>
    <row r="545">
      <c r="B545" s="208"/>
      <c r="D545" s="209"/>
      <c r="E545" s="209"/>
      <c r="F545" s="209"/>
      <c r="G545" s="209"/>
      <c r="H545" s="209"/>
      <c r="I545" s="209"/>
      <c r="J545" s="209"/>
      <c r="K545" s="209"/>
      <c r="L545" s="209"/>
      <c r="M545" s="209"/>
      <c r="N545" s="210"/>
    </row>
    <row r="546">
      <c r="B546" s="208"/>
      <c r="D546" s="209"/>
      <c r="E546" s="209"/>
      <c r="F546" s="209"/>
      <c r="G546" s="209"/>
      <c r="H546" s="209"/>
      <c r="I546" s="209"/>
      <c r="J546" s="209"/>
      <c r="K546" s="209"/>
      <c r="L546" s="209"/>
      <c r="M546" s="209"/>
      <c r="N546" s="210"/>
    </row>
    <row r="547">
      <c r="B547" s="208"/>
      <c r="D547" s="209"/>
      <c r="E547" s="209"/>
      <c r="F547" s="209"/>
      <c r="G547" s="209"/>
      <c r="H547" s="209"/>
      <c r="I547" s="209"/>
      <c r="J547" s="209"/>
      <c r="K547" s="209"/>
      <c r="L547" s="209"/>
      <c r="M547" s="209"/>
      <c r="N547" s="210"/>
    </row>
    <row r="548">
      <c r="B548" s="208"/>
      <c r="D548" s="209"/>
      <c r="E548" s="209"/>
      <c r="F548" s="209"/>
      <c r="G548" s="209"/>
      <c r="H548" s="209"/>
      <c r="I548" s="209"/>
      <c r="J548" s="209"/>
      <c r="K548" s="209"/>
      <c r="L548" s="209"/>
      <c r="M548" s="209"/>
      <c r="N548" s="210"/>
    </row>
    <row r="549">
      <c r="B549" s="208"/>
      <c r="D549" s="209"/>
      <c r="E549" s="209"/>
      <c r="F549" s="209"/>
      <c r="G549" s="209"/>
      <c r="H549" s="209"/>
      <c r="I549" s="209"/>
      <c r="J549" s="209"/>
      <c r="K549" s="209"/>
      <c r="L549" s="209"/>
      <c r="M549" s="209"/>
      <c r="N549" s="210"/>
    </row>
    <row r="550">
      <c r="B550" s="208"/>
      <c r="D550" s="209"/>
      <c r="E550" s="209"/>
      <c r="F550" s="209"/>
      <c r="G550" s="209"/>
      <c r="H550" s="209"/>
      <c r="I550" s="209"/>
      <c r="J550" s="209"/>
      <c r="K550" s="209"/>
      <c r="L550" s="209"/>
      <c r="M550" s="209"/>
      <c r="N550" s="210"/>
    </row>
    <row r="551">
      <c r="B551" s="208"/>
      <c r="D551" s="209"/>
      <c r="E551" s="209"/>
      <c r="F551" s="209"/>
      <c r="G551" s="209"/>
      <c r="H551" s="209"/>
      <c r="I551" s="209"/>
      <c r="J551" s="209"/>
      <c r="K551" s="209"/>
      <c r="L551" s="209"/>
      <c r="M551" s="209"/>
      <c r="N551" s="210"/>
    </row>
    <row r="552">
      <c r="B552" s="208"/>
      <c r="D552" s="209"/>
      <c r="E552" s="209"/>
      <c r="F552" s="209"/>
      <c r="G552" s="209"/>
      <c r="H552" s="209"/>
      <c r="I552" s="209"/>
      <c r="J552" s="209"/>
      <c r="K552" s="209"/>
      <c r="L552" s="209"/>
      <c r="M552" s="209"/>
      <c r="N552" s="210"/>
    </row>
    <row r="553">
      <c r="B553" s="208"/>
      <c r="D553" s="209"/>
      <c r="E553" s="209"/>
      <c r="F553" s="209"/>
      <c r="G553" s="209"/>
      <c r="H553" s="209"/>
      <c r="I553" s="209"/>
      <c r="J553" s="209"/>
      <c r="K553" s="209"/>
      <c r="L553" s="209"/>
      <c r="M553" s="209"/>
      <c r="N553" s="210"/>
    </row>
    <row r="554">
      <c r="B554" s="208"/>
      <c r="D554" s="209"/>
      <c r="E554" s="209"/>
      <c r="F554" s="209"/>
      <c r="G554" s="209"/>
      <c r="H554" s="209"/>
      <c r="I554" s="209"/>
      <c r="J554" s="209"/>
      <c r="K554" s="209"/>
      <c r="L554" s="209"/>
      <c r="M554" s="209"/>
      <c r="N554" s="210"/>
    </row>
    <row r="555">
      <c r="B555" s="208"/>
      <c r="D555" s="209"/>
      <c r="E555" s="209"/>
      <c r="F555" s="209"/>
      <c r="G555" s="209"/>
      <c r="H555" s="209"/>
      <c r="I555" s="209"/>
      <c r="J555" s="209"/>
      <c r="K555" s="209"/>
      <c r="L555" s="209"/>
      <c r="M555" s="209"/>
      <c r="N555" s="210"/>
    </row>
    <row r="556">
      <c r="B556" s="208"/>
      <c r="D556" s="209"/>
      <c r="E556" s="209"/>
      <c r="F556" s="209"/>
      <c r="G556" s="209"/>
      <c r="H556" s="209"/>
      <c r="I556" s="209"/>
      <c r="J556" s="209"/>
      <c r="K556" s="209"/>
      <c r="L556" s="209"/>
      <c r="M556" s="209"/>
      <c r="N556" s="210"/>
    </row>
    <row r="557">
      <c r="B557" s="208"/>
      <c r="D557" s="209"/>
      <c r="E557" s="209"/>
      <c r="F557" s="209"/>
      <c r="G557" s="209"/>
      <c r="H557" s="209"/>
      <c r="I557" s="209"/>
      <c r="J557" s="209"/>
      <c r="K557" s="209"/>
      <c r="L557" s="209"/>
      <c r="M557" s="209"/>
      <c r="N557" s="210"/>
    </row>
    <row r="558">
      <c r="B558" s="208"/>
      <c r="D558" s="209"/>
      <c r="E558" s="209"/>
      <c r="F558" s="209"/>
      <c r="G558" s="209"/>
      <c r="H558" s="209"/>
      <c r="I558" s="209"/>
      <c r="J558" s="209"/>
      <c r="K558" s="209"/>
      <c r="L558" s="209"/>
      <c r="M558" s="209"/>
      <c r="N558" s="210"/>
    </row>
    <row r="559">
      <c r="B559" s="208"/>
      <c r="D559" s="209"/>
      <c r="E559" s="209"/>
      <c r="F559" s="209"/>
      <c r="G559" s="209"/>
      <c r="H559" s="209"/>
      <c r="I559" s="209"/>
      <c r="J559" s="209"/>
      <c r="K559" s="209"/>
      <c r="L559" s="209"/>
      <c r="M559" s="209"/>
      <c r="N559" s="210"/>
    </row>
    <row r="560">
      <c r="B560" s="208"/>
      <c r="D560" s="209"/>
      <c r="E560" s="209"/>
      <c r="F560" s="209"/>
      <c r="G560" s="209"/>
      <c r="H560" s="209"/>
      <c r="I560" s="209"/>
      <c r="J560" s="209"/>
      <c r="K560" s="209"/>
      <c r="L560" s="209"/>
      <c r="M560" s="209"/>
      <c r="N560" s="210"/>
    </row>
    <row r="561">
      <c r="B561" s="208"/>
      <c r="D561" s="209"/>
      <c r="E561" s="209"/>
      <c r="F561" s="209"/>
      <c r="G561" s="209"/>
      <c r="H561" s="209"/>
      <c r="I561" s="209"/>
      <c r="J561" s="209"/>
      <c r="K561" s="209"/>
      <c r="L561" s="209"/>
      <c r="M561" s="209"/>
      <c r="N561" s="210"/>
    </row>
    <row r="562">
      <c r="B562" s="208"/>
      <c r="D562" s="209"/>
      <c r="E562" s="209"/>
      <c r="F562" s="209"/>
      <c r="G562" s="209"/>
      <c r="H562" s="209"/>
      <c r="I562" s="209"/>
      <c r="J562" s="209"/>
      <c r="K562" s="209"/>
      <c r="L562" s="209"/>
      <c r="M562" s="209"/>
      <c r="N562" s="210"/>
    </row>
    <row r="563">
      <c r="B563" s="208"/>
      <c r="D563" s="209"/>
      <c r="E563" s="209"/>
      <c r="F563" s="209"/>
      <c r="G563" s="209"/>
      <c r="H563" s="209"/>
      <c r="I563" s="209"/>
      <c r="J563" s="209"/>
      <c r="K563" s="209"/>
      <c r="L563" s="209"/>
      <c r="M563" s="209"/>
      <c r="N563" s="210"/>
    </row>
    <row r="564">
      <c r="B564" s="208"/>
      <c r="D564" s="209"/>
      <c r="E564" s="209"/>
      <c r="F564" s="209"/>
      <c r="G564" s="209"/>
      <c r="H564" s="209"/>
      <c r="I564" s="209"/>
      <c r="J564" s="209"/>
      <c r="K564" s="209"/>
      <c r="L564" s="209"/>
      <c r="M564" s="209"/>
      <c r="N564" s="210"/>
    </row>
    <row r="565">
      <c r="B565" s="208"/>
      <c r="D565" s="209"/>
      <c r="E565" s="209"/>
      <c r="F565" s="209"/>
      <c r="G565" s="209"/>
      <c r="H565" s="209"/>
      <c r="I565" s="209"/>
      <c r="J565" s="209"/>
      <c r="K565" s="209"/>
      <c r="L565" s="209"/>
      <c r="M565" s="209"/>
      <c r="N565" s="210"/>
    </row>
    <row r="566">
      <c r="B566" s="208"/>
      <c r="D566" s="209"/>
      <c r="E566" s="209"/>
      <c r="F566" s="209"/>
      <c r="G566" s="209"/>
      <c r="H566" s="209"/>
      <c r="I566" s="209"/>
      <c r="J566" s="209"/>
      <c r="K566" s="209"/>
      <c r="L566" s="209"/>
      <c r="M566" s="209"/>
      <c r="N566" s="210"/>
    </row>
    <row r="567">
      <c r="B567" s="208"/>
      <c r="D567" s="209"/>
      <c r="E567" s="209"/>
      <c r="F567" s="209"/>
      <c r="G567" s="209"/>
      <c r="H567" s="209"/>
      <c r="I567" s="209"/>
      <c r="J567" s="209"/>
      <c r="K567" s="209"/>
      <c r="L567" s="209"/>
      <c r="M567" s="209"/>
      <c r="N567" s="210"/>
    </row>
    <row r="568">
      <c r="B568" s="208"/>
      <c r="D568" s="209"/>
      <c r="E568" s="209"/>
      <c r="F568" s="209"/>
      <c r="G568" s="209"/>
      <c r="H568" s="209"/>
      <c r="I568" s="209"/>
      <c r="J568" s="209"/>
      <c r="K568" s="209"/>
      <c r="L568" s="209"/>
      <c r="M568" s="209"/>
      <c r="N568" s="210"/>
    </row>
    <row r="569">
      <c r="B569" s="208"/>
      <c r="D569" s="209"/>
      <c r="E569" s="209"/>
      <c r="F569" s="209"/>
      <c r="G569" s="209"/>
      <c r="H569" s="209"/>
      <c r="I569" s="209"/>
      <c r="J569" s="209"/>
      <c r="K569" s="209"/>
      <c r="L569" s="209"/>
      <c r="M569" s="209"/>
      <c r="N569" s="210"/>
    </row>
    <row r="570">
      <c r="B570" s="208"/>
      <c r="D570" s="209"/>
      <c r="E570" s="209"/>
      <c r="F570" s="209"/>
      <c r="G570" s="209"/>
      <c r="H570" s="209"/>
      <c r="I570" s="209"/>
      <c r="J570" s="209"/>
      <c r="K570" s="209"/>
      <c r="L570" s="209"/>
      <c r="M570" s="209"/>
      <c r="N570" s="210"/>
    </row>
    <row r="571">
      <c r="B571" s="208"/>
      <c r="D571" s="209"/>
      <c r="E571" s="209"/>
      <c r="F571" s="209"/>
      <c r="G571" s="209"/>
      <c r="H571" s="209"/>
      <c r="I571" s="209"/>
      <c r="J571" s="209"/>
      <c r="K571" s="209"/>
      <c r="L571" s="209"/>
      <c r="M571" s="209"/>
      <c r="N571" s="210"/>
    </row>
    <row r="572">
      <c r="B572" s="208"/>
      <c r="D572" s="209"/>
      <c r="E572" s="209"/>
      <c r="F572" s="209"/>
      <c r="G572" s="209"/>
      <c r="H572" s="209"/>
      <c r="I572" s="209"/>
      <c r="J572" s="209"/>
      <c r="K572" s="209"/>
      <c r="L572" s="209"/>
      <c r="M572" s="209"/>
      <c r="N572" s="210"/>
    </row>
    <row r="573">
      <c r="B573" s="208"/>
      <c r="D573" s="209"/>
      <c r="E573" s="209"/>
      <c r="F573" s="209"/>
      <c r="G573" s="209"/>
      <c r="H573" s="209"/>
      <c r="I573" s="209"/>
      <c r="J573" s="209"/>
      <c r="K573" s="209"/>
      <c r="L573" s="209"/>
      <c r="M573" s="209"/>
      <c r="N573" s="210"/>
    </row>
    <row r="574">
      <c r="B574" s="208"/>
      <c r="D574" s="209"/>
      <c r="E574" s="209"/>
      <c r="F574" s="209"/>
      <c r="G574" s="209"/>
      <c r="H574" s="209"/>
      <c r="I574" s="209"/>
      <c r="J574" s="209"/>
      <c r="K574" s="209"/>
      <c r="L574" s="209"/>
      <c r="M574" s="209"/>
      <c r="N574" s="210"/>
    </row>
    <row r="575">
      <c r="B575" s="208"/>
      <c r="D575" s="209"/>
      <c r="E575" s="209"/>
      <c r="F575" s="209"/>
      <c r="G575" s="209"/>
      <c r="H575" s="209"/>
      <c r="I575" s="209"/>
      <c r="J575" s="209"/>
      <c r="K575" s="209"/>
      <c r="L575" s="209"/>
      <c r="M575" s="209"/>
      <c r="N575" s="210"/>
    </row>
    <row r="576">
      <c r="B576" s="208"/>
      <c r="D576" s="209"/>
      <c r="E576" s="209"/>
      <c r="F576" s="209"/>
      <c r="G576" s="209"/>
      <c r="H576" s="209"/>
      <c r="I576" s="209"/>
      <c r="J576" s="209"/>
      <c r="K576" s="209"/>
      <c r="L576" s="209"/>
      <c r="M576" s="209"/>
      <c r="N576" s="210"/>
    </row>
    <row r="577">
      <c r="B577" s="208"/>
      <c r="D577" s="209"/>
      <c r="E577" s="209"/>
      <c r="F577" s="209"/>
      <c r="G577" s="209"/>
      <c r="H577" s="209"/>
      <c r="I577" s="209"/>
      <c r="J577" s="209"/>
      <c r="K577" s="209"/>
      <c r="L577" s="209"/>
      <c r="M577" s="209"/>
      <c r="N577" s="210"/>
    </row>
    <row r="578">
      <c r="B578" s="208"/>
      <c r="D578" s="209"/>
      <c r="E578" s="209"/>
      <c r="F578" s="209"/>
      <c r="G578" s="209"/>
      <c r="H578" s="209"/>
      <c r="I578" s="209"/>
      <c r="J578" s="209"/>
      <c r="K578" s="209"/>
      <c r="L578" s="209"/>
      <c r="M578" s="209"/>
      <c r="N578" s="210"/>
    </row>
    <row r="579">
      <c r="B579" s="208"/>
      <c r="D579" s="209"/>
      <c r="E579" s="209"/>
      <c r="F579" s="209"/>
      <c r="G579" s="209"/>
      <c r="H579" s="209"/>
      <c r="I579" s="209"/>
      <c r="J579" s="209"/>
      <c r="K579" s="209"/>
      <c r="L579" s="209"/>
      <c r="M579" s="209"/>
      <c r="N579" s="210"/>
    </row>
    <row r="580">
      <c r="B580" s="208"/>
      <c r="D580" s="209"/>
      <c r="E580" s="209"/>
      <c r="F580" s="209"/>
      <c r="G580" s="209"/>
      <c r="H580" s="209"/>
      <c r="I580" s="209"/>
      <c r="J580" s="209"/>
      <c r="K580" s="209"/>
      <c r="L580" s="209"/>
      <c r="M580" s="209"/>
      <c r="N580" s="210"/>
    </row>
    <row r="581">
      <c r="B581" s="208"/>
      <c r="D581" s="209"/>
      <c r="E581" s="209"/>
      <c r="F581" s="209"/>
      <c r="G581" s="209"/>
      <c r="H581" s="209"/>
      <c r="I581" s="209"/>
      <c r="J581" s="209"/>
      <c r="K581" s="209"/>
      <c r="L581" s="209"/>
      <c r="M581" s="209"/>
      <c r="N581" s="210"/>
    </row>
    <row r="582">
      <c r="B582" s="208"/>
      <c r="D582" s="209"/>
      <c r="E582" s="209"/>
      <c r="F582" s="209"/>
      <c r="G582" s="209"/>
      <c r="H582" s="209"/>
      <c r="I582" s="209"/>
      <c r="J582" s="209"/>
      <c r="K582" s="209"/>
      <c r="L582" s="209"/>
      <c r="M582" s="209"/>
      <c r="N582" s="210"/>
    </row>
    <row r="583">
      <c r="B583" s="208"/>
      <c r="D583" s="209"/>
      <c r="E583" s="209"/>
      <c r="F583" s="209"/>
      <c r="G583" s="209"/>
      <c r="H583" s="209"/>
      <c r="I583" s="209"/>
      <c r="J583" s="209"/>
      <c r="K583" s="209"/>
      <c r="L583" s="209"/>
      <c r="M583" s="209"/>
      <c r="N583" s="210"/>
    </row>
    <row r="584">
      <c r="B584" s="208"/>
      <c r="D584" s="209"/>
      <c r="E584" s="209"/>
      <c r="F584" s="209"/>
      <c r="G584" s="209"/>
      <c r="H584" s="209"/>
      <c r="I584" s="209"/>
      <c r="J584" s="209"/>
      <c r="K584" s="209"/>
      <c r="L584" s="209"/>
      <c r="M584" s="209"/>
      <c r="N584" s="210"/>
    </row>
    <row r="585">
      <c r="B585" s="208"/>
      <c r="D585" s="209"/>
      <c r="E585" s="209"/>
      <c r="F585" s="209"/>
      <c r="G585" s="209"/>
      <c r="H585" s="209"/>
      <c r="I585" s="209"/>
      <c r="J585" s="209"/>
      <c r="K585" s="209"/>
      <c r="L585" s="209"/>
      <c r="M585" s="209"/>
      <c r="N585" s="210"/>
    </row>
    <row r="586">
      <c r="B586" s="208"/>
      <c r="D586" s="209"/>
      <c r="E586" s="209"/>
      <c r="F586" s="209"/>
      <c r="G586" s="209"/>
      <c r="H586" s="209"/>
      <c r="I586" s="209"/>
      <c r="J586" s="209"/>
      <c r="K586" s="209"/>
      <c r="L586" s="209"/>
      <c r="M586" s="209"/>
      <c r="N586" s="210"/>
    </row>
    <row r="587">
      <c r="B587" s="208"/>
      <c r="D587" s="209"/>
      <c r="E587" s="209"/>
      <c r="F587" s="209"/>
      <c r="G587" s="209"/>
      <c r="H587" s="209"/>
      <c r="I587" s="209"/>
      <c r="J587" s="209"/>
      <c r="K587" s="209"/>
      <c r="L587" s="209"/>
      <c r="M587" s="209"/>
      <c r="N587" s="210"/>
    </row>
    <row r="588">
      <c r="B588" s="208"/>
      <c r="D588" s="209"/>
      <c r="E588" s="209"/>
      <c r="F588" s="209"/>
      <c r="G588" s="209"/>
      <c r="H588" s="209"/>
      <c r="I588" s="209"/>
      <c r="J588" s="209"/>
      <c r="K588" s="209"/>
      <c r="L588" s="209"/>
      <c r="M588" s="209"/>
      <c r="N588" s="210"/>
    </row>
    <row r="589">
      <c r="B589" s="208"/>
      <c r="D589" s="209"/>
      <c r="E589" s="209"/>
      <c r="F589" s="209"/>
      <c r="G589" s="209"/>
      <c r="H589" s="209"/>
      <c r="I589" s="209"/>
      <c r="J589" s="209"/>
      <c r="K589" s="209"/>
      <c r="L589" s="209"/>
      <c r="M589" s="209"/>
      <c r="N589" s="210"/>
    </row>
    <row r="590">
      <c r="B590" s="208"/>
      <c r="D590" s="209"/>
      <c r="E590" s="209"/>
      <c r="F590" s="209"/>
      <c r="G590" s="209"/>
      <c r="H590" s="209"/>
      <c r="I590" s="209"/>
      <c r="J590" s="209"/>
      <c r="K590" s="209"/>
      <c r="L590" s="209"/>
      <c r="M590" s="209"/>
      <c r="N590" s="210"/>
    </row>
    <row r="591">
      <c r="B591" s="208"/>
      <c r="D591" s="209"/>
      <c r="E591" s="209"/>
      <c r="F591" s="209"/>
      <c r="G591" s="209"/>
      <c r="H591" s="209"/>
      <c r="I591" s="209"/>
      <c r="J591" s="209"/>
      <c r="K591" s="209"/>
      <c r="L591" s="209"/>
      <c r="M591" s="209"/>
      <c r="N591" s="210"/>
    </row>
    <row r="592">
      <c r="B592" s="208"/>
      <c r="D592" s="209"/>
      <c r="E592" s="209"/>
      <c r="F592" s="209"/>
      <c r="G592" s="209"/>
      <c r="H592" s="209"/>
      <c r="I592" s="209"/>
      <c r="J592" s="209"/>
      <c r="K592" s="209"/>
      <c r="L592" s="209"/>
      <c r="M592" s="209"/>
      <c r="N592" s="210"/>
    </row>
    <row r="593">
      <c r="B593" s="208"/>
      <c r="D593" s="209"/>
      <c r="E593" s="209"/>
      <c r="F593" s="209"/>
      <c r="G593" s="209"/>
      <c r="H593" s="209"/>
      <c r="I593" s="209"/>
      <c r="J593" s="209"/>
      <c r="K593" s="209"/>
      <c r="L593" s="209"/>
      <c r="M593" s="209"/>
      <c r="N593" s="210"/>
    </row>
    <row r="594">
      <c r="B594" s="208"/>
      <c r="D594" s="209"/>
      <c r="E594" s="209"/>
      <c r="F594" s="209"/>
      <c r="G594" s="209"/>
      <c r="H594" s="209"/>
      <c r="I594" s="209"/>
      <c r="J594" s="209"/>
      <c r="K594" s="209"/>
      <c r="L594" s="209"/>
      <c r="M594" s="209"/>
      <c r="N594" s="210"/>
    </row>
    <row r="595">
      <c r="B595" s="208"/>
      <c r="D595" s="209"/>
      <c r="E595" s="209"/>
      <c r="F595" s="209"/>
      <c r="G595" s="209"/>
      <c r="H595" s="209"/>
      <c r="I595" s="209"/>
      <c r="J595" s="209"/>
      <c r="K595" s="209"/>
      <c r="L595" s="209"/>
      <c r="M595" s="209"/>
      <c r="N595" s="210"/>
    </row>
    <row r="596">
      <c r="B596" s="208"/>
      <c r="D596" s="209"/>
      <c r="E596" s="209"/>
      <c r="F596" s="209"/>
      <c r="G596" s="209"/>
      <c r="H596" s="209"/>
      <c r="I596" s="209"/>
      <c r="J596" s="209"/>
      <c r="K596" s="209"/>
      <c r="L596" s="209"/>
      <c r="M596" s="209"/>
      <c r="N596" s="210"/>
    </row>
    <row r="597">
      <c r="B597" s="208"/>
      <c r="D597" s="209"/>
      <c r="E597" s="209"/>
      <c r="F597" s="209"/>
      <c r="G597" s="209"/>
      <c r="H597" s="209"/>
      <c r="I597" s="209"/>
      <c r="J597" s="209"/>
      <c r="K597" s="209"/>
      <c r="L597" s="209"/>
      <c r="M597" s="209"/>
      <c r="N597" s="210"/>
    </row>
    <row r="598">
      <c r="B598" s="208"/>
      <c r="D598" s="209"/>
      <c r="E598" s="209"/>
      <c r="F598" s="209"/>
      <c r="G598" s="209"/>
      <c r="H598" s="209"/>
      <c r="I598" s="209"/>
      <c r="J598" s="209"/>
      <c r="K598" s="209"/>
      <c r="L598" s="209"/>
      <c r="M598" s="209"/>
      <c r="N598" s="210"/>
    </row>
    <row r="599">
      <c r="B599" s="208"/>
      <c r="D599" s="209"/>
      <c r="E599" s="209"/>
      <c r="F599" s="209"/>
      <c r="G599" s="209"/>
      <c r="H599" s="209"/>
      <c r="I599" s="209"/>
      <c r="J599" s="209"/>
      <c r="K599" s="209"/>
      <c r="L599" s="209"/>
      <c r="M599" s="209"/>
      <c r="N599" s="210"/>
    </row>
    <row r="600">
      <c r="B600" s="208"/>
      <c r="D600" s="209"/>
      <c r="E600" s="209"/>
      <c r="F600" s="209"/>
      <c r="G600" s="209"/>
      <c r="H600" s="209"/>
      <c r="I600" s="209"/>
      <c r="J600" s="209"/>
      <c r="K600" s="209"/>
      <c r="L600" s="209"/>
      <c r="M600" s="209"/>
      <c r="N600" s="210"/>
    </row>
    <row r="601">
      <c r="B601" s="208"/>
      <c r="D601" s="209"/>
      <c r="E601" s="209"/>
      <c r="F601" s="209"/>
      <c r="G601" s="209"/>
      <c r="H601" s="209"/>
      <c r="I601" s="209"/>
      <c r="J601" s="209"/>
      <c r="K601" s="209"/>
      <c r="L601" s="209"/>
      <c r="M601" s="209"/>
      <c r="N601" s="210"/>
    </row>
    <row r="602">
      <c r="B602" s="208"/>
      <c r="D602" s="209"/>
      <c r="E602" s="209"/>
      <c r="F602" s="209"/>
      <c r="G602" s="209"/>
      <c r="H602" s="209"/>
      <c r="I602" s="209"/>
      <c r="J602" s="209"/>
      <c r="K602" s="209"/>
      <c r="L602" s="209"/>
      <c r="M602" s="209"/>
      <c r="N602" s="210"/>
    </row>
    <row r="603">
      <c r="B603" s="208"/>
      <c r="D603" s="209"/>
      <c r="E603" s="209"/>
      <c r="F603" s="209"/>
      <c r="G603" s="209"/>
      <c r="H603" s="209"/>
      <c r="I603" s="209"/>
      <c r="J603" s="209"/>
      <c r="K603" s="209"/>
      <c r="L603" s="209"/>
      <c r="M603" s="209"/>
      <c r="N603" s="210"/>
    </row>
    <row r="604">
      <c r="B604" s="208"/>
      <c r="D604" s="209"/>
      <c r="E604" s="209"/>
      <c r="F604" s="209"/>
      <c r="G604" s="209"/>
      <c r="H604" s="209"/>
      <c r="I604" s="209"/>
      <c r="J604" s="209"/>
      <c r="K604" s="209"/>
      <c r="L604" s="209"/>
      <c r="M604" s="209"/>
      <c r="N604" s="210"/>
    </row>
    <row r="605">
      <c r="B605" s="208"/>
      <c r="D605" s="209"/>
      <c r="E605" s="209"/>
      <c r="F605" s="209"/>
      <c r="G605" s="209"/>
      <c r="H605" s="209"/>
      <c r="I605" s="209"/>
      <c r="J605" s="209"/>
      <c r="K605" s="209"/>
      <c r="L605" s="209"/>
      <c r="M605" s="209"/>
      <c r="N605" s="210"/>
    </row>
    <row r="606">
      <c r="B606" s="208"/>
      <c r="D606" s="209"/>
      <c r="E606" s="209"/>
      <c r="F606" s="209"/>
      <c r="G606" s="209"/>
      <c r="H606" s="209"/>
      <c r="I606" s="209"/>
      <c r="J606" s="209"/>
      <c r="K606" s="209"/>
      <c r="L606" s="209"/>
      <c r="M606" s="209"/>
      <c r="N606" s="210"/>
    </row>
    <row r="607">
      <c r="B607" s="208"/>
      <c r="D607" s="209"/>
      <c r="E607" s="209"/>
      <c r="F607" s="209"/>
      <c r="G607" s="209"/>
      <c r="H607" s="209"/>
      <c r="I607" s="209"/>
      <c r="J607" s="209"/>
      <c r="K607" s="209"/>
      <c r="L607" s="209"/>
      <c r="M607" s="209"/>
      <c r="N607" s="210"/>
    </row>
    <row r="608">
      <c r="B608" s="208"/>
      <c r="D608" s="209"/>
      <c r="E608" s="209"/>
      <c r="F608" s="209"/>
      <c r="G608" s="209"/>
      <c r="H608" s="209"/>
      <c r="I608" s="209"/>
      <c r="J608" s="209"/>
      <c r="K608" s="209"/>
      <c r="L608" s="209"/>
      <c r="M608" s="209"/>
      <c r="N608" s="210"/>
    </row>
    <row r="609">
      <c r="B609" s="208"/>
      <c r="D609" s="209"/>
      <c r="E609" s="209"/>
      <c r="F609" s="209"/>
      <c r="G609" s="209"/>
      <c r="H609" s="209"/>
      <c r="I609" s="209"/>
      <c r="J609" s="209"/>
      <c r="K609" s="209"/>
      <c r="L609" s="209"/>
      <c r="M609" s="209"/>
      <c r="N609" s="210"/>
    </row>
    <row r="610">
      <c r="B610" s="208"/>
      <c r="D610" s="209"/>
      <c r="E610" s="209"/>
      <c r="F610" s="209"/>
      <c r="G610" s="209"/>
      <c r="H610" s="209"/>
      <c r="I610" s="209"/>
      <c r="J610" s="209"/>
      <c r="K610" s="209"/>
      <c r="L610" s="209"/>
      <c r="M610" s="209"/>
      <c r="N610" s="210"/>
    </row>
    <row r="611">
      <c r="B611" s="208"/>
      <c r="D611" s="209"/>
      <c r="E611" s="209"/>
      <c r="F611" s="209"/>
      <c r="G611" s="209"/>
      <c r="H611" s="209"/>
      <c r="I611" s="209"/>
      <c r="J611" s="209"/>
      <c r="K611" s="209"/>
      <c r="L611" s="209"/>
      <c r="M611" s="209"/>
      <c r="N611" s="210"/>
    </row>
    <row r="612">
      <c r="B612" s="208"/>
      <c r="D612" s="209"/>
      <c r="E612" s="209"/>
      <c r="F612" s="209"/>
      <c r="G612" s="209"/>
      <c r="H612" s="209"/>
      <c r="I612" s="209"/>
      <c r="J612" s="209"/>
      <c r="K612" s="209"/>
      <c r="L612" s="209"/>
      <c r="M612" s="209"/>
      <c r="N612" s="210"/>
    </row>
    <row r="613">
      <c r="B613" s="208"/>
      <c r="D613" s="209"/>
      <c r="E613" s="209"/>
      <c r="F613" s="209"/>
      <c r="G613" s="209"/>
      <c r="H613" s="209"/>
      <c r="I613" s="209"/>
      <c r="J613" s="209"/>
      <c r="K613" s="209"/>
      <c r="L613" s="209"/>
      <c r="M613" s="209"/>
      <c r="N613" s="210"/>
    </row>
    <row r="614">
      <c r="B614" s="208"/>
      <c r="D614" s="209"/>
      <c r="E614" s="209"/>
      <c r="F614" s="209"/>
      <c r="G614" s="209"/>
      <c r="H614" s="209"/>
      <c r="I614" s="209"/>
      <c r="J614" s="209"/>
      <c r="K614" s="209"/>
      <c r="L614" s="209"/>
      <c r="M614" s="209"/>
      <c r="N614" s="210"/>
    </row>
    <row r="615">
      <c r="B615" s="208"/>
      <c r="D615" s="209"/>
      <c r="E615" s="209"/>
      <c r="F615" s="209"/>
      <c r="G615" s="209"/>
      <c r="H615" s="209"/>
      <c r="I615" s="209"/>
      <c r="J615" s="209"/>
      <c r="K615" s="209"/>
      <c r="L615" s="209"/>
      <c r="M615" s="209"/>
      <c r="N615" s="210"/>
    </row>
    <row r="616">
      <c r="B616" s="208"/>
      <c r="D616" s="209"/>
      <c r="E616" s="209"/>
      <c r="F616" s="209"/>
      <c r="G616" s="209"/>
      <c r="H616" s="209"/>
      <c r="I616" s="209"/>
      <c r="J616" s="209"/>
      <c r="K616" s="209"/>
      <c r="L616" s="209"/>
      <c r="M616" s="209"/>
      <c r="N616" s="210"/>
    </row>
    <row r="617">
      <c r="B617" s="208"/>
      <c r="D617" s="209"/>
      <c r="E617" s="209"/>
      <c r="F617" s="209"/>
      <c r="G617" s="209"/>
      <c r="H617" s="209"/>
      <c r="I617" s="209"/>
      <c r="J617" s="209"/>
      <c r="K617" s="209"/>
      <c r="L617" s="209"/>
      <c r="M617" s="209"/>
      <c r="N617" s="210"/>
    </row>
    <row r="618">
      <c r="B618" s="208"/>
      <c r="D618" s="209"/>
      <c r="E618" s="209"/>
      <c r="F618" s="209"/>
      <c r="G618" s="209"/>
      <c r="H618" s="209"/>
      <c r="I618" s="209"/>
      <c r="J618" s="209"/>
      <c r="K618" s="209"/>
      <c r="L618" s="209"/>
      <c r="M618" s="209"/>
      <c r="N618" s="210"/>
    </row>
    <row r="619">
      <c r="B619" s="208"/>
      <c r="D619" s="209"/>
      <c r="E619" s="209"/>
      <c r="F619" s="209"/>
      <c r="G619" s="209"/>
      <c r="H619" s="209"/>
      <c r="I619" s="209"/>
      <c r="J619" s="209"/>
      <c r="K619" s="209"/>
      <c r="L619" s="209"/>
      <c r="M619" s="209"/>
      <c r="N619" s="210"/>
    </row>
    <row r="620">
      <c r="B620" s="208"/>
      <c r="D620" s="209"/>
      <c r="E620" s="209"/>
      <c r="F620" s="209"/>
      <c r="G620" s="209"/>
      <c r="H620" s="209"/>
      <c r="I620" s="209"/>
      <c r="J620" s="209"/>
      <c r="K620" s="209"/>
      <c r="L620" s="209"/>
      <c r="M620" s="209"/>
      <c r="N620" s="210"/>
    </row>
    <row r="621">
      <c r="B621" s="208"/>
      <c r="D621" s="209"/>
      <c r="E621" s="209"/>
      <c r="F621" s="209"/>
      <c r="G621" s="209"/>
      <c r="H621" s="209"/>
      <c r="I621" s="209"/>
      <c r="J621" s="209"/>
      <c r="K621" s="209"/>
      <c r="L621" s="209"/>
      <c r="M621" s="209"/>
      <c r="N621" s="210"/>
    </row>
    <row r="622">
      <c r="B622" s="208"/>
      <c r="D622" s="209"/>
      <c r="E622" s="209"/>
      <c r="F622" s="209"/>
      <c r="G622" s="209"/>
      <c r="H622" s="209"/>
      <c r="I622" s="209"/>
      <c r="J622" s="209"/>
      <c r="K622" s="209"/>
      <c r="L622" s="209"/>
      <c r="M622" s="209"/>
      <c r="N622" s="210"/>
    </row>
    <row r="623">
      <c r="B623" s="208"/>
      <c r="D623" s="209"/>
      <c r="E623" s="209"/>
      <c r="F623" s="209"/>
      <c r="G623" s="209"/>
      <c r="H623" s="209"/>
      <c r="I623" s="209"/>
      <c r="J623" s="209"/>
      <c r="K623" s="209"/>
      <c r="L623" s="209"/>
      <c r="M623" s="209"/>
      <c r="N623" s="210"/>
    </row>
    <row r="624">
      <c r="B624" s="208"/>
      <c r="D624" s="209"/>
      <c r="E624" s="209"/>
      <c r="F624" s="209"/>
      <c r="G624" s="209"/>
      <c r="H624" s="209"/>
      <c r="I624" s="209"/>
      <c r="J624" s="209"/>
      <c r="K624" s="209"/>
      <c r="L624" s="209"/>
      <c r="M624" s="209"/>
      <c r="N624" s="210"/>
    </row>
    <row r="625">
      <c r="B625" s="208"/>
      <c r="D625" s="209"/>
      <c r="E625" s="209"/>
      <c r="F625" s="209"/>
      <c r="G625" s="209"/>
      <c r="H625" s="209"/>
      <c r="I625" s="209"/>
      <c r="J625" s="209"/>
      <c r="K625" s="209"/>
      <c r="L625" s="209"/>
      <c r="M625" s="209"/>
      <c r="N625" s="210"/>
    </row>
    <row r="626">
      <c r="B626" s="208"/>
      <c r="D626" s="209"/>
      <c r="E626" s="209"/>
      <c r="F626" s="209"/>
      <c r="G626" s="209"/>
      <c r="H626" s="209"/>
      <c r="I626" s="209"/>
      <c r="J626" s="209"/>
      <c r="K626" s="209"/>
      <c r="L626" s="209"/>
      <c r="M626" s="209"/>
      <c r="N626" s="210"/>
    </row>
    <row r="627">
      <c r="B627" s="208"/>
      <c r="D627" s="209"/>
      <c r="E627" s="209"/>
      <c r="F627" s="209"/>
      <c r="G627" s="209"/>
      <c r="H627" s="209"/>
      <c r="I627" s="209"/>
      <c r="J627" s="209"/>
      <c r="K627" s="209"/>
      <c r="L627" s="209"/>
      <c r="M627" s="209"/>
      <c r="N627" s="210"/>
    </row>
    <row r="628">
      <c r="B628" s="208"/>
      <c r="D628" s="209"/>
      <c r="E628" s="209"/>
      <c r="F628" s="209"/>
      <c r="G628" s="209"/>
      <c r="H628" s="209"/>
      <c r="I628" s="209"/>
      <c r="J628" s="209"/>
      <c r="K628" s="209"/>
      <c r="L628" s="209"/>
      <c r="M628" s="209"/>
      <c r="N628" s="210"/>
    </row>
    <row r="629">
      <c r="B629" s="208"/>
      <c r="D629" s="209"/>
      <c r="E629" s="209"/>
      <c r="F629" s="209"/>
      <c r="G629" s="209"/>
      <c r="H629" s="209"/>
      <c r="I629" s="209"/>
      <c r="J629" s="209"/>
      <c r="K629" s="209"/>
      <c r="L629" s="209"/>
      <c r="M629" s="209"/>
      <c r="N629" s="210"/>
    </row>
    <row r="630">
      <c r="B630" s="208"/>
      <c r="D630" s="209"/>
      <c r="E630" s="209"/>
      <c r="F630" s="209"/>
      <c r="G630" s="209"/>
      <c r="H630" s="209"/>
      <c r="I630" s="209"/>
      <c r="J630" s="209"/>
      <c r="K630" s="209"/>
      <c r="L630" s="209"/>
      <c r="M630" s="209"/>
      <c r="N630" s="210"/>
    </row>
    <row r="631">
      <c r="B631" s="208"/>
      <c r="D631" s="209"/>
      <c r="E631" s="209"/>
      <c r="F631" s="209"/>
      <c r="G631" s="209"/>
      <c r="H631" s="209"/>
      <c r="I631" s="209"/>
      <c r="J631" s="209"/>
      <c r="K631" s="209"/>
      <c r="L631" s="209"/>
      <c r="M631" s="209"/>
      <c r="N631" s="210"/>
    </row>
    <row r="632">
      <c r="B632" s="208"/>
      <c r="D632" s="209"/>
      <c r="E632" s="209"/>
      <c r="F632" s="209"/>
      <c r="G632" s="209"/>
      <c r="H632" s="209"/>
      <c r="I632" s="209"/>
      <c r="J632" s="209"/>
      <c r="K632" s="209"/>
      <c r="L632" s="209"/>
      <c r="M632" s="209"/>
      <c r="N632" s="210"/>
    </row>
    <row r="633">
      <c r="B633" s="208"/>
      <c r="D633" s="209"/>
      <c r="E633" s="209"/>
      <c r="F633" s="209"/>
      <c r="G633" s="209"/>
      <c r="H633" s="209"/>
      <c r="I633" s="209"/>
      <c r="J633" s="209"/>
      <c r="K633" s="209"/>
      <c r="L633" s="209"/>
      <c r="M633" s="209"/>
      <c r="N633" s="210"/>
    </row>
    <row r="634">
      <c r="B634" s="208"/>
      <c r="D634" s="209"/>
      <c r="E634" s="209"/>
      <c r="F634" s="209"/>
      <c r="G634" s="209"/>
      <c r="H634" s="209"/>
      <c r="I634" s="209"/>
      <c r="J634" s="209"/>
      <c r="K634" s="209"/>
      <c r="L634" s="209"/>
      <c r="M634" s="209"/>
      <c r="N634" s="210"/>
    </row>
    <row r="635">
      <c r="B635" s="208"/>
      <c r="D635" s="209"/>
      <c r="E635" s="209"/>
      <c r="F635" s="209"/>
      <c r="G635" s="209"/>
      <c r="H635" s="209"/>
      <c r="I635" s="209"/>
      <c r="J635" s="209"/>
      <c r="K635" s="209"/>
      <c r="L635" s="209"/>
      <c r="M635" s="209"/>
      <c r="N635" s="210"/>
    </row>
    <row r="636">
      <c r="B636" s="208"/>
      <c r="D636" s="209"/>
      <c r="E636" s="209"/>
      <c r="F636" s="209"/>
      <c r="G636" s="209"/>
      <c r="H636" s="209"/>
      <c r="I636" s="209"/>
      <c r="J636" s="209"/>
      <c r="K636" s="209"/>
      <c r="L636" s="209"/>
      <c r="M636" s="209"/>
      <c r="N636" s="210"/>
    </row>
    <row r="637">
      <c r="B637" s="208"/>
      <c r="D637" s="209"/>
      <c r="E637" s="209"/>
      <c r="F637" s="209"/>
      <c r="G637" s="209"/>
      <c r="H637" s="209"/>
      <c r="I637" s="209"/>
      <c r="J637" s="209"/>
      <c r="K637" s="209"/>
      <c r="L637" s="209"/>
      <c r="M637" s="209"/>
      <c r="N637" s="210"/>
    </row>
    <row r="638">
      <c r="B638" s="208"/>
      <c r="D638" s="209"/>
      <c r="E638" s="209"/>
      <c r="F638" s="209"/>
      <c r="G638" s="209"/>
      <c r="H638" s="209"/>
      <c r="I638" s="209"/>
      <c r="J638" s="209"/>
      <c r="K638" s="209"/>
      <c r="L638" s="209"/>
      <c r="M638" s="209"/>
      <c r="N638" s="210"/>
    </row>
    <row r="639">
      <c r="B639" s="208"/>
      <c r="D639" s="209"/>
      <c r="E639" s="209"/>
      <c r="F639" s="209"/>
      <c r="G639" s="209"/>
      <c r="H639" s="209"/>
      <c r="I639" s="209"/>
      <c r="J639" s="209"/>
      <c r="K639" s="209"/>
      <c r="L639" s="209"/>
      <c r="M639" s="209"/>
      <c r="N639" s="210"/>
    </row>
    <row r="640">
      <c r="B640" s="208"/>
      <c r="D640" s="209"/>
      <c r="E640" s="209"/>
      <c r="F640" s="209"/>
      <c r="G640" s="209"/>
      <c r="H640" s="209"/>
      <c r="I640" s="209"/>
      <c r="J640" s="209"/>
      <c r="K640" s="209"/>
      <c r="L640" s="209"/>
      <c r="M640" s="209"/>
      <c r="N640" s="210"/>
    </row>
    <row r="641">
      <c r="B641" s="208"/>
      <c r="D641" s="209"/>
      <c r="E641" s="209"/>
      <c r="F641" s="209"/>
      <c r="G641" s="209"/>
      <c r="H641" s="209"/>
      <c r="I641" s="209"/>
      <c r="J641" s="209"/>
      <c r="K641" s="209"/>
      <c r="L641" s="209"/>
      <c r="M641" s="209"/>
      <c r="N641" s="210"/>
    </row>
    <row r="642">
      <c r="B642" s="208"/>
      <c r="D642" s="209"/>
      <c r="E642" s="209"/>
      <c r="F642" s="209"/>
      <c r="G642" s="209"/>
      <c r="H642" s="209"/>
      <c r="I642" s="209"/>
      <c r="J642" s="209"/>
      <c r="K642" s="209"/>
      <c r="L642" s="209"/>
      <c r="M642" s="209"/>
      <c r="N642" s="210"/>
    </row>
    <row r="643">
      <c r="B643" s="208"/>
      <c r="D643" s="209"/>
      <c r="E643" s="209"/>
      <c r="F643" s="209"/>
      <c r="G643" s="209"/>
      <c r="H643" s="209"/>
      <c r="I643" s="209"/>
      <c r="J643" s="209"/>
      <c r="K643" s="209"/>
      <c r="L643" s="209"/>
      <c r="M643" s="209"/>
      <c r="N643" s="210"/>
    </row>
    <row r="644">
      <c r="B644" s="208"/>
      <c r="D644" s="209"/>
      <c r="E644" s="209"/>
      <c r="F644" s="209"/>
      <c r="G644" s="209"/>
      <c r="H644" s="209"/>
      <c r="I644" s="209"/>
      <c r="J644" s="209"/>
      <c r="K644" s="209"/>
      <c r="L644" s="209"/>
      <c r="M644" s="209"/>
      <c r="N644" s="210"/>
    </row>
    <row r="645">
      <c r="B645" s="208"/>
      <c r="D645" s="209"/>
      <c r="E645" s="209"/>
      <c r="F645" s="209"/>
      <c r="G645" s="209"/>
      <c r="H645" s="209"/>
      <c r="I645" s="209"/>
      <c r="J645" s="209"/>
      <c r="K645" s="209"/>
      <c r="L645" s="209"/>
      <c r="M645" s="209"/>
      <c r="N645" s="210"/>
    </row>
    <row r="646">
      <c r="B646" s="208"/>
      <c r="D646" s="209"/>
      <c r="E646" s="209"/>
      <c r="F646" s="209"/>
      <c r="G646" s="209"/>
      <c r="H646" s="209"/>
      <c r="I646" s="209"/>
      <c r="J646" s="209"/>
      <c r="K646" s="209"/>
      <c r="L646" s="209"/>
      <c r="M646" s="209"/>
      <c r="N646" s="210"/>
    </row>
    <row r="647">
      <c r="B647" s="208"/>
      <c r="D647" s="209"/>
      <c r="E647" s="209"/>
      <c r="F647" s="209"/>
      <c r="G647" s="209"/>
      <c r="H647" s="209"/>
      <c r="I647" s="209"/>
      <c r="J647" s="209"/>
      <c r="K647" s="209"/>
      <c r="L647" s="209"/>
      <c r="M647" s="209"/>
      <c r="N647" s="210"/>
    </row>
    <row r="648">
      <c r="B648" s="208"/>
      <c r="D648" s="209"/>
      <c r="E648" s="209"/>
      <c r="F648" s="209"/>
      <c r="G648" s="209"/>
      <c r="H648" s="209"/>
      <c r="I648" s="209"/>
      <c r="J648" s="209"/>
      <c r="K648" s="209"/>
      <c r="L648" s="209"/>
      <c r="M648" s="209"/>
      <c r="N648" s="210"/>
    </row>
    <row r="649">
      <c r="B649" s="208"/>
      <c r="D649" s="209"/>
      <c r="E649" s="209"/>
      <c r="F649" s="209"/>
      <c r="G649" s="209"/>
      <c r="H649" s="209"/>
      <c r="I649" s="209"/>
      <c r="J649" s="209"/>
      <c r="K649" s="209"/>
      <c r="L649" s="209"/>
      <c r="M649" s="209"/>
      <c r="N649" s="210"/>
    </row>
    <row r="650">
      <c r="B650" s="208"/>
      <c r="D650" s="209"/>
      <c r="E650" s="209"/>
      <c r="F650" s="209"/>
      <c r="G650" s="209"/>
      <c r="H650" s="209"/>
      <c r="I650" s="209"/>
      <c r="J650" s="209"/>
      <c r="K650" s="209"/>
      <c r="L650" s="209"/>
      <c r="M650" s="209"/>
      <c r="N650" s="210"/>
    </row>
    <row r="651">
      <c r="B651" s="208"/>
      <c r="D651" s="209"/>
      <c r="E651" s="209"/>
      <c r="F651" s="209"/>
      <c r="G651" s="209"/>
      <c r="H651" s="209"/>
      <c r="I651" s="209"/>
      <c r="J651" s="209"/>
      <c r="K651" s="209"/>
      <c r="L651" s="209"/>
      <c r="M651" s="209"/>
      <c r="N651" s="210"/>
    </row>
    <row r="652">
      <c r="B652" s="208"/>
      <c r="D652" s="209"/>
      <c r="E652" s="209"/>
      <c r="F652" s="209"/>
      <c r="G652" s="209"/>
      <c r="H652" s="209"/>
      <c r="I652" s="209"/>
      <c r="J652" s="209"/>
      <c r="K652" s="209"/>
      <c r="L652" s="209"/>
      <c r="M652" s="209"/>
      <c r="N652" s="210"/>
    </row>
    <row r="653">
      <c r="B653" s="208"/>
      <c r="D653" s="209"/>
      <c r="E653" s="209"/>
      <c r="F653" s="209"/>
      <c r="G653" s="209"/>
      <c r="H653" s="209"/>
      <c r="I653" s="209"/>
      <c r="J653" s="209"/>
      <c r="K653" s="209"/>
      <c r="L653" s="209"/>
      <c r="M653" s="209"/>
      <c r="N653" s="210"/>
    </row>
    <row r="654">
      <c r="B654" s="208"/>
      <c r="D654" s="209"/>
      <c r="E654" s="209"/>
      <c r="F654" s="209"/>
      <c r="G654" s="209"/>
      <c r="H654" s="209"/>
      <c r="I654" s="209"/>
      <c r="J654" s="209"/>
      <c r="K654" s="209"/>
      <c r="L654" s="209"/>
      <c r="M654" s="209"/>
      <c r="N654" s="210"/>
    </row>
    <row r="655">
      <c r="B655" s="208"/>
      <c r="D655" s="209"/>
      <c r="E655" s="209"/>
      <c r="F655" s="209"/>
      <c r="G655" s="209"/>
      <c r="H655" s="209"/>
      <c r="I655" s="209"/>
      <c r="J655" s="209"/>
      <c r="K655" s="209"/>
      <c r="L655" s="209"/>
      <c r="M655" s="209"/>
      <c r="N655" s="210"/>
    </row>
    <row r="656">
      <c r="B656" s="208"/>
      <c r="D656" s="209"/>
      <c r="E656" s="209"/>
      <c r="F656" s="209"/>
      <c r="G656" s="209"/>
      <c r="H656" s="209"/>
      <c r="I656" s="209"/>
      <c r="J656" s="209"/>
      <c r="K656" s="209"/>
      <c r="L656" s="209"/>
      <c r="M656" s="209"/>
      <c r="N656" s="210"/>
    </row>
    <row r="657">
      <c r="B657" s="208"/>
      <c r="D657" s="209"/>
      <c r="E657" s="209"/>
      <c r="F657" s="209"/>
      <c r="G657" s="209"/>
      <c r="H657" s="209"/>
      <c r="I657" s="209"/>
      <c r="J657" s="209"/>
      <c r="K657" s="209"/>
      <c r="L657" s="209"/>
      <c r="M657" s="209"/>
      <c r="N657" s="210"/>
    </row>
    <row r="658">
      <c r="B658" s="208"/>
      <c r="D658" s="209"/>
      <c r="E658" s="209"/>
      <c r="F658" s="209"/>
      <c r="G658" s="209"/>
      <c r="H658" s="209"/>
      <c r="I658" s="209"/>
      <c r="J658" s="209"/>
      <c r="K658" s="209"/>
      <c r="L658" s="209"/>
      <c r="M658" s="209"/>
      <c r="N658" s="210"/>
    </row>
    <row r="659">
      <c r="B659" s="208"/>
      <c r="D659" s="209"/>
      <c r="E659" s="209"/>
      <c r="F659" s="209"/>
      <c r="G659" s="209"/>
      <c r="H659" s="209"/>
      <c r="I659" s="209"/>
      <c r="J659" s="209"/>
      <c r="K659" s="209"/>
      <c r="L659" s="209"/>
      <c r="M659" s="209"/>
      <c r="N659" s="210"/>
    </row>
    <row r="660">
      <c r="B660" s="208"/>
      <c r="D660" s="209"/>
      <c r="E660" s="209"/>
      <c r="F660" s="209"/>
      <c r="G660" s="209"/>
      <c r="H660" s="209"/>
      <c r="I660" s="209"/>
      <c r="J660" s="209"/>
      <c r="K660" s="209"/>
      <c r="L660" s="209"/>
      <c r="M660" s="209"/>
      <c r="N660" s="210"/>
    </row>
    <row r="661">
      <c r="B661" s="208"/>
      <c r="D661" s="209"/>
      <c r="E661" s="209"/>
      <c r="F661" s="209"/>
      <c r="G661" s="209"/>
      <c r="H661" s="209"/>
      <c r="I661" s="209"/>
      <c r="J661" s="209"/>
      <c r="K661" s="209"/>
      <c r="L661" s="209"/>
      <c r="M661" s="209"/>
      <c r="N661" s="210"/>
    </row>
    <row r="662">
      <c r="B662" s="208"/>
      <c r="D662" s="209"/>
      <c r="E662" s="209"/>
      <c r="F662" s="209"/>
      <c r="G662" s="209"/>
      <c r="H662" s="209"/>
      <c r="I662" s="209"/>
      <c r="J662" s="209"/>
      <c r="K662" s="209"/>
      <c r="L662" s="209"/>
      <c r="M662" s="209"/>
      <c r="N662" s="210"/>
    </row>
    <row r="663">
      <c r="B663" s="208"/>
      <c r="D663" s="209"/>
      <c r="E663" s="209"/>
      <c r="F663" s="209"/>
      <c r="G663" s="209"/>
      <c r="H663" s="209"/>
      <c r="I663" s="209"/>
      <c r="J663" s="209"/>
      <c r="K663" s="209"/>
      <c r="L663" s="209"/>
      <c r="M663" s="209"/>
      <c r="N663" s="210"/>
    </row>
    <row r="664">
      <c r="B664" s="208"/>
      <c r="D664" s="209"/>
      <c r="E664" s="209"/>
      <c r="F664" s="209"/>
      <c r="G664" s="209"/>
      <c r="H664" s="209"/>
      <c r="I664" s="209"/>
      <c r="J664" s="209"/>
      <c r="K664" s="209"/>
      <c r="L664" s="209"/>
      <c r="M664" s="209"/>
      <c r="N664" s="210"/>
    </row>
    <row r="665">
      <c r="B665" s="208"/>
      <c r="D665" s="209"/>
      <c r="E665" s="209"/>
      <c r="F665" s="209"/>
      <c r="G665" s="209"/>
      <c r="H665" s="209"/>
      <c r="I665" s="209"/>
      <c r="J665" s="209"/>
      <c r="K665" s="209"/>
      <c r="L665" s="209"/>
      <c r="M665" s="209"/>
      <c r="N665" s="210"/>
    </row>
    <row r="666">
      <c r="B666" s="208"/>
      <c r="D666" s="209"/>
      <c r="E666" s="209"/>
      <c r="F666" s="209"/>
      <c r="G666" s="209"/>
      <c r="H666" s="209"/>
      <c r="I666" s="209"/>
      <c r="J666" s="209"/>
      <c r="K666" s="209"/>
      <c r="L666" s="209"/>
      <c r="M666" s="209"/>
      <c r="N666" s="210"/>
    </row>
    <row r="667">
      <c r="B667" s="208"/>
      <c r="D667" s="209"/>
      <c r="E667" s="209"/>
      <c r="F667" s="209"/>
      <c r="G667" s="209"/>
      <c r="H667" s="209"/>
      <c r="I667" s="209"/>
      <c r="J667" s="209"/>
      <c r="K667" s="209"/>
      <c r="L667" s="209"/>
      <c r="M667" s="209"/>
      <c r="N667" s="210"/>
    </row>
    <row r="668">
      <c r="B668" s="208"/>
      <c r="D668" s="209"/>
      <c r="E668" s="209"/>
      <c r="F668" s="209"/>
      <c r="G668" s="209"/>
      <c r="H668" s="209"/>
      <c r="I668" s="209"/>
      <c r="J668" s="209"/>
      <c r="K668" s="209"/>
      <c r="L668" s="209"/>
      <c r="M668" s="209"/>
      <c r="N668" s="210"/>
    </row>
    <row r="669">
      <c r="B669" s="208"/>
      <c r="D669" s="209"/>
      <c r="E669" s="209"/>
      <c r="F669" s="209"/>
      <c r="G669" s="209"/>
      <c r="H669" s="209"/>
      <c r="I669" s="209"/>
      <c r="J669" s="209"/>
      <c r="K669" s="209"/>
      <c r="L669" s="209"/>
      <c r="M669" s="209"/>
      <c r="N669" s="210"/>
    </row>
    <row r="670">
      <c r="B670" s="208"/>
      <c r="D670" s="209"/>
      <c r="E670" s="209"/>
      <c r="F670" s="209"/>
      <c r="G670" s="209"/>
      <c r="H670" s="209"/>
      <c r="I670" s="209"/>
      <c r="J670" s="209"/>
      <c r="K670" s="209"/>
      <c r="L670" s="209"/>
      <c r="M670" s="209"/>
      <c r="N670" s="210"/>
    </row>
    <row r="671">
      <c r="B671" s="208"/>
      <c r="D671" s="209"/>
      <c r="E671" s="209"/>
      <c r="F671" s="209"/>
      <c r="G671" s="209"/>
      <c r="H671" s="209"/>
      <c r="I671" s="209"/>
      <c r="J671" s="209"/>
      <c r="K671" s="209"/>
      <c r="L671" s="209"/>
      <c r="M671" s="209"/>
      <c r="N671" s="210"/>
    </row>
    <row r="672">
      <c r="B672" s="208"/>
      <c r="D672" s="209"/>
      <c r="E672" s="209"/>
      <c r="F672" s="209"/>
      <c r="G672" s="209"/>
      <c r="H672" s="209"/>
      <c r="I672" s="209"/>
      <c r="J672" s="209"/>
      <c r="K672" s="209"/>
      <c r="L672" s="209"/>
      <c r="M672" s="209"/>
      <c r="N672" s="210"/>
    </row>
    <row r="673">
      <c r="B673" s="208"/>
      <c r="D673" s="209"/>
      <c r="E673" s="209"/>
      <c r="F673" s="209"/>
      <c r="G673" s="209"/>
      <c r="H673" s="209"/>
      <c r="I673" s="209"/>
      <c r="J673" s="209"/>
      <c r="K673" s="209"/>
      <c r="L673" s="209"/>
      <c r="M673" s="209"/>
      <c r="N673" s="210"/>
    </row>
    <row r="674">
      <c r="B674" s="208"/>
      <c r="D674" s="209"/>
      <c r="E674" s="209"/>
      <c r="F674" s="209"/>
      <c r="G674" s="209"/>
      <c r="H674" s="209"/>
      <c r="I674" s="209"/>
      <c r="J674" s="209"/>
      <c r="K674" s="209"/>
      <c r="L674" s="209"/>
      <c r="M674" s="209"/>
      <c r="N674" s="210"/>
    </row>
    <row r="675">
      <c r="B675" s="208"/>
      <c r="D675" s="209"/>
      <c r="E675" s="209"/>
      <c r="F675" s="209"/>
      <c r="G675" s="209"/>
      <c r="H675" s="209"/>
      <c r="I675" s="209"/>
      <c r="J675" s="209"/>
      <c r="K675" s="209"/>
      <c r="L675" s="209"/>
      <c r="M675" s="209"/>
      <c r="N675" s="210"/>
    </row>
    <row r="676">
      <c r="B676" s="208"/>
      <c r="D676" s="209"/>
      <c r="E676" s="209"/>
      <c r="F676" s="209"/>
      <c r="G676" s="209"/>
      <c r="H676" s="209"/>
      <c r="I676" s="209"/>
      <c r="J676" s="209"/>
      <c r="K676" s="209"/>
      <c r="L676" s="209"/>
      <c r="M676" s="209"/>
      <c r="N676" s="210"/>
    </row>
    <row r="677">
      <c r="B677" s="208"/>
      <c r="D677" s="209"/>
      <c r="E677" s="209"/>
      <c r="F677" s="209"/>
      <c r="G677" s="209"/>
      <c r="H677" s="209"/>
      <c r="I677" s="209"/>
      <c r="J677" s="209"/>
      <c r="K677" s="209"/>
      <c r="L677" s="209"/>
      <c r="M677" s="209"/>
      <c r="N677" s="210"/>
    </row>
    <row r="678">
      <c r="B678" s="208"/>
      <c r="D678" s="209"/>
      <c r="E678" s="209"/>
      <c r="F678" s="209"/>
      <c r="G678" s="209"/>
      <c r="H678" s="209"/>
      <c r="I678" s="209"/>
      <c r="J678" s="209"/>
      <c r="K678" s="209"/>
      <c r="L678" s="209"/>
      <c r="M678" s="209"/>
      <c r="N678" s="210"/>
    </row>
    <row r="679">
      <c r="B679" s="208"/>
      <c r="D679" s="209"/>
      <c r="E679" s="209"/>
      <c r="F679" s="209"/>
      <c r="G679" s="209"/>
      <c r="H679" s="209"/>
      <c r="I679" s="209"/>
      <c r="J679" s="209"/>
      <c r="K679" s="209"/>
      <c r="L679" s="209"/>
      <c r="M679" s="209"/>
      <c r="N679" s="210"/>
    </row>
    <row r="680">
      <c r="B680" s="208"/>
      <c r="D680" s="209"/>
      <c r="E680" s="209"/>
      <c r="F680" s="209"/>
      <c r="G680" s="209"/>
      <c r="H680" s="209"/>
      <c r="I680" s="209"/>
      <c r="J680" s="209"/>
      <c r="K680" s="209"/>
      <c r="L680" s="209"/>
      <c r="M680" s="209"/>
      <c r="N680" s="210"/>
    </row>
    <row r="681">
      <c r="B681" s="208"/>
      <c r="D681" s="209"/>
      <c r="E681" s="209"/>
      <c r="F681" s="209"/>
      <c r="G681" s="209"/>
      <c r="H681" s="209"/>
      <c r="I681" s="209"/>
      <c r="J681" s="209"/>
      <c r="K681" s="209"/>
      <c r="L681" s="209"/>
      <c r="M681" s="209"/>
      <c r="N681" s="210"/>
    </row>
    <row r="682">
      <c r="B682" s="208"/>
      <c r="D682" s="209"/>
      <c r="E682" s="209"/>
      <c r="F682" s="209"/>
      <c r="G682" s="209"/>
      <c r="H682" s="209"/>
      <c r="I682" s="209"/>
      <c r="J682" s="209"/>
      <c r="K682" s="209"/>
      <c r="L682" s="209"/>
      <c r="M682" s="209"/>
      <c r="N682" s="210"/>
    </row>
    <row r="683">
      <c r="B683" s="208"/>
      <c r="D683" s="209"/>
      <c r="E683" s="209"/>
      <c r="F683" s="209"/>
      <c r="G683" s="209"/>
      <c r="H683" s="209"/>
      <c r="I683" s="209"/>
      <c r="J683" s="209"/>
      <c r="K683" s="209"/>
      <c r="L683" s="209"/>
      <c r="M683" s="209"/>
      <c r="N683" s="210"/>
    </row>
    <row r="684">
      <c r="B684" s="208"/>
      <c r="D684" s="209"/>
      <c r="E684" s="209"/>
      <c r="F684" s="209"/>
      <c r="G684" s="209"/>
      <c r="H684" s="209"/>
      <c r="I684" s="209"/>
      <c r="J684" s="209"/>
      <c r="K684" s="209"/>
      <c r="L684" s="209"/>
      <c r="M684" s="209"/>
      <c r="N684" s="210"/>
    </row>
    <row r="685">
      <c r="B685" s="208"/>
      <c r="D685" s="209"/>
      <c r="E685" s="209"/>
      <c r="F685" s="209"/>
      <c r="G685" s="209"/>
      <c r="H685" s="209"/>
      <c r="I685" s="209"/>
      <c r="J685" s="209"/>
      <c r="K685" s="209"/>
      <c r="L685" s="209"/>
      <c r="M685" s="209"/>
      <c r="N685" s="210"/>
    </row>
    <row r="686">
      <c r="B686" s="208"/>
      <c r="D686" s="209"/>
      <c r="E686" s="209"/>
      <c r="F686" s="209"/>
      <c r="G686" s="209"/>
      <c r="H686" s="209"/>
      <c r="I686" s="209"/>
      <c r="J686" s="209"/>
      <c r="K686" s="209"/>
      <c r="L686" s="209"/>
      <c r="M686" s="209"/>
      <c r="N686" s="210"/>
    </row>
    <row r="687">
      <c r="B687" s="208"/>
      <c r="D687" s="209"/>
      <c r="E687" s="209"/>
      <c r="F687" s="209"/>
      <c r="G687" s="209"/>
      <c r="H687" s="209"/>
      <c r="I687" s="209"/>
      <c r="J687" s="209"/>
      <c r="K687" s="209"/>
      <c r="L687" s="209"/>
      <c r="M687" s="209"/>
      <c r="N687" s="210"/>
    </row>
    <row r="688">
      <c r="B688" s="208"/>
      <c r="D688" s="209"/>
      <c r="E688" s="209"/>
      <c r="F688" s="209"/>
      <c r="G688" s="209"/>
      <c r="H688" s="209"/>
      <c r="I688" s="209"/>
      <c r="J688" s="209"/>
      <c r="K688" s="209"/>
      <c r="L688" s="209"/>
      <c r="M688" s="209"/>
      <c r="N688" s="210"/>
    </row>
    <row r="689">
      <c r="B689" s="208"/>
      <c r="D689" s="209"/>
      <c r="E689" s="209"/>
      <c r="F689" s="209"/>
      <c r="G689" s="209"/>
      <c r="H689" s="209"/>
      <c r="I689" s="209"/>
      <c r="J689" s="209"/>
      <c r="K689" s="209"/>
      <c r="L689" s="209"/>
      <c r="M689" s="209"/>
      <c r="N689" s="210"/>
    </row>
    <row r="690">
      <c r="B690" s="208"/>
      <c r="D690" s="209"/>
      <c r="E690" s="209"/>
      <c r="F690" s="209"/>
      <c r="G690" s="209"/>
      <c r="H690" s="209"/>
      <c r="I690" s="209"/>
      <c r="J690" s="209"/>
      <c r="K690" s="209"/>
      <c r="L690" s="209"/>
      <c r="M690" s="209"/>
      <c r="N690" s="210"/>
    </row>
    <row r="691">
      <c r="B691" s="208"/>
      <c r="D691" s="209"/>
      <c r="E691" s="209"/>
      <c r="F691" s="209"/>
      <c r="G691" s="209"/>
      <c r="H691" s="209"/>
      <c r="I691" s="209"/>
      <c r="J691" s="209"/>
      <c r="K691" s="209"/>
      <c r="L691" s="209"/>
      <c r="M691" s="209"/>
      <c r="N691" s="210"/>
    </row>
    <row r="692">
      <c r="B692" s="208"/>
      <c r="D692" s="209"/>
      <c r="E692" s="209"/>
      <c r="F692" s="209"/>
      <c r="G692" s="209"/>
      <c r="H692" s="209"/>
      <c r="I692" s="209"/>
      <c r="J692" s="209"/>
      <c r="K692" s="209"/>
      <c r="L692" s="209"/>
      <c r="M692" s="209"/>
      <c r="N692" s="210"/>
    </row>
    <row r="693">
      <c r="B693" s="208"/>
      <c r="D693" s="209"/>
      <c r="E693" s="209"/>
      <c r="F693" s="209"/>
      <c r="G693" s="209"/>
      <c r="H693" s="209"/>
      <c r="I693" s="209"/>
      <c r="J693" s="209"/>
      <c r="K693" s="209"/>
      <c r="L693" s="209"/>
      <c r="M693" s="209"/>
      <c r="N693" s="210"/>
    </row>
    <row r="694">
      <c r="B694" s="208"/>
      <c r="D694" s="209"/>
      <c r="E694" s="209"/>
      <c r="F694" s="209"/>
      <c r="G694" s="209"/>
      <c r="H694" s="209"/>
      <c r="I694" s="209"/>
      <c r="J694" s="209"/>
      <c r="K694" s="209"/>
      <c r="L694" s="209"/>
      <c r="M694" s="209"/>
      <c r="N694" s="210"/>
    </row>
    <row r="695">
      <c r="B695" s="208"/>
      <c r="D695" s="209"/>
      <c r="E695" s="209"/>
      <c r="F695" s="209"/>
      <c r="G695" s="209"/>
      <c r="H695" s="209"/>
      <c r="I695" s="209"/>
      <c r="J695" s="209"/>
      <c r="K695" s="209"/>
      <c r="L695" s="209"/>
      <c r="M695" s="209"/>
      <c r="N695" s="210"/>
    </row>
    <row r="696">
      <c r="B696" s="208"/>
      <c r="D696" s="209"/>
      <c r="E696" s="209"/>
      <c r="F696" s="209"/>
      <c r="G696" s="209"/>
      <c r="H696" s="209"/>
      <c r="I696" s="209"/>
      <c r="J696" s="209"/>
      <c r="K696" s="209"/>
      <c r="L696" s="209"/>
      <c r="M696" s="209"/>
      <c r="N696" s="210"/>
    </row>
    <row r="697">
      <c r="B697" s="208"/>
      <c r="D697" s="209"/>
      <c r="E697" s="209"/>
      <c r="F697" s="209"/>
      <c r="G697" s="209"/>
      <c r="H697" s="209"/>
      <c r="I697" s="209"/>
      <c r="J697" s="209"/>
      <c r="K697" s="209"/>
      <c r="L697" s="209"/>
      <c r="M697" s="209"/>
      <c r="N697" s="210"/>
    </row>
    <row r="698">
      <c r="B698" s="208"/>
      <c r="D698" s="209"/>
      <c r="E698" s="209"/>
      <c r="F698" s="209"/>
      <c r="G698" s="209"/>
      <c r="H698" s="209"/>
      <c r="I698" s="209"/>
      <c r="J698" s="209"/>
      <c r="K698" s="209"/>
      <c r="L698" s="209"/>
      <c r="M698" s="209"/>
      <c r="N698" s="210"/>
    </row>
    <row r="699">
      <c r="B699" s="208"/>
      <c r="D699" s="209"/>
      <c r="E699" s="209"/>
      <c r="F699" s="209"/>
      <c r="G699" s="209"/>
      <c r="H699" s="209"/>
      <c r="I699" s="209"/>
      <c r="J699" s="209"/>
      <c r="K699" s="209"/>
      <c r="L699" s="209"/>
      <c r="M699" s="209"/>
      <c r="N699" s="210"/>
    </row>
    <row r="700">
      <c r="B700" s="208"/>
      <c r="D700" s="209"/>
      <c r="E700" s="209"/>
      <c r="F700" s="209"/>
      <c r="G700" s="209"/>
      <c r="H700" s="209"/>
      <c r="I700" s="209"/>
      <c r="J700" s="209"/>
      <c r="K700" s="209"/>
      <c r="L700" s="209"/>
      <c r="M700" s="209"/>
      <c r="N700" s="210"/>
    </row>
    <row r="701">
      <c r="B701" s="208"/>
      <c r="D701" s="209"/>
      <c r="E701" s="209"/>
      <c r="F701" s="209"/>
      <c r="G701" s="209"/>
      <c r="H701" s="209"/>
      <c r="I701" s="209"/>
      <c r="J701" s="209"/>
      <c r="K701" s="209"/>
      <c r="L701" s="209"/>
      <c r="M701" s="209"/>
      <c r="N701" s="210"/>
    </row>
    <row r="702">
      <c r="B702" s="208"/>
      <c r="D702" s="209"/>
      <c r="E702" s="209"/>
      <c r="F702" s="209"/>
      <c r="G702" s="209"/>
      <c r="H702" s="209"/>
      <c r="I702" s="209"/>
      <c r="J702" s="209"/>
      <c r="K702" s="209"/>
      <c r="L702" s="209"/>
      <c r="M702" s="209"/>
      <c r="N702" s="210"/>
    </row>
    <row r="703">
      <c r="B703" s="208"/>
      <c r="D703" s="209"/>
      <c r="E703" s="209"/>
      <c r="F703" s="209"/>
      <c r="G703" s="209"/>
      <c r="H703" s="209"/>
      <c r="I703" s="209"/>
      <c r="J703" s="209"/>
      <c r="K703" s="209"/>
      <c r="L703" s="209"/>
      <c r="M703" s="209"/>
      <c r="N703" s="210"/>
    </row>
    <row r="704">
      <c r="B704" s="208"/>
      <c r="D704" s="209"/>
      <c r="E704" s="209"/>
      <c r="F704" s="209"/>
      <c r="G704" s="209"/>
      <c r="H704" s="209"/>
      <c r="I704" s="209"/>
      <c r="J704" s="209"/>
      <c r="K704" s="209"/>
      <c r="L704" s="209"/>
      <c r="M704" s="209"/>
      <c r="N704" s="210"/>
    </row>
    <row r="705">
      <c r="B705" s="208"/>
      <c r="D705" s="209"/>
      <c r="E705" s="209"/>
      <c r="F705" s="209"/>
      <c r="G705" s="209"/>
      <c r="H705" s="209"/>
      <c r="I705" s="209"/>
      <c r="J705" s="209"/>
      <c r="K705" s="209"/>
      <c r="L705" s="209"/>
      <c r="M705" s="209"/>
      <c r="N705" s="210"/>
    </row>
    <row r="706">
      <c r="B706" s="208"/>
      <c r="D706" s="209"/>
      <c r="E706" s="209"/>
      <c r="F706" s="209"/>
      <c r="G706" s="209"/>
      <c r="H706" s="209"/>
      <c r="I706" s="209"/>
      <c r="J706" s="209"/>
      <c r="K706" s="209"/>
      <c r="L706" s="209"/>
      <c r="M706" s="209"/>
      <c r="N706" s="210"/>
    </row>
    <row r="707">
      <c r="B707" s="208"/>
      <c r="D707" s="209"/>
      <c r="E707" s="209"/>
      <c r="F707" s="209"/>
      <c r="G707" s="209"/>
      <c r="H707" s="209"/>
      <c r="I707" s="209"/>
      <c r="J707" s="209"/>
      <c r="K707" s="209"/>
      <c r="L707" s="209"/>
      <c r="M707" s="209"/>
      <c r="N707" s="210"/>
    </row>
    <row r="708">
      <c r="B708" s="208"/>
      <c r="D708" s="209"/>
      <c r="E708" s="209"/>
      <c r="F708" s="209"/>
      <c r="G708" s="209"/>
      <c r="H708" s="209"/>
      <c r="I708" s="209"/>
      <c r="J708" s="209"/>
      <c r="K708" s="209"/>
      <c r="L708" s="209"/>
      <c r="M708" s="209"/>
      <c r="N708" s="210"/>
    </row>
    <row r="709">
      <c r="B709" s="208"/>
      <c r="D709" s="209"/>
      <c r="E709" s="209"/>
      <c r="F709" s="209"/>
      <c r="G709" s="209"/>
      <c r="H709" s="209"/>
      <c r="I709" s="209"/>
      <c r="J709" s="209"/>
      <c r="K709" s="209"/>
      <c r="L709" s="209"/>
      <c r="M709" s="209"/>
      <c r="N709" s="210"/>
    </row>
    <row r="710">
      <c r="B710" s="208"/>
      <c r="D710" s="209"/>
      <c r="E710" s="209"/>
      <c r="F710" s="209"/>
      <c r="G710" s="209"/>
      <c r="H710" s="209"/>
      <c r="I710" s="209"/>
      <c r="J710" s="209"/>
      <c r="K710" s="209"/>
      <c r="L710" s="209"/>
      <c r="M710" s="209"/>
      <c r="N710" s="210"/>
    </row>
    <row r="711">
      <c r="B711" s="208"/>
      <c r="D711" s="209"/>
      <c r="E711" s="209"/>
      <c r="F711" s="209"/>
      <c r="G711" s="209"/>
      <c r="H711" s="209"/>
      <c r="I711" s="209"/>
      <c r="J711" s="209"/>
      <c r="K711" s="209"/>
      <c r="L711" s="209"/>
      <c r="M711" s="209"/>
      <c r="N711" s="210"/>
    </row>
    <row r="712">
      <c r="B712" s="208"/>
      <c r="D712" s="209"/>
      <c r="E712" s="209"/>
      <c r="F712" s="209"/>
      <c r="G712" s="209"/>
      <c r="H712" s="209"/>
      <c r="I712" s="209"/>
      <c r="J712" s="209"/>
      <c r="K712" s="209"/>
      <c r="L712" s="209"/>
      <c r="M712" s="209"/>
      <c r="N712" s="210"/>
    </row>
    <row r="713">
      <c r="B713" s="208"/>
      <c r="D713" s="209"/>
      <c r="E713" s="209"/>
      <c r="F713" s="209"/>
      <c r="G713" s="209"/>
      <c r="H713" s="209"/>
      <c r="I713" s="209"/>
      <c r="J713" s="209"/>
      <c r="K713" s="209"/>
      <c r="L713" s="209"/>
      <c r="M713" s="209"/>
      <c r="N713" s="210"/>
    </row>
    <row r="714">
      <c r="B714" s="208"/>
      <c r="D714" s="209"/>
      <c r="E714" s="209"/>
      <c r="F714" s="209"/>
      <c r="G714" s="209"/>
      <c r="H714" s="209"/>
      <c r="I714" s="209"/>
      <c r="J714" s="209"/>
      <c r="K714" s="209"/>
      <c r="L714" s="209"/>
      <c r="M714" s="209"/>
      <c r="N714" s="210"/>
    </row>
    <row r="715">
      <c r="B715" s="208"/>
      <c r="D715" s="209"/>
      <c r="E715" s="209"/>
      <c r="F715" s="209"/>
      <c r="G715" s="209"/>
      <c r="H715" s="209"/>
      <c r="I715" s="209"/>
      <c r="J715" s="209"/>
      <c r="K715" s="209"/>
      <c r="L715" s="209"/>
      <c r="M715" s="209"/>
      <c r="N715" s="210"/>
    </row>
    <row r="716">
      <c r="B716" s="208"/>
      <c r="D716" s="209"/>
      <c r="E716" s="209"/>
      <c r="F716" s="209"/>
      <c r="G716" s="209"/>
      <c r="H716" s="209"/>
      <c r="I716" s="209"/>
      <c r="J716" s="209"/>
      <c r="K716" s="209"/>
      <c r="L716" s="209"/>
      <c r="M716" s="209"/>
      <c r="N716" s="210"/>
    </row>
    <row r="717">
      <c r="B717" s="208"/>
      <c r="D717" s="209"/>
      <c r="E717" s="209"/>
      <c r="F717" s="209"/>
      <c r="G717" s="209"/>
      <c r="H717" s="209"/>
      <c r="I717" s="209"/>
      <c r="J717" s="209"/>
      <c r="K717" s="209"/>
      <c r="L717" s="209"/>
      <c r="M717" s="209"/>
      <c r="N717" s="210"/>
    </row>
    <row r="718">
      <c r="B718" s="208"/>
      <c r="D718" s="209"/>
      <c r="E718" s="209"/>
      <c r="F718" s="209"/>
      <c r="G718" s="209"/>
      <c r="H718" s="209"/>
      <c r="I718" s="209"/>
      <c r="J718" s="209"/>
      <c r="K718" s="209"/>
      <c r="L718" s="209"/>
      <c r="M718" s="209"/>
      <c r="N718" s="210"/>
    </row>
    <row r="719">
      <c r="B719" s="208"/>
      <c r="D719" s="209"/>
      <c r="E719" s="209"/>
      <c r="F719" s="209"/>
      <c r="G719" s="209"/>
      <c r="H719" s="209"/>
      <c r="I719" s="209"/>
      <c r="J719" s="209"/>
      <c r="K719" s="209"/>
      <c r="L719" s="209"/>
      <c r="M719" s="209"/>
      <c r="N719" s="210"/>
    </row>
    <row r="720">
      <c r="B720" s="208"/>
      <c r="D720" s="209"/>
      <c r="E720" s="209"/>
      <c r="F720" s="209"/>
      <c r="G720" s="209"/>
      <c r="H720" s="209"/>
      <c r="I720" s="209"/>
      <c r="J720" s="209"/>
      <c r="K720" s="209"/>
      <c r="L720" s="209"/>
      <c r="M720" s="209"/>
      <c r="N720" s="210"/>
    </row>
    <row r="721">
      <c r="B721" s="208"/>
      <c r="D721" s="209"/>
      <c r="E721" s="209"/>
      <c r="F721" s="209"/>
      <c r="G721" s="209"/>
      <c r="H721" s="209"/>
      <c r="I721" s="209"/>
      <c r="J721" s="209"/>
      <c r="K721" s="209"/>
      <c r="L721" s="209"/>
      <c r="M721" s="209"/>
      <c r="N721" s="210"/>
    </row>
    <row r="722">
      <c r="B722" s="208"/>
      <c r="D722" s="209"/>
      <c r="E722" s="209"/>
      <c r="F722" s="209"/>
      <c r="G722" s="209"/>
      <c r="H722" s="209"/>
      <c r="I722" s="209"/>
      <c r="J722" s="209"/>
      <c r="K722" s="209"/>
      <c r="L722" s="209"/>
      <c r="M722" s="209"/>
      <c r="N722" s="210"/>
    </row>
    <row r="723">
      <c r="B723" s="208"/>
      <c r="D723" s="209"/>
      <c r="E723" s="209"/>
      <c r="F723" s="209"/>
      <c r="G723" s="209"/>
      <c r="H723" s="209"/>
      <c r="I723" s="209"/>
      <c r="J723" s="209"/>
      <c r="K723" s="209"/>
      <c r="L723" s="209"/>
      <c r="M723" s="209"/>
      <c r="N723" s="210"/>
    </row>
    <row r="724">
      <c r="B724" s="208"/>
      <c r="D724" s="209"/>
      <c r="E724" s="209"/>
      <c r="F724" s="209"/>
      <c r="G724" s="209"/>
      <c r="H724" s="209"/>
      <c r="I724" s="209"/>
      <c r="J724" s="209"/>
      <c r="K724" s="209"/>
      <c r="L724" s="209"/>
      <c r="M724" s="209"/>
      <c r="N724" s="210"/>
    </row>
    <row r="725">
      <c r="B725" s="208"/>
      <c r="D725" s="209"/>
      <c r="E725" s="209"/>
      <c r="F725" s="209"/>
      <c r="G725" s="209"/>
      <c r="H725" s="209"/>
      <c r="I725" s="209"/>
      <c r="J725" s="209"/>
      <c r="K725" s="209"/>
      <c r="L725" s="209"/>
      <c r="M725" s="209"/>
      <c r="N725" s="210"/>
    </row>
    <row r="726">
      <c r="B726" s="208"/>
      <c r="D726" s="209"/>
      <c r="E726" s="209"/>
      <c r="F726" s="209"/>
      <c r="G726" s="209"/>
      <c r="H726" s="209"/>
      <c r="I726" s="209"/>
      <c r="J726" s="209"/>
      <c r="K726" s="209"/>
      <c r="L726" s="209"/>
      <c r="M726" s="209"/>
      <c r="N726" s="210"/>
    </row>
    <row r="727">
      <c r="B727" s="208"/>
      <c r="D727" s="209"/>
      <c r="E727" s="209"/>
      <c r="F727" s="209"/>
      <c r="G727" s="209"/>
      <c r="H727" s="209"/>
      <c r="I727" s="209"/>
      <c r="J727" s="209"/>
      <c r="K727" s="209"/>
      <c r="L727" s="209"/>
      <c r="M727" s="209"/>
      <c r="N727" s="210"/>
    </row>
    <row r="728">
      <c r="B728" s="208"/>
      <c r="D728" s="209"/>
      <c r="E728" s="209"/>
      <c r="F728" s="209"/>
      <c r="G728" s="209"/>
      <c r="H728" s="209"/>
      <c r="I728" s="209"/>
      <c r="J728" s="209"/>
      <c r="K728" s="209"/>
      <c r="L728" s="209"/>
      <c r="M728" s="209"/>
      <c r="N728" s="210"/>
    </row>
    <row r="729">
      <c r="B729" s="208"/>
      <c r="D729" s="209"/>
      <c r="E729" s="209"/>
      <c r="F729" s="209"/>
      <c r="G729" s="209"/>
      <c r="H729" s="209"/>
      <c r="I729" s="209"/>
      <c r="J729" s="209"/>
      <c r="K729" s="209"/>
      <c r="L729" s="209"/>
      <c r="M729" s="209"/>
      <c r="N729" s="210"/>
    </row>
    <row r="730">
      <c r="B730" s="208"/>
      <c r="D730" s="209"/>
      <c r="E730" s="209"/>
      <c r="F730" s="209"/>
      <c r="G730" s="209"/>
      <c r="H730" s="209"/>
      <c r="I730" s="209"/>
      <c r="J730" s="209"/>
      <c r="K730" s="209"/>
      <c r="L730" s="209"/>
      <c r="M730" s="209"/>
      <c r="N730" s="210"/>
    </row>
    <row r="731">
      <c r="B731" s="208"/>
      <c r="D731" s="209"/>
      <c r="E731" s="209"/>
      <c r="F731" s="209"/>
      <c r="G731" s="209"/>
      <c r="H731" s="209"/>
      <c r="I731" s="209"/>
      <c r="J731" s="209"/>
      <c r="K731" s="209"/>
      <c r="L731" s="209"/>
      <c r="M731" s="209"/>
      <c r="N731" s="210"/>
    </row>
    <row r="732">
      <c r="B732" s="208"/>
      <c r="D732" s="209"/>
      <c r="E732" s="209"/>
      <c r="F732" s="209"/>
      <c r="G732" s="209"/>
      <c r="H732" s="209"/>
      <c r="I732" s="209"/>
      <c r="J732" s="209"/>
      <c r="K732" s="209"/>
      <c r="L732" s="209"/>
      <c r="M732" s="209"/>
      <c r="N732" s="210"/>
    </row>
    <row r="733">
      <c r="B733" s="208"/>
      <c r="D733" s="209"/>
      <c r="E733" s="209"/>
      <c r="F733" s="209"/>
      <c r="G733" s="209"/>
      <c r="H733" s="209"/>
      <c r="I733" s="209"/>
      <c r="J733" s="209"/>
      <c r="K733" s="209"/>
      <c r="L733" s="209"/>
      <c r="M733" s="209"/>
      <c r="N733" s="210"/>
    </row>
    <row r="734">
      <c r="B734" s="208"/>
      <c r="D734" s="209"/>
      <c r="E734" s="209"/>
      <c r="F734" s="209"/>
      <c r="G734" s="209"/>
      <c r="H734" s="209"/>
      <c r="I734" s="209"/>
      <c r="J734" s="209"/>
      <c r="K734" s="209"/>
      <c r="L734" s="209"/>
      <c r="M734" s="209"/>
      <c r="N734" s="210"/>
    </row>
    <row r="735">
      <c r="B735" s="208"/>
      <c r="D735" s="209"/>
      <c r="E735" s="209"/>
      <c r="F735" s="209"/>
      <c r="G735" s="209"/>
      <c r="H735" s="209"/>
      <c r="I735" s="209"/>
      <c r="J735" s="209"/>
      <c r="K735" s="209"/>
      <c r="L735" s="209"/>
      <c r="M735" s="209"/>
      <c r="N735" s="210"/>
    </row>
    <row r="736">
      <c r="B736" s="208"/>
      <c r="D736" s="209"/>
      <c r="E736" s="209"/>
      <c r="F736" s="209"/>
      <c r="G736" s="209"/>
      <c r="H736" s="209"/>
      <c r="I736" s="209"/>
      <c r="J736" s="209"/>
      <c r="K736" s="209"/>
      <c r="L736" s="209"/>
      <c r="M736" s="209"/>
      <c r="N736" s="210"/>
    </row>
    <row r="737">
      <c r="B737" s="208"/>
      <c r="D737" s="209"/>
      <c r="E737" s="209"/>
      <c r="F737" s="209"/>
      <c r="G737" s="209"/>
      <c r="H737" s="209"/>
      <c r="I737" s="209"/>
      <c r="J737" s="209"/>
      <c r="K737" s="209"/>
      <c r="L737" s="209"/>
      <c r="M737" s="209"/>
      <c r="N737" s="210"/>
    </row>
    <row r="738">
      <c r="B738" s="208"/>
      <c r="D738" s="209"/>
      <c r="E738" s="209"/>
      <c r="F738" s="209"/>
      <c r="G738" s="209"/>
      <c r="H738" s="209"/>
      <c r="I738" s="209"/>
      <c r="J738" s="209"/>
      <c r="K738" s="209"/>
      <c r="L738" s="209"/>
      <c r="M738" s="209"/>
      <c r="N738" s="210"/>
    </row>
    <row r="739">
      <c r="B739" s="208"/>
      <c r="D739" s="209"/>
      <c r="E739" s="209"/>
      <c r="F739" s="209"/>
      <c r="G739" s="209"/>
      <c r="H739" s="209"/>
      <c r="I739" s="209"/>
      <c r="J739" s="209"/>
      <c r="K739" s="209"/>
      <c r="L739" s="209"/>
      <c r="M739" s="209"/>
      <c r="N739" s="210"/>
    </row>
    <row r="740">
      <c r="B740" s="208"/>
      <c r="D740" s="209"/>
      <c r="E740" s="209"/>
      <c r="F740" s="209"/>
      <c r="G740" s="209"/>
      <c r="H740" s="209"/>
      <c r="I740" s="209"/>
      <c r="J740" s="209"/>
      <c r="K740" s="209"/>
      <c r="L740" s="209"/>
      <c r="M740" s="209"/>
      <c r="N740" s="210"/>
    </row>
    <row r="741">
      <c r="B741" s="208"/>
      <c r="D741" s="209"/>
      <c r="E741" s="209"/>
      <c r="F741" s="209"/>
      <c r="G741" s="209"/>
      <c r="H741" s="209"/>
      <c r="I741" s="209"/>
      <c r="J741" s="209"/>
      <c r="K741" s="209"/>
      <c r="L741" s="209"/>
      <c r="M741" s="209"/>
      <c r="N741" s="210"/>
    </row>
    <row r="742">
      <c r="B742" s="208"/>
      <c r="D742" s="209"/>
      <c r="E742" s="209"/>
      <c r="F742" s="209"/>
      <c r="G742" s="209"/>
      <c r="H742" s="209"/>
      <c r="I742" s="209"/>
      <c r="J742" s="209"/>
      <c r="K742" s="209"/>
      <c r="L742" s="209"/>
      <c r="M742" s="209"/>
      <c r="N742" s="210"/>
    </row>
    <row r="743">
      <c r="B743" s="208"/>
      <c r="D743" s="209"/>
      <c r="E743" s="209"/>
      <c r="F743" s="209"/>
      <c r="G743" s="209"/>
      <c r="H743" s="209"/>
      <c r="I743" s="209"/>
      <c r="J743" s="209"/>
      <c r="K743" s="209"/>
      <c r="L743" s="209"/>
      <c r="M743" s="209"/>
      <c r="N743" s="210"/>
    </row>
    <row r="744">
      <c r="B744" s="208"/>
      <c r="D744" s="209"/>
      <c r="E744" s="209"/>
      <c r="F744" s="209"/>
      <c r="G744" s="209"/>
      <c r="H744" s="209"/>
      <c r="I744" s="209"/>
      <c r="J744" s="209"/>
      <c r="K744" s="209"/>
      <c r="L744" s="209"/>
      <c r="M744" s="209"/>
      <c r="N744" s="210"/>
    </row>
    <row r="745">
      <c r="B745" s="208"/>
      <c r="D745" s="209"/>
      <c r="E745" s="209"/>
      <c r="F745" s="209"/>
      <c r="G745" s="209"/>
      <c r="H745" s="209"/>
      <c r="I745" s="209"/>
      <c r="J745" s="209"/>
      <c r="K745" s="209"/>
      <c r="L745" s="209"/>
      <c r="M745" s="209"/>
      <c r="N745" s="210"/>
    </row>
    <row r="746">
      <c r="B746" s="208"/>
      <c r="D746" s="209"/>
      <c r="E746" s="209"/>
      <c r="F746" s="209"/>
      <c r="G746" s="209"/>
      <c r="H746" s="209"/>
      <c r="I746" s="209"/>
      <c r="J746" s="209"/>
      <c r="K746" s="209"/>
      <c r="L746" s="209"/>
      <c r="M746" s="209"/>
      <c r="N746" s="210"/>
    </row>
    <row r="747">
      <c r="B747" s="208"/>
      <c r="D747" s="209"/>
      <c r="E747" s="209"/>
      <c r="F747" s="209"/>
      <c r="G747" s="209"/>
      <c r="H747" s="209"/>
      <c r="I747" s="209"/>
      <c r="J747" s="209"/>
      <c r="K747" s="209"/>
      <c r="L747" s="209"/>
      <c r="M747" s="209"/>
      <c r="N747" s="210"/>
    </row>
    <row r="748">
      <c r="B748" s="208"/>
      <c r="D748" s="209"/>
      <c r="E748" s="209"/>
      <c r="F748" s="209"/>
      <c r="G748" s="209"/>
      <c r="H748" s="209"/>
      <c r="I748" s="209"/>
      <c r="J748" s="209"/>
      <c r="K748" s="209"/>
      <c r="L748" s="209"/>
      <c r="M748" s="209"/>
      <c r="N748" s="210"/>
    </row>
    <row r="749">
      <c r="B749" s="208"/>
      <c r="D749" s="209"/>
      <c r="E749" s="209"/>
      <c r="F749" s="209"/>
      <c r="G749" s="209"/>
      <c r="H749" s="209"/>
      <c r="I749" s="209"/>
      <c r="J749" s="209"/>
      <c r="K749" s="209"/>
      <c r="L749" s="209"/>
      <c r="M749" s="209"/>
      <c r="N749" s="210"/>
    </row>
    <row r="750">
      <c r="B750" s="208"/>
      <c r="D750" s="209"/>
      <c r="E750" s="209"/>
      <c r="F750" s="209"/>
      <c r="G750" s="209"/>
      <c r="H750" s="209"/>
      <c r="I750" s="209"/>
      <c r="J750" s="209"/>
      <c r="K750" s="209"/>
      <c r="L750" s="209"/>
      <c r="M750" s="209"/>
      <c r="N750" s="210"/>
    </row>
    <row r="751">
      <c r="B751" s="208"/>
      <c r="D751" s="209"/>
      <c r="E751" s="209"/>
      <c r="F751" s="209"/>
      <c r="G751" s="209"/>
      <c r="H751" s="209"/>
      <c r="I751" s="209"/>
      <c r="J751" s="209"/>
      <c r="K751" s="209"/>
      <c r="L751" s="209"/>
      <c r="M751" s="209"/>
      <c r="N751" s="210"/>
    </row>
    <row r="752">
      <c r="B752" s="208"/>
      <c r="D752" s="209"/>
      <c r="E752" s="209"/>
      <c r="F752" s="209"/>
      <c r="G752" s="209"/>
      <c r="H752" s="209"/>
      <c r="I752" s="209"/>
      <c r="J752" s="209"/>
      <c r="K752" s="209"/>
      <c r="L752" s="209"/>
      <c r="M752" s="209"/>
      <c r="N752" s="210"/>
    </row>
    <row r="753">
      <c r="B753" s="208"/>
      <c r="D753" s="209"/>
      <c r="E753" s="209"/>
      <c r="F753" s="209"/>
      <c r="G753" s="209"/>
      <c r="H753" s="209"/>
      <c r="I753" s="209"/>
      <c r="J753" s="209"/>
      <c r="K753" s="209"/>
      <c r="L753" s="209"/>
      <c r="M753" s="209"/>
      <c r="N753" s="210"/>
    </row>
    <row r="754">
      <c r="B754" s="208"/>
      <c r="D754" s="209"/>
      <c r="E754" s="209"/>
      <c r="F754" s="209"/>
      <c r="G754" s="209"/>
      <c r="H754" s="209"/>
      <c r="I754" s="209"/>
      <c r="J754" s="209"/>
      <c r="K754" s="209"/>
      <c r="L754" s="209"/>
      <c r="M754" s="209"/>
      <c r="N754" s="210"/>
    </row>
    <row r="755">
      <c r="B755" s="208"/>
      <c r="D755" s="209"/>
      <c r="E755" s="209"/>
      <c r="F755" s="209"/>
      <c r="G755" s="209"/>
      <c r="H755" s="209"/>
      <c r="I755" s="209"/>
      <c r="J755" s="209"/>
      <c r="K755" s="209"/>
      <c r="L755" s="209"/>
      <c r="M755" s="209"/>
      <c r="N755" s="210"/>
    </row>
    <row r="756">
      <c r="B756" s="208"/>
      <c r="D756" s="209"/>
      <c r="E756" s="209"/>
      <c r="F756" s="209"/>
      <c r="G756" s="209"/>
      <c r="H756" s="209"/>
      <c r="I756" s="209"/>
      <c r="J756" s="209"/>
      <c r="K756" s="209"/>
      <c r="L756" s="209"/>
      <c r="M756" s="209"/>
      <c r="N756" s="210"/>
    </row>
    <row r="757">
      <c r="B757" s="208"/>
      <c r="D757" s="209"/>
      <c r="E757" s="209"/>
      <c r="F757" s="209"/>
      <c r="G757" s="209"/>
      <c r="H757" s="209"/>
      <c r="I757" s="209"/>
      <c r="J757" s="209"/>
      <c r="K757" s="209"/>
      <c r="L757" s="209"/>
      <c r="M757" s="209"/>
      <c r="N757" s="210"/>
    </row>
    <row r="758">
      <c r="B758" s="208"/>
      <c r="D758" s="209"/>
      <c r="E758" s="209"/>
      <c r="F758" s="209"/>
      <c r="G758" s="209"/>
      <c r="H758" s="209"/>
      <c r="I758" s="209"/>
      <c r="J758" s="209"/>
      <c r="K758" s="209"/>
      <c r="L758" s="209"/>
      <c r="M758" s="209"/>
      <c r="N758" s="210"/>
    </row>
    <row r="759">
      <c r="B759" s="208"/>
      <c r="D759" s="209"/>
      <c r="E759" s="209"/>
      <c r="F759" s="209"/>
      <c r="G759" s="209"/>
      <c r="H759" s="209"/>
      <c r="I759" s="209"/>
      <c r="J759" s="209"/>
      <c r="K759" s="209"/>
      <c r="L759" s="209"/>
      <c r="M759" s="209"/>
      <c r="N759" s="210"/>
    </row>
    <row r="760">
      <c r="B760" s="208"/>
      <c r="D760" s="209"/>
      <c r="E760" s="209"/>
      <c r="F760" s="209"/>
      <c r="G760" s="209"/>
      <c r="H760" s="209"/>
      <c r="I760" s="209"/>
      <c r="J760" s="209"/>
      <c r="K760" s="209"/>
      <c r="L760" s="209"/>
      <c r="M760" s="209"/>
      <c r="N760" s="210"/>
    </row>
    <row r="761">
      <c r="B761" s="208"/>
      <c r="D761" s="209"/>
      <c r="E761" s="209"/>
      <c r="F761" s="209"/>
      <c r="G761" s="209"/>
      <c r="H761" s="209"/>
      <c r="I761" s="209"/>
      <c r="J761" s="209"/>
      <c r="K761" s="209"/>
      <c r="L761" s="209"/>
      <c r="M761" s="209"/>
      <c r="N761" s="210"/>
    </row>
    <row r="762">
      <c r="B762" s="208"/>
      <c r="D762" s="209"/>
      <c r="E762" s="209"/>
      <c r="F762" s="209"/>
      <c r="G762" s="209"/>
      <c r="H762" s="209"/>
      <c r="I762" s="209"/>
      <c r="J762" s="209"/>
      <c r="K762" s="209"/>
      <c r="L762" s="209"/>
      <c r="M762" s="209"/>
      <c r="N762" s="210"/>
    </row>
    <row r="763">
      <c r="B763" s="208"/>
      <c r="D763" s="209"/>
      <c r="E763" s="209"/>
      <c r="F763" s="209"/>
      <c r="G763" s="209"/>
      <c r="H763" s="209"/>
      <c r="I763" s="209"/>
      <c r="J763" s="209"/>
      <c r="K763" s="209"/>
      <c r="L763" s="209"/>
      <c r="M763" s="209"/>
      <c r="N763" s="210"/>
    </row>
    <row r="764">
      <c r="B764" s="208"/>
      <c r="D764" s="209"/>
      <c r="E764" s="209"/>
      <c r="F764" s="209"/>
      <c r="G764" s="209"/>
      <c r="H764" s="209"/>
      <c r="I764" s="209"/>
      <c r="J764" s="209"/>
      <c r="K764" s="209"/>
      <c r="L764" s="209"/>
      <c r="M764" s="209"/>
      <c r="N764" s="210"/>
    </row>
    <row r="765">
      <c r="B765" s="208"/>
      <c r="D765" s="209"/>
      <c r="E765" s="209"/>
      <c r="F765" s="209"/>
      <c r="G765" s="209"/>
      <c r="H765" s="209"/>
      <c r="I765" s="209"/>
      <c r="J765" s="209"/>
      <c r="K765" s="209"/>
      <c r="L765" s="209"/>
      <c r="M765" s="209"/>
      <c r="N765" s="210"/>
    </row>
    <row r="766">
      <c r="B766" s="208"/>
      <c r="D766" s="209"/>
      <c r="E766" s="209"/>
      <c r="F766" s="209"/>
      <c r="G766" s="209"/>
      <c r="H766" s="209"/>
      <c r="I766" s="209"/>
      <c r="J766" s="209"/>
      <c r="K766" s="209"/>
      <c r="L766" s="209"/>
      <c r="M766" s="209"/>
      <c r="N766" s="210"/>
    </row>
    <row r="767">
      <c r="B767" s="208"/>
      <c r="D767" s="209"/>
      <c r="E767" s="209"/>
      <c r="F767" s="209"/>
      <c r="G767" s="209"/>
      <c r="H767" s="209"/>
      <c r="I767" s="209"/>
      <c r="J767" s="209"/>
      <c r="K767" s="209"/>
      <c r="L767" s="209"/>
      <c r="M767" s="209"/>
      <c r="N767" s="210"/>
    </row>
    <row r="768">
      <c r="B768" s="208"/>
      <c r="D768" s="209"/>
      <c r="E768" s="209"/>
      <c r="F768" s="209"/>
      <c r="G768" s="209"/>
      <c r="H768" s="209"/>
      <c r="I768" s="209"/>
      <c r="J768" s="209"/>
      <c r="K768" s="209"/>
      <c r="L768" s="209"/>
      <c r="M768" s="209"/>
      <c r="N768" s="210"/>
    </row>
    <row r="769">
      <c r="B769" s="208"/>
      <c r="D769" s="209"/>
      <c r="E769" s="209"/>
      <c r="F769" s="209"/>
      <c r="G769" s="209"/>
      <c r="H769" s="209"/>
      <c r="I769" s="209"/>
      <c r="J769" s="209"/>
      <c r="K769" s="209"/>
      <c r="L769" s="209"/>
      <c r="M769" s="209"/>
      <c r="N769" s="210"/>
    </row>
    <row r="770">
      <c r="B770" s="208"/>
      <c r="D770" s="209"/>
      <c r="E770" s="209"/>
      <c r="F770" s="209"/>
      <c r="G770" s="209"/>
      <c r="H770" s="209"/>
      <c r="I770" s="209"/>
      <c r="J770" s="209"/>
      <c r="K770" s="209"/>
      <c r="L770" s="209"/>
      <c r="M770" s="209"/>
      <c r="N770" s="210"/>
    </row>
    <row r="771">
      <c r="B771" s="208"/>
      <c r="D771" s="209"/>
      <c r="E771" s="209"/>
      <c r="F771" s="209"/>
      <c r="G771" s="209"/>
      <c r="H771" s="209"/>
      <c r="I771" s="209"/>
      <c r="J771" s="209"/>
      <c r="K771" s="209"/>
      <c r="L771" s="209"/>
      <c r="M771" s="209"/>
      <c r="N771" s="210"/>
    </row>
    <row r="772">
      <c r="B772" s="208"/>
      <c r="D772" s="209"/>
      <c r="E772" s="209"/>
      <c r="F772" s="209"/>
      <c r="G772" s="209"/>
      <c r="H772" s="209"/>
      <c r="I772" s="209"/>
      <c r="J772" s="209"/>
      <c r="K772" s="209"/>
      <c r="L772" s="209"/>
      <c r="M772" s="209"/>
      <c r="N772" s="210"/>
    </row>
    <row r="773">
      <c r="B773" s="208"/>
      <c r="D773" s="209"/>
      <c r="E773" s="209"/>
      <c r="F773" s="209"/>
      <c r="G773" s="209"/>
      <c r="H773" s="209"/>
      <c r="I773" s="209"/>
      <c r="J773" s="209"/>
      <c r="K773" s="209"/>
      <c r="L773" s="209"/>
      <c r="M773" s="209"/>
      <c r="N773" s="210"/>
    </row>
    <row r="774">
      <c r="B774" s="208"/>
      <c r="D774" s="209"/>
      <c r="E774" s="209"/>
      <c r="F774" s="209"/>
      <c r="G774" s="209"/>
      <c r="H774" s="209"/>
      <c r="I774" s="209"/>
      <c r="J774" s="209"/>
      <c r="K774" s="209"/>
      <c r="L774" s="209"/>
      <c r="M774" s="209"/>
      <c r="N774" s="210"/>
    </row>
    <row r="775">
      <c r="B775" s="208"/>
      <c r="D775" s="209"/>
      <c r="E775" s="209"/>
      <c r="F775" s="209"/>
      <c r="G775" s="209"/>
      <c r="H775" s="209"/>
      <c r="I775" s="209"/>
      <c r="J775" s="209"/>
      <c r="K775" s="209"/>
      <c r="L775" s="209"/>
      <c r="M775" s="209"/>
      <c r="N775" s="210"/>
    </row>
    <row r="776">
      <c r="B776" s="208"/>
      <c r="D776" s="209"/>
      <c r="E776" s="209"/>
      <c r="F776" s="209"/>
      <c r="G776" s="209"/>
      <c r="H776" s="209"/>
      <c r="I776" s="209"/>
      <c r="J776" s="209"/>
      <c r="K776" s="209"/>
      <c r="L776" s="209"/>
      <c r="M776" s="209"/>
      <c r="N776" s="210"/>
    </row>
    <row r="777">
      <c r="B777" s="208"/>
      <c r="D777" s="209"/>
      <c r="E777" s="209"/>
      <c r="F777" s="209"/>
      <c r="G777" s="209"/>
      <c r="H777" s="209"/>
      <c r="I777" s="209"/>
      <c r="J777" s="209"/>
      <c r="K777" s="209"/>
      <c r="L777" s="209"/>
      <c r="M777" s="209"/>
      <c r="N777" s="210"/>
    </row>
    <row r="778">
      <c r="B778" s="208"/>
      <c r="D778" s="209"/>
      <c r="E778" s="209"/>
      <c r="F778" s="209"/>
      <c r="G778" s="209"/>
      <c r="H778" s="209"/>
      <c r="I778" s="209"/>
      <c r="J778" s="209"/>
      <c r="K778" s="209"/>
      <c r="L778" s="209"/>
      <c r="M778" s="209"/>
      <c r="N778" s="210"/>
    </row>
    <row r="779">
      <c r="B779" s="208"/>
      <c r="D779" s="209"/>
      <c r="E779" s="209"/>
      <c r="F779" s="209"/>
      <c r="G779" s="209"/>
      <c r="H779" s="209"/>
      <c r="I779" s="209"/>
      <c r="J779" s="209"/>
      <c r="K779" s="209"/>
      <c r="L779" s="209"/>
      <c r="M779" s="209"/>
      <c r="N779" s="210"/>
    </row>
    <row r="780">
      <c r="B780" s="208"/>
      <c r="D780" s="209"/>
      <c r="E780" s="209"/>
      <c r="F780" s="209"/>
      <c r="G780" s="209"/>
      <c r="H780" s="209"/>
      <c r="I780" s="209"/>
      <c r="J780" s="209"/>
      <c r="K780" s="209"/>
      <c r="L780" s="209"/>
      <c r="M780" s="209"/>
      <c r="N780" s="210"/>
    </row>
    <row r="781">
      <c r="B781" s="208"/>
      <c r="D781" s="209"/>
      <c r="E781" s="209"/>
      <c r="F781" s="209"/>
      <c r="G781" s="209"/>
      <c r="H781" s="209"/>
      <c r="I781" s="209"/>
      <c r="J781" s="209"/>
      <c r="K781" s="209"/>
      <c r="L781" s="209"/>
      <c r="M781" s="209"/>
      <c r="N781" s="210"/>
    </row>
    <row r="782">
      <c r="B782" s="208"/>
      <c r="D782" s="209"/>
      <c r="E782" s="209"/>
      <c r="F782" s="209"/>
      <c r="G782" s="209"/>
      <c r="H782" s="209"/>
      <c r="I782" s="209"/>
      <c r="J782" s="209"/>
      <c r="K782" s="209"/>
      <c r="L782" s="209"/>
      <c r="M782" s="209"/>
      <c r="N782" s="210"/>
    </row>
    <row r="783">
      <c r="B783" s="208"/>
      <c r="D783" s="209"/>
      <c r="E783" s="209"/>
      <c r="F783" s="209"/>
      <c r="G783" s="209"/>
      <c r="H783" s="209"/>
      <c r="I783" s="209"/>
      <c r="J783" s="209"/>
      <c r="K783" s="209"/>
      <c r="L783" s="209"/>
      <c r="M783" s="209"/>
      <c r="N783" s="210"/>
    </row>
    <row r="784">
      <c r="B784" s="208"/>
      <c r="D784" s="209"/>
      <c r="E784" s="209"/>
      <c r="F784" s="209"/>
      <c r="G784" s="209"/>
      <c r="H784" s="209"/>
      <c r="I784" s="209"/>
      <c r="J784" s="209"/>
      <c r="K784" s="209"/>
      <c r="L784" s="209"/>
      <c r="M784" s="209"/>
      <c r="N784" s="210"/>
    </row>
    <row r="785">
      <c r="B785" s="208"/>
      <c r="D785" s="209"/>
      <c r="E785" s="209"/>
      <c r="F785" s="209"/>
      <c r="G785" s="209"/>
      <c r="H785" s="209"/>
      <c r="I785" s="209"/>
      <c r="J785" s="209"/>
      <c r="K785" s="209"/>
      <c r="L785" s="209"/>
      <c r="M785" s="209"/>
      <c r="N785" s="210"/>
    </row>
    <row r="786">
      <c r="B786" s="208"/>
      <c r="D786" s="209"/>
      <c r="E786" s="209"/>
      <c r="F786" s="209"/>
      <c r="G786" s="209"/>
      <c r="H786" s="209"/>
      <c r="I786" s="209"/>
      <c r="J786" s="209"/>
      <c r="K786" s="209"/>
      <c r="L786" s="209"/>
      <c r="M786" s="209"/>
      <c r="N786" s="210"/>
    </row>
    <row r="787">
      <c r="B787" s="208"/>
      <c r="D787" s="209"/>
      <c r="E787" s="209"/>
      <c r="F787" s="209"/>
      <c r="G787" s="209"/>
      <c r="H787" s="209"/>
      <c r="I787" s="209"/>
      <c r="J787" s="209"/>
      <c r="K787" s="209"/>
      <c r="L787" s="209"/>
      <c r="M787" s="209"/>
      <c r="N787" s="210"/>
    </row>
    <row r="788">
      <c r="B788" s="208"/>
      <c r="D788" s="209"/>
      <c r="E788" s="209"/>
      <c r="F788" s="209"/>
      <c r="G788" s="209"/>
      <c r="H788" s="209"/>
      <c r="I788" s="209"/>
      <c r="J788" s="209"/>
      <c r="K788" s="209"/>
      <c r="L788" s="209"/>
      <c r="M788" s="209"/>
      <c r="N788" s="210"/>
    </row>
    <row r="789">
      <c r="B789" s="208"/>
      <c r="D789" s="209"/>
      <c r="E789" s="209"/>
      <c r="F789" s="209"/>
      <c r="G789" s="209"/>
      <c r="H789" s="209"/>
      <c r="I789" s="209"/>
      <c r="J789" s="209"/>
      <c r="K789" s="209"/>
      <c r="L789" s="209"/>
      <c r="M789" s="209"/>
      <c r="N789" s="210"/>
    </row>
    <row r="790">
      <c r="B790" s="208"/>
      <c r="D790" s="209"/>
      <c r="E790" s="209"/>
      <c r="F790" s="209"/>
      <c r="G790" s="209"/>
      <c r="H790" s="209"/>
      <c r="I790" s="209"/>
      <c r="J790" s="209"/>
      <c r="K790" s="209"/>
      <c r="L790" s="209"/>
      <c r="M790" s="209"/>
      <c r="N790" s="210"/>
    </row>
    <row r="791">
      <c r="B791" s="208"/>
      <c r="D791" s="209"/>
      <c r="E791" s="209"/>
      <c r="F791" s="209"/>
      <c r="G791" s="209"/>
      <c r="H791" s="209"/>
      <c r="I791" s="209"/>
      <c r="J791" s="209"/>
      <c r="K791" s="209"/>
      <c r="L791" s="209"/>
      <c r="M791" s="209"/>
      <c r="N791" s="210"/>
    </row>
    <row r="792">
      <c r="B792" s="208"/>
      <c r="D792" s="209"/>
      <c r="E792" s="209"/>
      <c r="F792" s="209"/>
      <c r="G792" s="209"/>
      <c r="H792" s="209"/>
      <c r="I792" s="209"/>
      <c r="J792" s="209"/>
      <c r="K792" s="209"/>
      <c r="L792" s="209"/>
      <c r="M792" s="209"/>
      <c r="N792" s="210"/>
    </row>
    <row r="793">
      <c r="B793" s="208"/>
      <c r="D793" s="209"/>
      <c r="E793" s="209"/>
      <c r="F793" s="209"/>
      <c r="G793" s="209"/>
      <c r="H793" s="209"/>
      <c r="I793" s="209"/>
      <c r="J793" s="209"/>
      <c r="K793" s="209"/>
      <c r="L793" s="209"/>
      <c r="M793" s="209"/>
      <c r="N793" s="210"/>
    </row>
    <row r="794">
      <c r="B794" s="208"/>
      <c r="D794" s="209"/>
      <c r="E794" s="209"/>
      <c r="F794" s="209"/>
      <c r="G794" s="209"/>
      <c r="H794" s="209"/>
      <c r="I794" s="209"/>
      <c r="J794" s="209"/>
      <c r="K794" s="209"/>
      <c r="L794" s="209"/>
      <c r="M794" s="209"/>
      <c r="N794" s="210"/>
    </row>
    <row r="795">
      <c r="B795" s="208"/>
      <c r="D795" s="209"/>
      <c r="E795" s="209"/>
      <c r="F795" s="209"/>
      <c r="G795" s="209"/>
      <c r="H795" s="209"/>
      <c r="I795" s="209"/>
      <c r="J795" s="209"/>
      <c r="K795" s="209"/>
      <c r="L795" s="209"/>
      <c r="M795" s="209"/>
      <c r="N795" s="210"/>
    </row>
    <row r="796">
      <c r="B796" s="208"/>
      <c r="D796" s="209"/>
      <c r="E796" s="209"/>
      <c r="F796" s="209"/>
      <c r="G796" s="209"/>
      <c r="H796" s="209"/>
      <c r="I796" s="209"/>
      <c r="J796" s="209"/>
      <c r="K796" s="209"/>
      <c r="L796" s="209"/>
      <c r="M796" s="209"/>
      <c r="N796" s="210"/>
    </row>
    <row r="797">
      <c r="B797" s="208"/>
      <c r="D797" s="209"/>
      <c r="E797" s="209"/>
      <c r="F797" s="209"/>
      <c r="G797" s="209"/>
      <c r="H797" s="209"/>
      <c r="I797" s="209"/>
      <c r="J797" s="209"/>
      <c r="K797" s="209"/>
      <c r="L797" s="209"/>
      <c r="M797" s="209"/>
      <c r="N797" s="210"/>
    </row>
    <row r="798">
      <c r="B798" s="208"/>
      <c r="D798" s="209"/>
      <c r="E798" s="209"/>
      <c r="F798" s="209"/>
      <c r="G798" s="209"/>
      <c r="H798" s="209"/>
      <c r="I798" s="209"/>
      <c r="J798" s="209"/>
      <c r="K798" s="209"/>
      <c r="L798" s="209"/>
      <c r="M798" s="209"/>
      <c r="N798" s="210"/>
    </row>
    <row r="799">
      <c r="B799" s="208"/>
      <c r="D799" s="209"/>
      <c r="E799" s="209"/>
      <c r="F799" s="209"/>
      <c r="G799" s="209"/>
      <c r="H799" s="209"/>
      <c r="I799" s="209"/>
      <c r="J799" s="209"/>
      <c r="K799" s="209"/>
      <c r="L799" s="209"/>
      <c r="M799" s="209"/>
      <c r="N799" s="210"/>
    </row>
    <row r="800">
      <c r="B800" s="208"/>
      <c r="D800" s="209"/>
      <c r="E800" s="209"/>
      <c r="F800" s="209"/>
      <c r="G800" s="209"/>
      <c r="H800" s="209"/>
      <c r="I800" s="209"/>
      <c r="J800" s="209"/>
      <c r="K800" s="209"/>
      <c r="L800" s="209"/>
      <c r="M800" s="209"/>
      <c r="N800" s="210"/>
    </row>
    <row r="801">
      <c r="B801" s="208"/>
      <c r="D801" s="209"/>
      <c r="E801" s="209"/>
      <c r="F801" s="209"/>
      <c r="G801" s="209"/>
      <c r="H801" s="209"/>
      <c r="I801" s="209"/>
      <c r="J801" s="209"/>
      <c r="K801" s="209"/>
      <c r="L801" s="209"/>
      <c r="M801" s="209"/>
      <c r="N801" s="210"/>
    </row>
    <row r="802">
      <c r="B802" s="208"/>
      <c r="D802" s="209"/>
      <c r="E802" s="209"/>
      <c r="F802" s="209"/>
      <c r="G802" s="209"/>
      <c r="H802" s="209"/>
      <c r="I802" s="209"/>
      <c r="J802" s="209"/>
      <c r="K802" s="209"/>
      <c r="L802" s="209"/>
      <c r="M802" s="209"/>
      <c r="N802" s="210"/>
    </row>
    <row r="803">
      <c r="B803" s="208"/>
      <c r="D803" s="209"/>
      <c r="E803" s="209"/>
      <c r="F803" s="209"/>
      <c r="G803" s="209"/>
      <c r="H803" s="209"/>
      <c r="I803" s="209"/>
      <c r="J803" s="209"/>
      <c r="K803" s="209"/>
      <c r="L803" s="209"/>
      <c r="M803" s="209"/>
      <c r="N803" s="210"/>
    </row>
    <row r="804">
      <c r="B804" s="208"/>
      <c r="D804" s="209"/>
      <c r="E804" s="209"/>
      <c r="F804" s="209"/>
      <c r="G804" s="209"/>
      <c r="H804" s="209"/>
      <c r="I804" s="209"/>
      <c r="J804" s="209"/>
      <c r="K804" s="209"/>
      <c r="L804" s="209"/>
      <c r="M804" s="209"/>
      <c r="N804" s="210"/>
    </row>
    <row r="805">
      <c r="B805" s="208"/>
      <c r="D805" s="209"/>
      <c r="E805" s="209"/>
      <c r="F805" s="209"/>
      <c r="G805" s="209"/>
      <c r="H805" s="209"/>
      <c r="I805" s="209"/>
      <c r="J805" s="209"/>
      <c r="K805" s="209"/>
      <c r="L805" s="209"/>
      <c r="M805" s="209"/>
      <c r="N805" s="210"/>
    </row>
    <row r="806">
      <c r="B806" s="208"/>
      <c r="D806" s="209"/>
      <c r="E806" s="209"/>
      <c r="F806" s="209"/>
      <c r="G806" s="209"/>
      <c r="H806" s="209"/>
      <c r="I806" s="209"/>
      <c r="J806" s="209"/>
      <c r="K806" s="209"/>
      <c r="L806" s="209"/>
      <c r="M806" s="209"/>
      <c r="N806" s="210"/>
    </row>
    <row r="807">
      <c r="B807" s="208"/>
      <c r="D807" s="209"/>
      <c r="E807" s="209"/>
      <c r="F807" s="209"/>
      <c r="G807" s="209"/>
      <c r="H807" s="209"/>
      <c r="I807" s="209"/>
      <c r="J807" s="209"/>
      <c r="K807" s="209"/>
      <c r="L807" s="209"/>
      <c r="M807" s="209"/>
      <c r="N807" s="210"/>
    </row>
    <row r="808">
      <c r="B808" s="208"/>
      <c r="D808" s="209"/>
      <c r="E808" s="209"/>
      <c r="F808" s="209"/>
      <c r="G808" s="209"/>
      <c r="H808" s="209"/>
      <c r="I808" s="209"/>
      <c r="J808" s="209"/>
      <c r="K808" s="209"/>
      <c r="L808" s="209"/>
      <c r="M808" s="209"/>
      <c r="N808" s="210"/>
    </row>
    <row r="809">
      <c r="B809" s="208"/>
      <c r="D809" s="209"/>
      <c r="E809" s="209"/>
      <c r="F809" s="209"/>
      <c r="G809" s="209"/>
      <c r="H809" s="209"/>
      <c r="I809" s="209"/>
      <c r="J809" s="209"/>
      <c r="K809" s="209"/>
      <c r="L809" s="209"/>
      <c r="M809" s="209"/>
      <c r="N809" s="210"/>
    </row>
    <row r="810">
      <c r="B810" s="208"/>
      <c r="D810" s="209"/>
      <c r="E810" s="209"/>
      <c r="F810" s="209"/>
      <c r="G810" s="209"/>
      <c r="H810" s="209"/>
      <c r="I810" s="209"/>
      <c r="J810" s="209"/>
      <c r="K810" s="209"/>
      <c r="L810" s="209"/>
      <c r="M810" s="209"/>
      <c r="N810" s="210"/>
    </row>
    <row r="811">
      <c r="B811" s="208"/>
      <c r="D811" s="209"/>
      <c r="E811" s="209"/>
      <c r="F811" s="209"/>
      <c r="G811" s="209"/>
      <c r="H811" s="209"/>
      <c r="I811" s="209"/>
      <c r="J811" s="209"/>
      <c r="K811" s="209"/>
      <c r="L811" s="209"/>
      <c r="M811" s="209"/>
      <c r="N811" s="210"/>
    </row>
    <row r="812">
      <c r="B812" s="208"/>
      <c r="D812" s="209"/>
      <c r="E812" s="209"/>
      <c r="F812" s="209"/>
      <c r="G812" s="209"/>
      <c r="H812" s="209"/>
      <c r="I812" s="209"/>
      <c r="J812" s="209"/>
      <c r="K812" s="209"/>
      <c r="L812" s="209"/>
      <c r="M812" s="209"/>
      <c r="N812" s="210"/>
    </row>
    <row r="813">
      <c r="B813" s="208"/>
      <c r="D813" s="209"/>
      <c r="E813" s="209"/>
      <c r="F813" s="209"/>
      <c r="G813" s="209"/>
      <c r="H813" s="209"/>
      <c r="I813" s="209"/>
      <c r="J813" s="209"/>
      <c r="K813" s="209"/>
      <c r="L813" s="209"/>
      <c r="M813" s="209"/>
      <c r="N813" s="210"/>
    </row>
    <row r="814">
      <c r="B814" s="208"/>
      <c r="D814" s="209"/>
      <c r="E814" s="209"/>
      <c r="F814" s="209"/>
      <c r="G814" s="209"/>
      <c r="H814" s="209"/>
      <c r="I814" s="209"/>
      <c r="J814" s="209"/>
      <c r="K814" s="209"/>
      <c r="L814" s="209"/>
      <c r="M814" s="209"/>
      <c r="N814" s="210"/>
    </row>
    <row r="815">
      <c r="B815" s="208"/>
      <c r="D815" s="209"/>
      <c r="E815" s="209"/>
      <c r="F815" s="209"/>
      <c r="G815" s="209"/>
      <c r="H815" s="209"/>
      <c r="I815" s="209"/>
      <c r="J815" s="209"/>
      <c r="K815" s="209"/>
      <c r="L815" s="209"/>
      <c r="M815" s="209"/>
      <c r="N815" s="210"/>
    </row>
    <row r="816">
      <c r="B816" s="208"/>
      <c r="D816" s="209"/>
      <c r="E816" s="209"/>
      <c r="F816" s="209"/>
      <c r="G816" s="209"/>
      <c r="H816" s="209"/>
      <c r="I816" s="209"/>
      <c r="J816" s="209"/>
      <c r="K816" s="209"/>
      <c r="L816" s="209"/>
      <c r="M816" s="209"/>
      <c r="N816" s="210"/>
    </row>
    <row r="817">
      <c r="B817" s="208"/>
      <c r="D817" s="209"/>
      <c r="E817" s="209"/>
      <c r="F817" s="209"/>
      <c r="G817" s="209"/>
      <c r="H817" s="209"/>
      <c r="I817" s="209"/>
      <c r="J817" s="209"/>
      <c r="K817" s="209"/>
      <c r="L817" s="209"/>
      <c r="M817" s="209"/>
      <c r="N817" s="210"/>
    </row>
    <row r="818">
      <c r="B818" s="208"/>
      <c r="D818" s="209"/>
      <c r="E818" s="209"/>
      <c r="F818" s="209"/>
      <c r="G818" s="209"/>
      <c r="H818" s="209"/>
      <c r="I818" s="209"/>
      <c r="J818" s="209"/>
      <c r="K818" s="209"/>
      <c r="L818" s="209"/>
      <c r="M818" s="209"/>
      <c r="N818" s="210"/>
    </row>
    <row r="819">
      <c r="B819" s="208"/>
      <c r="D819" s="209"/>
      <c r="E819" s="209"/>
      <c r="F819" s="209"/>
      <c r="G819" s="209"/>
      <c r="H819" s="209"/>
      <c r="I819" s="209"/>
      <c r="J819" s="209"/>
      <c r="K819" s="209"/>
      <c r="L819" s="209"/>
      <c r="M819" s="209"/>
      <c r="N819" s="210"/>
    </row>
    <row r="820">
      <c r="B820" s="208"/>
      <c r="D820" s="209"/>
      <c r="E820" s="209"/>
      <c r="F820" s="209"/>
      <c r="G820" s="209"/>
      <c r="H820" s="209"/>
      <c r="I820" s="209"/>
      <c r="J820" s="209"/>
      <c r="K820" s="209"/>
      <c r="L820" s="209"/>
      <c r="M820" s="209"/>
      <c r="N820" s="210"/>
    </row>
    <row r="821">
      <c r="B821" s="208"/>
      <c r="D821" s="209"/>
      <c r="E821" s="209"/>
      <c r="F821" s="209"/>
      <c r="G821" s="209"/>
      <c r="H821" s="209"/>
      <c r="I821" s="209"/>
      <c r="J821" s="209"/>
      <c r="K821" s="209"/>
      <c r="L821" s="209"/>
      <c r="M821" s="209"/>
      <c r="N821" s="210"/>
    </row>
    <row r="822">
      <c r="B822" s="208"/>
      <c r="D822" s="209"/>
      <c r="E822" s="209"/>
      <c r="F822" s="209"/>
      <c r="G822" s="209"/>
      <c r="H822" s="209"/>
      <c r="I822" s="209"/>
      <c r="J822" s="209"/>
      <c r="K822" s="209"/>
      <c r="L822" s="209"/>
      <c r="M822" s="209"/>
      <c r="N822" s="210"/>
    </row>
    <row r="823">
      <c r="B823" s="208"/>
      <c r="D823" s="209"/>
      <c r="E823" s="209"/>
      <c r="F823" s="209"/>
      <c r="G823" s="209"/>
      <c r="H823" s="209"/>
      <c r="I823" s="209"/>
      <c r="J823" s="209"/>
      <c r="K823" s="209"/>
      <c r="L823" s="209"/>
      <c r="M823" s="209"/>
      <c r="N823" s="210"/>
    </row>
    <row r="824">
      <c r="B824" s="208"/>
      <c r="D824" s="209"/>
      <c r="E824" s="209"/>
      <c r="F824" s="209"/>
      <c r="G824" s="209"/>
      <c r="H824" s="209"/>
      <c r="I824" s="209"/>
      <c r="J824" s="209"/>
      <c r="K824" s="209"/>
      <c r="L824" s="209"/>
      <c r="M824" s="209"/>
      <c r="N824" s="210"/>
    </row>
    <row r="825">
      <c r="B825" s="208"/>
      <c r="D825" s="209"/>
      <c r="E825" s="209"/>
      <c r="F825" s="209"/>
      <c r="G825" s="209"/>
      <c r="H825" s="209"/>
      <c r="I825" s="209"/>
      <c r="J825" s="209"/>
      <c r="K825" s="209"/>
      <c r="L825" s="209"/>
      <c r="M825" s="209"/>
      <c r="N825" s="210"/>
    </row>
    <row r="826">
      <c r="B826" s="208"/>
      <c r="D826" s="209"/>
      <c r="E826" s="209"/>
      <c r="F826" s="209"/>
      <c r="G826" s="209"/>
      <c r="H826" s="209"/>
      <c r="I826" s="209"/>
      <c r="J826" s="209"/>
      <c r="K826" s="209"/>
      <c r="L826" s="209"/>
      <c r="M826" s="209"/>
      <c r="N826" s="210"/>
    </row>
    <row r="827">
      <c r="B827" s="208"/>
      <c r="D827" s="209"/>
      <c r="E827" s="209"/>
      <c r="F827" s="209"/>
      <c r="G827" s="209"/>
      <c r="H827" s="209"/>
      <c r="I827" s="209"/>
      <c r="J827" s="209"/>
      <c r="K827" s="209"/>
      <c r="L827" s="209"/>
      <c r="M827" s="209"/>
      <c r="N827" s="210"/>
    </row>
    <row r="828">
      <c r="B828" s="208"/>
      <c r="D828" s="209"/>
      <c r="E828" s="209"/>
      <c r="F828" s="209"/>
      <c r="G828" s="209"/>
      <c r="H828" s="209"/>
      <c r="I828" s="209"/>
      <c r="J828" s="209"/>
      <c r="K828" s="209"/>
      <c r="L828" s="209"/>
      <c r="M828" s="209"/>
      <c r="N828" s="210"/>
    </row>
    <row r="829">
      <c r="B829" s="208"/>
      <c r="D829" s="209"/>
      <c r="E829" s="209"/>
      <c r="F829" s="209"/>
      <c r="G829" s="209"/>
      <c r="H829" s="209"/>
      <c r="I829" s="209"/>
      <c r="J829" s="209"/>
      <c r="K829" s="209"/>
      <c r="L829" s="209"/>
      <c r="M829" s="209"/>
      <c r="N829" s="210"/>
    </row>
    <row r="830">
      <c r="B830" s="208"/>
      <c r="D830" s="209"/>
      <c r="E830" s="209"/>
      <c r="F830" s="209"/>
      <c r="G830" s="209"/>
      <c r="H830" s="209"/>
      <c r="I830" s="209"/>
      <c r="J830" s="209"/>
      <c r="K830" s="209"/>
      <c r="L830" s="209"/>
      <c r="M830" s="209"/>
      <c r="N830" s="210"/>
    </row>
    <row r="831">
      <c r="B831" s="208"/>
      <c r="D831" s="209"/>
      <c r="E831" s="209"/>
      <c r="F831" s="209"/>
      <c r="G831" s="209"/>
      <c r="H831" s="209"/>
      <c r="I831" s="209"/>
      <c r="J831" s="209"/>
      <c r="K831" s="209"/>
      <c r="L831" s="209"/>
      <c r="M831" s="209"/>
      <c r="N831" s="210"/>
    </row>
    <row r="832">
      <c r="B832" s="208"/>
      <c r="D832" s="209"/>
      <c r="E832" s="209"/>
      <c r="F832" s="209"/>
      <c r="G832" s="209"/>
      <c r="H832" s="209"/>
      <c r="I832" s="209"/>
      <c r="J832" s="209"/>
      <c r="K832" s="209"/>
      <c r="L832" s="209"/>
      <c r="M832" s="209"/>
      <c r="N832" s="210"/>
    </row>
    <row r="833">
      <c r="B833" s="208"/>
      <c r="D833" s="209"/>
      <c r="E833" s="209"/>
      <c r="F833" s="209"/>
      <c r="G833" s="209"/>
      <c r="H833" s="209"/>
      <c r="I833" s="209"/>
      <c r="J833" s="209"/>
      <c r="K833" s="209"/>
      <c r="L833" s="209"/>
      <c r="M833" s="209"/>
      <c r="N833" s="210"/>
    </row>
    <row r="834">
      <c r="B834" s="208"/>
      <c r="D834" s="209"/>
      <c r="E834" s="209"/>
      <c r="F834" s="209"/>
      <c r="G834" s="209"/>
      <c r="H834" s="209"/>
      <c r="I834" s="209"/>
      <c r="J834" s="209"/>
      <c r="K834" s="209"/>
      <c r="L834" s="209"/>
      <c r="M834" s="209"/>
      <c r="N834" s="210"/>
    </row>
    <row r="835">
      <c r="B835" s="208"/>
      <c r="D835" s="209"/>
      <c r="E835" s="209"/>
      <c r="F835" s="209"/>
      <c r="G835" s="209"/>
      <c r="H835" s="209"/>
      <c r="I835" s="209"/>
      <c r="J835" s="209"/>
      <c r="K835" s="209"/>
      <c r="L835" s="209"/>
      <c r="M835" s="209"/>
      <c r="N835" s="210"/>
    </row>
    <row r="836">
      <c r="B836" s="208"/>
      <c r="D836" s="209"/>
      <c r="E836" s="209"/>
      <c r="F836" s="209"/>
      <c r="G836" s="209"/>
      <c r="H836" s="209"/>
      <c r="I836" s="209"/>
      <c r="J836" s="209"/>
      <c r="K836" s="209"/>
      <c r="L836" s="209"/>
      <c r="M836" s="209"/>
      <c r="N836" s="210"/>
    </row>
    <row r="837">
      <c r="B837" s="208"/>
      <c r="D837" s="209"/>
      <c r="E837" s="209"/>
      <c r="F837" s="209"/>
      <c r="G837" s="209"/>
      <c r="H837" s="209"/>
      <c r="I837" s="209"/>
      <c r="J837" s="209"/>
      <c r="K837" s="209"/>
      <c r="L837" s="209"/>
      <c r="M837" s="209"/>
      <c r="N837" s="210"/>
    </row>
    <row r="838">
      <c r="B838" s="208"/>
      <c r="D838" s="209"/>
      <c r="E838" s="209"/>
      <c r="F838" s="209"/>
      <c r="G838" s="209"/>
      <c r="H838" s="209"/>
      <c r="I838" s="209"/>
      <c r="J838" s="209"/>
      <c r="K838" s="209"/>
      <c r="L838" s="209"/>
      <c r="M838" s="209"/>
      <c r="N838" s="210"/>
    </row>
    <row r="839">
      <c r="B839" s="208"/>
      <c r="D839" s="209"/>
      <c r="E839" s="209"/>
      <c r="F839" s="209"/>
      <c r="G839" s="209"/>
      <c r="H839" s="209"/>
      <c r="I839" s="209"/>
      <c r="J839" s="209"/>
      <c r="K839" s="209"/>
      <c r="L839" s="209"/>
      <c r="M839" s="209"/>
      <c r="N839" s="210"/>
    </row>
    <row r="840">
      <c r="B840" s="208"/>
      <c r="D840" s="209"/>
      <c r="E840" s="209"/>
      <c r="F840" s="209"/>
      <c r="G840" s="209"/>
      <c r="H840" s="209"/>
      <c r="I840" s="209"/>
      <c r="J840" s="209"/>
      <c r="K840" s="209"/>
      <c r="L840" s="209"/>
      <c r="M840" s="209"/>
      <c r="N840" s="210"/>
    </row>
    <row r="841">
      <c r="B841" s="208"/>
      <c r="D841" s="209"/>
      <c r="E841" s="209"/>
      <c r="F841" s="209"/>
      <c r="G841" s="209"/>
      <c r="H841" s="209"/>
      <c r="I841" s="209"/>
      <c r="J841" s="209"/>
      <c r="K841" s="209"/>
      <c r="L841" s="209"/>
      <c r="M841" s="209"/>
      <c r="N841" s="210"/>
    </row>
    <row r="842">
      <c r="B842" s="208"/>
      <c r="D842" s="209"/>
      <c r="E842" s="209"/>
      <c r="F842" s="209"/>
      <c r="G842" s="209"/>
      <c r="H842" s="209"/>
      <c r="I842" s="209"/>
      <c r="J842" s="209"/>
      <c r="K842" s="209"/>
      <c r="L842" s="209"/>
      <c r="M842" s="209"/>
      <c r="N842" s="210"/>
    </row>
    <row r="843">
      <c r="B843" s="208"/>
      <c r="D843" s="209"/>
      <c r="E843" s="209"/>
      <c r="F843" s="209"/>
      <c r="G843" s="209"/>
      <c r="H843" s="209"/>
      <c r="I843" s="209"/>
      <c r="J843" s="209"/>
      <c r="K843" s="209"/>
      <c r="L843" s="209"/>
      <c r="M843" s="209"/>
      <c r="N843" s="210"/>
    </row>
    <row r="844">
      <c r="B844" s="208"/>
      <c r="D844" s="209"/>
      <c r="E844" s="209"/>
      <c r="F844" s="209"/>
      <c r="G844" s="209"/>
      <c r="H844" s="209"/>
      <c r="I844" s="209"/>
      <c r="J844" s="209"/>
      <c r="K844" s="209"/>
      <c r="L844" s="209"/>
      <c r="M844" s="209"/>
      <c r="N844" s="210"/>
    </row>
    <row r="845">
      <c r="B845" s="208"/>
      <c r="D845" s="209"/>
      <c r="E845" s="209"/>
      <c r="F845" s="209"/>
      <c r="G845" s="209"/>
      <c r="H845" s="209"/>
      <c r="I845" s="209"/>
      <c r="J845" s="209"/>
      <c r="K845" s="209"/>
      <c r="L845" s="209"/>
      <c r="M845" s="209"/>
      <c r="N845" s="210"/>
    </row>
    <row r="846">
      <c r="B846" s="208"/>
      <c r="D846" s="209"/>
      <c r="E846" s="209"/>
      <c r="F846" s="209"/>
      <c r="G846" s="209"/>
      <c r="H846" s="209"/>
      <c r="I846" s="209"/>
      <c r="J846" s="209"/>
      <c r="K846" s="209"/>
      <c r="L846" s="209"/>
      <c r="M846" s="209"/>
      <c r="N846" s="210"/>
    </row>
    <row r="847">
      <c r="B847" s="208"/>
      <c r="D847" s="209"/>
      <c r="E847" s="209"/>
      <c r="F847" s="209"/>
      <c r="G847" s="209"/>
      <c r="H847" s="209"/>
      <c r="I847" s="209"/>
      <c r="J847" s="209"/>
      <c r="K847" s="209"/>
      <c r="L847" s="209"/>
      <c r="M847" s="209"/>
      <c r="N847" s="210"/>
    </row>
    <row r="848">
      <c r="B848" s="208"/>
      <c r="D848" s="209"/>
      <c r="E848" s="209"/>
      <c r="F848" s="209"/>
      <c r="G848" s="209"/>
      <c r="H848" s="209"/>
      <c r="I848" s="209"/>
      <c r="J848" s="209"/>
      <c r="K848" s="209"/>
      <c r="L848" s="209"/>
      <c r="M848" s="209"/>
      <c r="N848" s="210"/>
    </row>
    <row r="849">
      <c r="B849" s="208"/>
      <c r="D849" s="209"/>
      <c r="E849" s="209"/>
      <c r="F849" s="209"/>
      <c r="G849" s="209"/>
      <c r="H849" s="209"/>
      <c r="I849" s="209"/>
      <c r="J849" s="209"/>
      <c r="K849" s="209"/>
      <c r="L849" s="209"/>
      <c r="M849" s="209"/>
      <c r="N849" s="210"/>
    </row>
    <row r="850">
      <c r="B850" s="208"/>
      <c r="D850" s="209"/>
      <c r="E850" s="209"/>
      <c r="F850" s="209"/>
      <c r="G850" s="209"/>
      <c r="H850" s="209"/>
      <c r="I850" s="209"/>
      <c r="J850" s="209"/>
      <c r="K850" s="209"/>
      <c r="L850" s="209"/>
      <c r="M850" s="209"/>
      <c r="N850" s="210"/>
    </row>
    <row r="851">
      <c r="B851" s="208"/>
      <c r="D851" s="209"/>
      <c r="E851" s="209"/>
      <c r="F851" s="209"/>
      <c r="G851" s="209"/>
      <c r="H851" s="209"/>
      <c r="I851" s="209"/>
      <c r="J851" s="209"/>
      <c r="K851" s="209"/>
      <c r="L851" s="209"/>
      <c r="M851" s="209"/>
      <c r="N851" s="210"/>
    </row>
    <row r="852">
      <c r="B852" s="208"/>
      <c r="D852" s="209"/>
      <c r="E852" s="209"/>
      <c r="F852" s="209"/>
      <c r="G852" s="209"/>
      <c r="H852" s="209"/>
      <c r="I852" s="209"/>
      <c r="J852" s="209"/>
      <c r="K852" s="209"/>
      <c r="L852" s="209"/>
      <c r="M852" s="209"/>
      <c r="N852" s="210"/>
    </row>
    <row r="853">
      <c r="B853" s="208"/>
      <c r="D853" s="209"/>
      <c r="E853" s="209"/>
      <c r="F853" s="209"/>
      <c r="G853" s="209"/>
      <c r="H853" s="209"/>
      <c r="I853" s="209"/>
      <c r="J853" s="209"/>
      <c r="K853" s="209"/>
      <c r="L853" s="209"/>
      <c r="M853" s="209"/>
      <c r="N853" s="210"/>
    </row>
    <row r="854">
      <c r="B854" s="208"/>
      <c r="D854" s="209"/>
      <c r="E854" s="209"/>
      <c r="F854" s="209"/>
      <c r="G854" s="209"/>
      <c r="H854" s="209"/>
      <c r="I854" s="209"/>
      <c r="J854" s="209"/>
      <c r="K854" s="209"/>
      <c r="L854" s="209"/>
      <c r="M854" s="209"/>
      <c r="N854" s="210"/>
    </row>
    <row r="855">
      <c r="B855" s="208"/>
      <c r="D855" s="209"/>
      <c r="E855" s="209"/>
      <c r="F855" s="209"/>
      <c r="G855" s="209"/>
      <c r="H855" s="209"/>
      <c r="I855" s="209"/>
      <c r="J855" s="209"/>
      <c r="K855" s="209"/>
      <c r="L855" s="209"/>
      <c r="M855" s="209"/>
      <c r="N855" s="210"/>
    </row>
    <row r="856">
      <c r="B856" s="208"/>
      <c r="D856" s="209"/>
      <c r="E856" s="209"/>
      <c r="F856" s="209"/>
      <c r="G856" s="209"/>
      <c r="H856" s="209"/>
      <c r="I856" s="209"/>
      <c r="J856" s="209"/>
      <c r="K856" s="209"/>
      <c r="L856" s="209"/>
      <c r="M856" s="209"/>
      <c r="N856" s="210"/>
    </row>
    <row r="857">
      <c r="B857" s="208"/>
      <c r="D857" s="209"/>
      <c r="E857" s="209"/>
      <c r="F857" s="209"/>
      <c r="G857" s="209"/>
      <c r="H857" s="209"/>
      <c r="I857" s="209"/>
      <c r="J857" s="209"/>
      <c r="K857" s="209"/>
      <c r="L857" s="209"/>
      <c r="M857" s="209"/>
      <c r="N857" s="210"/>
    </row>
    <row r="858">
      <c r="B858" s="208"/>
      <c r="D858" s="209"/>
      <c r="E858" s="209"/>
      <c r="F858" s="209"/>
      <c r="G858" s="209"/>
      <c r="H858" s="209"/>
      <c r="I858" s="209"/>
      <c r="J858" s="209"/>
      <c r="K858" s="209"/>
      <c r="L858" s="209"/>
      <c r="M858" s="209"/>
      <c r="N858" s="210"/>
    </row>
    <row r="859">
      <c r="B859" s="208"/>
      <c r="D859" s="209"/>
      <c r="E859" s="209"/>
      <c r="F859" s="209"/>
      <c r="G859" s="209"/>
      <c r="H859" s="209"/>
      <c r="I859" s="209"/>
      <c r="J859" s="209"/>
      <c r="K859" s="209"/>
      <c r="L859" s="209"/>
      <c r="M859" s="209"/>
      <c r="N859" s="210"/>
    </row>
    <row r="860">
      <c r="B860" s="208"/>
      <c r="D860" s="209"/>
      <c r="E860" s="209"/>
      <c r="F860" s="209"/>
      <c r="G860" s="209"/>
      <c r="H860" s="209"/>
      <c r="I860" s="209"/>
      <c r="J860" s="209"/>
      <c r="K860" s="209"/>
      <c r="L860" s="209"/>
      <c r="M860" s="209"/>
      <c r="N860" s="210"/>
    </row>
    <row r="861">
      <c r="B861" s="208"/>
      <c r="D861" s="209"/>
      <c r="E861" s="209"/>
      <c r="F861" s="209"/>
      <c r="G861" s="209"/>
      <c r="H861" s="209"/>
      <c r="I861" s="209"/>
      <c r="J861" s="209"/>
      <c r="K861" s="209"/>
      <c r="L861" s="209"/>
      <c r="M861" s="209"/>
      <c r="N861" s="210"/>
    </row>
    <row r="862">
      <c r="B862" s="208"/>
      <c r="D862" s="209"/>
      <c r="E862" s="209"/>
      <c r="F862" s="209"/>
      <c r="G862" s="209"/>
      <c r="H862" s="209"/>
      <c r="I862" s="209"/>
      <c r="J862" s="209"/>
      <c r="K862" s="209"/>
      <c r="L862" s="209"/>
      <c r="M862" s="209"/>
      <c r="N862" s="210"/>
    </row>
    <row r="863">
      <c r="B863" s="208"/>
      <c r="D863" s="209"/>
      <c r="E863" s="209"/>
      <c r="F863" s="209"/>
      <c r="G863" s="209"/>
      <c r="H863" s="209"/>
      <c r="I863" s="209"/>
      <c r="J863" s="209"/>
      <c r="K863" s="209"/>
      <c r="L863" s="209"/>
      <c r="M863" s="209"/>
      <c r="N863" s="210"/>
    </row>
    <row r="864">
      <c r="B864" s="208"/>
      <c r="D864" s="209"/>
      <c r="E864" s="209"/>
      <c r="F864" s="209"/>
      <c r="G864" s="209"/>
      <c r="H864" s="209"/>
      <c r="I864" s="209"/>
      <c r="J864" s="209"/>
      <c r="K864" s="209"/>
      <c r="L864" s="209"/>
      <c r="M864" s="209"/>
      <c r="N864" s="210"/>
    </row>
    <row r="865">
      <c r="B865" s="208"/>
      <c r="D865" s="209"/>
      <c r="E865" s="209"/>
      <c r="F865" s="209"/>
      <c r="G865" s="209"/>
      <c r="H865" s="209"/>
      <c r="I865" s="209"/>
      <c r="J865" s="209"/>
      <c r="K865" s="209"/>
      <c r="L865" s="209"/>
      <c r="M865" s="209"/>
      <c r="N865" s="210"/>
    </row>
    <row r="866">
      <c r="B866" s="208"/>
      <c r="D866" s="209"/>
      <c r="E866" s="209"/>
      <c r="F866" s="209"/>
      <c r="G866" s="209"/>
      <c r="H866" s="209"/>
      <c r="I866" s="209"/>
      <c r="J866" s="209"/>
      <c r="K866" s="209"/>
      <c r="L866" s="209"/>
      <c r="M866" s="209"/>
      <c r="N866" s="210"/>
    </row>
    <row r="867">
      <c r="B867" s="208"/>
      <c r="D867" s="209"/>
      <c r="E867" s="209"/>
      <c r="F867" s="209"/>
      <c r="G867" s="209"/>
      <c r="H867" s="209"/>
      <c r="I867" s="209"/>
      <c r="J867" s="209"/>
      <c r="K867" s="209"/>
      <c r="L867" s="209"/>
      <c r="M867" s="209"/>
      <c r="N867" s="210"/>
    </row>
    <row r="868">
      <c r="B868" s="208"/>
      <c r="D868" s="209"/>
      <c r="E868" s="209"/>
      <c r="F868" s="209"/>
      <c r="G868" s="209"/>
      <c r="H868" s="209"/>
      <c r="I868" s="209"/>
      <c r="J868" s="209"/>
      <c r="K868" s="209"/>
      <c r="L868" s="209"/>
      <c r="M868" s="209"/>
      <c r="N868" s="210"/>
    </row>
    <row r="869">
      <c r="B869" s="208"/>
      <c r="D869" s="209"/>
      <c r="E869" s="209"/>
      <c r="F869" s="209"/>
      <c r="G869" s="209"/>
      <c r="H869" s="209"/>
      <c r="I869" s="209"/>
      <c r="J869" s="209"/>
      <c r="K869" s="209"/>
      <c r="L869" s="209"/>
      <c r="M869" s="209"/>
      <c r="N869" s="210"/>
    </row>
    <row r="870">
      <c r="B870" s="208"/>
      <c r="D870" s="209"/>
      <c r="E870" s="209"/>
      <c r="F870" s="209"/>
      <c r="G870" s="209"/>
      <c r="H870" s="209"/>
      <c r="I870" s="209"/>
      <c r="J870" s="209"/>
      <c r="K870" s="209"/>
      <c r="L870" s="209"/>
      <c r="M870" s="209"/>
      <c r="N870" s="210"/>
    </row>
    <row r="871">
      <c r="B871" s="208"/>
      <c r="D871" s="209"/>
      <c r="E871" s="209"/>
      <c r="F871" s="209"/>
      <c r="G871" s="209"/>
      <c r="H871" s="209"/>
      <c r="I871" s="209"/>
      <c r="J871" s="209"/>
      <c r="K871" s="209"/>
      <c r="L871" s="209"/>
      <c r="M871" s="209"/>
      <c r="N871" s="210"/>
    </row>
    <row r="872">
      <c r="B872" s="208"/>
      <c r="D872" s="209"/>
      <c r="E872" s="209"/>
      <c r="F872" s="209"/>
      <c r="G872" s="209"/>
      <c r="H872" s="209"/>
      <c r="I872" s="209"/>
      <c r="J872" s="209"/>
      <c r="K872" s="209"/>
      <c r="L872" s="209"/>
      <c r="M872" s="209"/>
      <c r="N872" s="210"/>
    </row>
    <row r="873">
      <c r="B873" s="208"/>
      <c r="D873" s="209"/>
      <c r="E873" s="209"/>
      <c r="F873" s="209"/>
      <c r="G873" s="209"/>
      <c r="H873" s="209"/>
      <c r="I873" s="209"/>
      <c r="J873" s="209"/>
      <c r="K873" s="209"/>
      <c r="L873" s="209"/>
      <c r="M873" s="209"/>
      <c r="N873" s="210"/>
    </row>
    <row r="874">
      <c r="B874" s="208"/>
      <c r="D874" s="209"/>
      <c r="E874" s="209"/>
      <c r="F874" s="209"/>
      <c r="G874" s="209"/>
      <c r="H874" s="209"/>
      <c r="I874" s="209"/>
      <c r="J874" s="209"/>
      <c r="K874" s="209"/>
      <c r="L874" s="209"/>
      <c r="M874" s="209"/>
      <c r="N874" s="210"/>
    </row>
    <row r="875">
      <c r="B875" s="208"/>
      <c r="D875" s="209"/>
      <c r="E875" s="209"/>
      <c r="F875" s="209"/>
      <c r="G875" s="209"/>
      <c r="H875" s="209"/>
      <c r="I875" s="209"/>
      <c r="J875" s="209"/>
      <c r="K875" s="209"/>
      <c r="L875" s="209"/>
      <c r="M875" s="209"/>
      <c r="N875" s="210"/>
    </row>
    <row r="876">
      <c r="B876" s="208"/>
      <c r="D876" s="209"/>
      <c r="E876" s="209"/>
      <c r="F876" s="209"/>
      <c r="G876" s="209"/>
      <c r="H876" s="209"/>
      <c r="I876" s="209"/>
      <c r="J876" s="209"/>
      <c r="K876" s="209"/>
      <c r="L876" s="209"/>
      <c r="M876" s="209"/>
      <c r="N876" s="210"/>
    </row>
    <row r="877">
      <c r="B877" s="208"/>
      <c r="D877" s="209"/>
      <c r="E877" s="209"/>
      <c r="F877" s="209"/>
      <c r="G877" s="209"/>
      <c r="H877" s="209"/>
      <c r="I877" s="209"/>
      <c r="J877" s="209"/>
      <c r="K877" s="209"/>
      <c r="L877" s="209"/>
      <c r="M877" s="209"/>
      <c r="N877" s="210"/>
    </row>
    <row r="878">
      <c r="B878" s="208"/>
      <c r="D878" s="209"/>
      <c r="E878" s="209"/>
      <c r="F878" s="209"/>
      <c r="G878" s="209"/>
      <c r="H878" s="209"/>
      <c r="I878" s="209"/>
      <c r="J878" s="209"/>
      <c r="K878" s="209"/>
      <c r="L878" s="209"/>
      <c r="M878" s="209"/>
      <c r="N878" s="210"/>
    </row>
    <row r="879">
      <c r="B879" s="208"/>
      <c r="D879" s="209"/>
      <c r="E879" s="209"/>
      <c r="F879" s="209"/>
      <c r="G879" s="209"/>
      <c r="H879" s="209"/>
      <c r="I879" s="209"/>
      <c r="J879" s="209"/>
      <c r="K879" s="209"/>
      <c r="L879" s="209"/>
      <c r="M879" s="209"/>
      <c r="N879" s="210"/>
    </row>
    <row r="880">
      <c r="B880" s="208"/>
      <c r="D880" s="209"/>
      <c r="E880" s="209"/>
      <c r="F880" s="209"/>
      <c r="G880" s="209"/>
      <c r="H880" s="209"/>
      <c r="I880" s="209"/>
      <c r="J880" s="209"/>
      <c r="K880" s="209"/>
      <c r="L880" s="209"/>
      <c r="M880" s="209"/>
      <c r="N880" s="210"/>
    </row>
    <row r="881">
      <c r="B881" s="208"/>
      <c r="D881" s="209"/>
      <c r="E881" s="209"/>
      <c r="F881" s="209"/>
      <c r="G881" s="209"/>
      <c r="H881" s="209"/>
      <c r="I881" s="209"/>
      <c r="J881" s="209"/>
      <c r="K881" s="209"/>
      <c r="L881" s="209"/>
      <c r="M881" s="209"/>
      <c r="N881" s="210"/>
    </row>
    <row r="882">
      <c r="B882" s="208"/>
      <c r="D882" s="209"/>
      <c r="E882" s="209"/>
      <c r="F882" s="209"/>
      <c r="G882" s="209"/>
      <c r="H882" s="209"/>
      <c r="I882" s="209"/>
      <c r="J882" s="209"/>
      <c r="K882" s="209"/>
      <c r="L882" s="209"/>
      <c r="M882" s="209"/>
      <c r="N882" s="210"/>
    </row>
    <row r="883">
      <c r="B883" s="208"/>
      <c r="D883" s="209"/>
      <c r="E883" s="209"/>
      <c r="F883" s="209"/>
      <c r="G883" s="209"/>
      <c r="H883" s="209"/>
      <c r="I883" s="209"/>
      <c r="J883" s="209"/>
      <c r="K883" s="209"/>
      <c r="L883" s="209"/>
      <c r="M883" s="209"/>
      <c r="N883" s="210"/>
    </row>
    <row r="884">
      <c r="B884" s="208"/>
      <c r="D884" s="209"/>
      <c r="E884" s="209"/>
      <c r="F884" s="209"/>
      <c r="G884" s="209"/>
      <c r="H884" s="209"/>
      <c r="I884" s="209"/>
      <c r="J884" s="209"/>
      <c r="K884" s="209"/>
      <c r="L884" s="209"/>
      <c r="M884" s="209"/>
      <c r="N884" s="210"/>
    </row>
    <row r="885">
      <c r="B885" s="208"/>
      <c r="D885" s="209"/>
      <c r="E885" s="209"/>
      <c r="F885" s="209"/>
      <c r="G885" s="209"/>
      <c r="H885" s="209"/>
      <c r="I885" s="209"/>
      <c r="J885" s="209"/>
      <c r="K885" s="209"/>
      <c r="L885" s="209"/>
      <c r="M885" s="209"/>
      <c r="N885" s="210"/>
    </row>
    <row r="886">
      <c r="B886" s="208"/>
      <c r="D886" s="209"/>
      <c r="E886" s="209"/>
      <c r="F886" s="209"/>
      <c r="G886" s="209"/>
      <c r="H886" s="209"/>
      <c r="I886" s="209"/>
      <c r="J886" s="209"/>
      <c r="K886" s="209"/>
      <c r="L886" s="209"/>
      <c r="M886" s="209"/>
      <c r="N886" s="210"/>
    </row>
    <row r="887">
      <c r="B887" s="208"/>
      <c r="D887" s="209"/>
      <c r="E887" s="209"/>
      <c r="F887" s="209"/>
      <c r="G887" s="209"/>
      <c r="H887" s="209"/>
      <c r="I887" s="209"/>
      <c r="J887" s="209"/>
      <c r="K887" s="209"/>
      <c r="L887" s="209"/>
      <c r="M887" s="209"/>
      <c r="N887" s="210"/>
    </row>
    <row r="888">
      <c r="B888" s="208"/>
      <c r="D888" s="209"/>
      <c r="E888" s="209"/>
      <c r="F888" s="209"/>
      <c r="G888" s="209"/>
      <c r="H888" s="209"/>
      <c r="I888" s="209"/>
      <c r="J888" s="209"/>
      <c r="K888" s="209"/>
      <c r="L888" s="209"/>
      <c r="M888" s="209"/>
      <c r="N888" s="210"/>
    </row>
    <row r="889">
      <c r="B889" s="208"/>
      <c r="D889" s="209"/>
      <c r="E889" s="209"/>
      <c r="F889" s="209"/>
      <c r="G889" s="209"/>
      <c r="H889" s="209"/>
      <c r="I889" s="209"/>
      <c r="J889" s="209"/>
      <c r="K889" s="209"/>
      <c r="L889" s="209"/>
      <c r="M889" s="209"/>
      <c r="N889" s="210"/>
    </row>
    <row r="890">
      <c r="B890" s="208"/>
      <c r="D890" s="209"/>
      <c r="E890" s="209"/>
      <c r="F890" s="209"/>
      <c r="G890" s="209"/>
      <c r="H890" s="209"/>
      <c r="I890" s="209"/>
      <c r="J890" s="209"/>
      <c r="K890" s="209"/>
      <c r="L890" s="209"/>
      <c r="M890" s="209"/>
      <c r="N890" s="210"/>
    </row>
    <row r="891">
      <c r="B891" s="208"/>
      <c r="D891" s="209"/>
      <c r="E891" s="209"/>
      <c r="F891" s="209"/>
      <c r="G891" s="209"/>
      <c r="H891" s="209"/>
      <c r="I891" s="209"/>
      <c r="J891" s="209"/>
      <c r="K891" s="209"/>
      <c r="L891" s="209"/>
      <c r="M891" s="209"/>
      <c r="N891" s="210"/>
    </row>
    <row r="892">
      <c r="B892" s="208"/>
      <c r="D892" s="209"/>
      <c r="E892" s="209"/>
      <c r="F892" s="209"/>
      <c r="G892" s="209"/>
      <c r="H892" s="209"/>
      <c r="I892" s="209"/>
      <c r="J892" s="209"/>
      <c r="K892" s="209"/>
      <c r="L892" s="209"/>
      <c r="M892" s="209"/>
      <c r="N892" s="210"/>
    </row>
    <row r="893">
      <c r="B893" s="208"/>
      <c r="D893" s="209"/>
      <c r="E893" s="209"/>
      <c r="F893" s="209"/>
      <c r="G893" s="209"/>
      <c r="H893" s="209"/>
      <c r="I893" s="209"/>
      <c r="J893" s="209"/>
      <c r="K893" s="209"/>
      <c r="L893" s="209"/>
      <c r="M893" s="209"/>
      <c r="N893" s="210"/>
    </row>
    <row r="894">
      <c r="B894" s="208"/>
      <c r="D894" s="209"/>
      <c r="E894" s="209"/>
      <c r="F894" s="209"/>
      <c r="G894" s="209"/>
      <c r="H894" s="209"/>
      <c r="I894" s="209"/>
      <c r="J894" s="209"/>
      <c r="K894" s="209"/>
      <c r="L894" s="209"/>
      <c r="M894" s="209"/>
      <c r="N894" s="210"/>
    </row>
    <row r="895">
      <c r="B895" s="208"/>
      <c r="D895" s="209"/>
      <c r="E895" s="209"/>
      <c r="F895" s="209"/>
      <c r="G895" s="209"/>
      <c r="H895" s="209"/>
      <c r="I895" s="209"/>
      <c r="J895" s="209"/>
      <c r="K895" s="209"/>
      <c r="L895" s="209"/>
      <c r="M895" s="209"/>
      <c r="N895" s="210"/>
    </row>
    <row r="896">
      <c r="B896" s="208"/>
      <c r="D896" s="209"/>
      <c r="E896" s="209"/>
      <c r="F896" s="209"/>
      <c r="G896" s="209"/>
      <c r="H896" s="209"/>
      <c r="I896" s="209"/>
      <c r="J896" s="209"/>
      <c r="K896" s="209"/>
      <c r="L896" s="209"/>
      <c r="M896" s="209"/>
      <c r="N896" s="210"/>
    </row>
    <row r="897">
      <c r="B897" s="208"/>
      <c r="D897" s="209"/>
      <c r="E897" s="209"/>
      <c r="F897" s="209"/>
      <c r="G897" s="209"/>
      <c r="H897" s="209"/>
      <c r="I897" s="209"/>
      <c r="J897" s="209"/>
      <c r="K897" s="209"/>
      <c r="L897" s="209"/>
      <c r="M897" s="209"/>
      <c r="N897" s="210"/>
    </row>
    <row r="898">
      <c r="B898" s="208"/>
      <c r="D898" s="209"/>
      <c r="E898" s="209"/>
      <c r="F898" s="209"/>
      <c r="G898" s="209"/>
      <c r="H898" s="209"/>
      <c r="I898" s="209"/>
      <c r="J898" s="209"/>
      <c r="K898" s="209"/>
      <c r="L898" s="209"/>
      <c r="M898" s="209"/>
      <c r="N898" s="210"/>
    </row>
    <row r="899">
      <c r="B899" s="208"/>
      <c r="D899" s="209"/>
      <c r="E899" s="209"/>
      <c r="F899" s="209"/>
      <c r="G899" s="209"/>
      <c r="H899" s="209"/>
      <c r="I899" s="209"/>
      <c r="J899" s="209"/>
      <c r="K899" s="209"/>
      <c r="L899" s="209"/>
      <c r="M899" s="209"/>
      <c r="N899" s="210"/>
    </row>
    <row r="900">
      <c r="B900" s="208"/>
      <c r="D900" s="209"/>
      <c r="E900" s="209"/>
      <c r="F900" s="209"/>
      <c r="G900" s="209"/>
      <c r="H900" s="209"/>
      <c r="I900" s="209"/>
      <c r="J900" s="209"/>
      <c r="K900" s="209"/>
      <c r="L900" s="209"/>
      <c r="M900" s="209"/>
      <c r="N900" s="210"/>
    </row>
    <row r="901">
      <c r="B901" s="208"/>
      <c r="D901" s="209"/>
      <c r="E901" s="209"/>
      <c r="F901" s="209"/>
      <c r="G901" s="209"/>
      <c r="H901" s="209"/>
      <c r="I901" s="209"/>
      <c r="J901" s="209"/>
      <c r="K901" s="209"/>
      <c r="L901" s="209"/>
      <c r="M901" s="209"/>
      <c r="N901" s="210"/>
    </row>
    <row r="902">
      <c r="B902" s="208"/>
      <c r="D902" s="209"/>
      <c r="E902" s="209"/>
      <c r="F902" s="209"/>
      <c r="G902" s="209"/>
      <c r="H902" s="209"/>
      <c r="I902" s="209"/>
      <c r="J902" s="209"/>
      <c r="K902" s="209"/>
      <c r="L902" s="209"/>
      <c r="M902" s="209"/>
      <c r="N902" s="210"/>
    </row>
    <row r="903">
      <c r="B903" s="208"/>
      <c r="D903" s="209"/>
      <c r="E903" s="209"/>
      <c r="F903" s="209"/>
      <c r="G903" s="209"/>
      <c r="H903" s="209"/>
      <c r="I903" s="209"/>
      <c r="J903" s="209"/>
      <c r="K903" s="209"/>
      <c r="L903" s="209"/>
      <c r="M903" s="209"/>
      <c r="N903" s="210"/>
    </row>
    <row r="904">
      <c r="B904" s="208"/>
      <c r="D904" s="209"/>
      <c r="E904" s="209"/>
      <c r="F904" s="209"/>
      <c r="G904" s="209"/>
      <c r="H904" s="209"/>
      <c r="I904" s="209"/>
      <c r="J904" s="209"/>
      <c r="K904" s="209"/>
      <c r="L904" s="209"/>
      <c r="M904" s="209"/>
      <c r="N904" s="210"/>
    </row>
    <row r="905">
      <c r="B905" s="208"/>
      <c r="D905" s="209"/>
      <c r="E905" s="209"/>
      <c r="F905" s="209"/>
      <c r="G905" s="209"/>
      <c r="H905" s="209"/>
      <c r="I905" s="209"/>
      <c r="J905" s="209"/>
      <c r="K905" s="209"/>
      <c r="L905" s="209"/>
      <c r="M905" s="209"/>
      <c r="N905" s="210"/>
    </row>
    <row r="906">
      <c r="B906" s="208"/>
      <c r="D906" s="209"/>
      <c r="E906" s="209"/>
      <c r="F906" s="209"/>
      <c r="G906" s="209"/>
      <c r="H906" s="209"/>
      <c r="I906" s="209"/>
      <c r="J906" s="209"/>
      <c r="K906" s="209"/>
      <c r="L906" s="209"/>
      <c r="M906" s="209"/>
      <c r="N906" s="210"/>
    </row>
    <row r="907">
      <c r="B907" s="208"/>
      <c r="D907" s="209"/>
      <c r="E907" s="209"/>
      <c r="F907" s="209"/>
      <c r="G907" s="209"/>
      <c r="H907" s="209"/>
      <c r="I907" s="209"/>
      <c r="J907" s="209"/>
      <c r="K907" s="209"/>
      <c r="L907" s="209"/>
      <c r="M907" s="209"/>
      <c r="N907" s="210"/>
    </row>
    <row r="908">
      <c r="B908" s="208"/>
      <c r="D908" s="209"/>
      <c r="E908" s="209"/>
      <c r="F908" s="209"/>
      <c r="G908" s="209"/>
      <c r="H908" s="209"/>
      <c r="I908" s="209"/>
      <c r="J908" s="209"/>
      <c r="K908" s="209"/>
      <c r="L908" s="209"/>
      <c r="M908" s="209"/>
      <c r="N908" s="210"/>
    </row>
    <row r="909">
      <c r="B909" s="208"/>
      <c r="D909" s="209"/>
      <c r="E909" s="209"/>
      <c r="F909" s="209"/>
      <c r="G909" s="209"/>
      <c r="H909" s="209"/>
      <c r="I909" s="209"/>
      <c r="J909" s="209"/>
      <c r="K909" s="209"/>
      <c r="L909" s="209"/>
      <c r="M909" s="209"/>
      <c r="N909" s="210"/>
    </row>
    <row r="910">
      <c r="B910" s="208"/>
      <c r="D910" s="209"/>
      <c r="E910" s="209"/>
      <c r="F910" s="209"/>
      <c r="G910" s="209"/>
      <c r="H910" s="209"/>
      <c r="I910" s="209"/>
      <c r="J910" s="209"/>
      <c r="K910" s="209"/>
      <c r="L910" s="209"/>
      <c r="M910" s="209"/>
      <c r="N910" s="210"/>
    </row>
    <row r="911">
      <c r="B911" s="208"/>
      <c r="D911" s="209"/>
      <c r="E911" s="209"/>
      <c r="F911" s="209"/>
      <c r="G911" s="209"/>
      <c r="H911" s="209"/>
      <c r="I911" s="209"/>
      <c r="J911" s="209"/>
      <c r="K911" s="209"/>
      <c r="L911" s="209"/>
      <c r="M911" s="209"/>
      <c r="N911" s="210"/>
    </row>
    <row r="912">
      <c r="B912" s="208"/>
      <c r="D912" s="209"/>
      <c r="E912" s="209"/>
      <c r="F912" s="209"/>
      <c r="G912" s="209"/>
      <c r="H912" s="209"/>
      <c r="I912" s="209"/>
      <c r="J912" s="209"/>
      <c r="K912" s="209"/>
      <c r="L912" s="209"/>
      <c r="M912" s="209"/>
      <c r="N912" s="210"/>
    </row>
    <row r="913">
      <c r="B913" s="208"/>
      <c r="D913" s="209"/>
      <c r="E913" s="209"/>
      <c r="F913" s="209"/>
      <c r="G913" s="209"/>
      <c r="H913" s="209"/>
      <c r="I913" s="209"/>
      <c r="J913" s="209"/>
      <c r="K913" s="209"/>
      <c r="L913" s="209"/>
      <c r="M913" s="209"/>
      <c r="N913" s="210"/>
    </row>
    <row r="914">
      <c r="B914" s="208"/>
      <c r="D914" s="209"/>
      <c r="E914" s="209"/>
      <c r="F914" s="209"/>
      <c r="G914" s="209"/>
      <c r="H914" s="209"/>
      <c r="I914" s="209"/>
      <c r="J914" s="209"/>
      <c r="K914" s="209"/>
      <c r="L914" s="209"/>
      <c r="M914" s="209"/>
      <c r="N914" s="210"/>
    </row>
    <row r="915">
      <c r="B915" s="208"/>
      <c r="D915" s="209"/>
      <c r="E915" s="209"/>
      <c r="F915" s="209"/>
      <c r="G915" s="209"/>
      <c r="H915" s="209"/>
      <c r="I915" s="209"/>
      <c r="J915" s="209"/>
      <c r="K915" s="209"/>
      <c r="L915" s="209"/>
      <c r="M915" s="209"/>
      <c r="N915" s="210"/>
    </row>
    <row r="916">
      <c r="B916" s="208"/>
      <c r="D916" s="209"/>
      <c r="E916" s="209"/>
      <c r="F916" s="209"/>
      <c r="G916" s="209"/>
      <c r="H916" s="209"/>
      <c r="I916" s="209"/>
      <c r="J916" s="209"/>
      <c r="K916" s="209"/>
      <c r="L916" s="209"/>
      <c r="M916" s="209"/>
      <c r="N916" s="210"/>
    </row>
    <row r="917">
      <c r="B917" s="208"/>
      <c r="D917" s="209"/>
      <c r="E917" s="209"/>
      <c r="F917" s="209"/>
      <c r="G917" s="209"/>
      <c r="H917" s="209"/>
      <c r="I917" s="209"/>
      <c r="J917" s="209"/>
      <c r="K917" s="209"/>
      <c r="L917" s="209"/>
      <c r="M917" s="209"/>
      <c r="N917" s="210"/>
    </row>
    <row r="918">
      <c r="B918" s="208"/>
      <c r="D918" s="209"/>
      <c r="E918" s="209"/>
      <c r="F918" s="209"/>
      <c r="G918" s="209"/>
      <c r="H918" s="209"/>
      <c r="I918" s="209"/>
      <c r="J918" s="209"/>
      <c r="K918" s="209"/>
      <c r="L918" s="209"/>
      <c r="M918" s="209"/>
      <c r="N918" s="210"/>
    </row>
    <row r="919">
      <c r="B919" s="208"/>
      <c r="D919" s="209"/>
      <c r="E919" s="209"/>
      <c r="F919" s="209"/>
      <c r="G919" s="209"/>
      <c r="H919" s="209"/>
      <c r="I919" s="209"/>
      <c r="J919" s="209"/>
      <c r="K919" s="209"/>
      <c r="L919" s="209"/>
      <c r="M919" s="209"/>
      <c r="N919" s="210"/>
    </row>
    <row r="920">
      <c r="B920" s="208"/>
      <c r="D920" s="209"/>
      <c r="E920" s="209"/>
      <c r="F920" s="209"/>
      <c r="G920" s="209"/>
      <c r="H920" s="209"/>
      <c r="I920" s="209"/>
      <c r="J920" s="209"/>
      <c r="K920" s="209"/>
      <c r="L920" s="209"/>
      <c r="M920" s="209"/>
      <c r="N920" s="210"/>
    </row>
    <row r="921">
      <c r="B921" s="208"/>
      <c r="D921" s="209"/>
      <c r="E921" s="209"/>
      <c r="F921" s="209"/>
      <c r="G921" s="209"/>
      <c r="H921" s="209"/>
      <c r="I921" s="209"/>
      <c r="J921" s="209"/>
      <c r="K921" s="209"/>
      <c r="L921" s="209"/>
      <c r="M921" s="209"/>
      <c r="N921" s="210"/>
    </row>
    <row r="922">
      <c r="B922" s="208"/>
      <c r="D922" s="209"/>
      <c r="E922" s="209"/>
      <c r="F922" s="209"/>
      <c r="G922" s="209"/>
      <c r="H922" s="209"/>
      <c r="I922" s="209"/>
      <c r="J922" s="209"/>
      <c r="K922" s="209"/>
      <c r="L922" s="209"/>
      <c r="M922" s="209"/>
      <c r="N922" s="210"/>
    </row>
    <row r="923">
      <c r="B923" s="208"/>
      <c r="D923" s="209"/>
      <c r="E923" s="209"/>
      <c r="F923" s="209"/>
      <c r="G923" s="209"/>
      <c r="H923" s="209"/>
      <c r="I923" s="209"/>
      <c r="J923" s="209"/>
      <c r="K923" s="209"/>
      <c r="L923" s="209"/>
      <c r="M923" s="209"/>
      <c r="N923" s="210"/>
    </row>
    <row r="924">
      <c r="B924" s="208"/>
      <c r="D924" s="209"/>
      <c r="E924" s="209"/>
      <c r="F924" s="209"/>
      <c r="G924" s="209"/>
      <c r="H924" s="209"/>
      <c r="I924" s="209"/>
      <c r="J924" s="209"/>
      <c r="K924" s="209"/>
      <c r="L924" s="209"/>
      <c r="M924" s="209"/>
      <c r="N924" s="210"/>
    </row>
    <row r="925">
      <c r="B925" s="208"/>
      <c r="D925" s="209"/>
      <c r="E925" s="209"/>
      <c r="F925" s="209"/>
      <c r="G925" s="209"/>
      <c r="H925" s="209"/>
      <c r="I925" s="209"/>
      <c r="J925" s="209"/>
      <c r="K925" s="209"/>
      <c r="L925" s="209"/>
      <c r="M925" s="209"/>
      <c r="N925" s="210"/>
    </row>
    <row r="926">
      <c r="B926" s="208"/>
      <c r="D926" s="209"/>
      <c r="E926" s="209"/>
      <c r="F926" s="209"/>
      <c r="G926" s="209"/>
      <c r="H926" s="209"/>
      <c r="I926" s="209"/>
      <c r="J926" s="209"/>
      <c r="K926" s="209"/>
      <c r="L926" s="209"/>
      <c r="M926" s="209"/>
      <c r="N926" s="210"/>
    </row>
    <row r="927">
      <c r="B927" s="208"/>
      <c r="D927" s="209"/>
      <c r="E927" s="209"/>
      <c r="F927" s="209"/>
      <c r="G927" s="209"/>
      <c r="H927" s="209"/>
      <c r="I927" s="209"/>
      <c r="J927" s="209"/>
      <c r="K927" s="209"/>
      <c r="L927" s="209"/>
      <c r="M927" s="209"/>
      <c r="N927" s="210"/>
    </row>
    <row r="928">
      <c r="B928" s="208"/>
      <c r="D928" s="209"/>
      <c r="E928" s="209"/>
      <c r="F928" s="209"/>
      <c r="G928" s="209"/>
      <c r="H928" s="209"/>
      <c r="I928" s="209"/>
      <c r="J928" s="209"/>
      <c r="K928" s="209"/>
      <c r="L928" s="209"/>
      <c r="M928" s="209"/>
      <c r="N928" s="210"/>
    </row>
    <row r="929">
      <c r="B929" s="208"/>
      <c r="D929" s="209"/>
      <c r="E929" s="209"/>
      <c r="F929" s="209"/>
      <c r="G929" s="209"/>
      <c r="H929" s="209"/>
      <c r="I929" s="209"/>
      <c r="J929" s="209"/>
      <c r="K929" s="209"/>
      <c r="L929" s="209"/>
      <c r="M929" s="209"/>
      <c r="N929" s="210"/>
    </row>
    <row r="930">
      <c r="B930" s="208"/>
      <c r="D930" s="209"/>
      <c r="E930" s="209"/>
      <c r="F930" s="209"/>
      <c r="G930" s="209"/>
      <c r="H930" s="209"/>
      <c r="I930" s="209"/>
      <c r="J930" s="209"/>
      <c r="K930" s="209"/>
      <c r="L930" s="209"/>
      <c r="M930" s="209"/>
      <c r="N930" s="210"/>
    </row>
    <row r="931">
      <c r="B931" s="208"/>
      <c r="D931" s="209"/>
      <c r="E931" s="209"/>
      <c r="F931" s="209"/>
      <c r="G931" s="209"/>
      <c r="H931" s="209"/>
      <c r="I931" s="209"/>
      <c r="J931" s="209"/>
      <c r="K931" s="209"/>
      <c r="L931" s="209"/>
      <c r="M931" s="209"/>
      <c r="N931" s="210"/>
    </row>
    <row r="932">
      <c r="B932" s="208"/>
      <c r="D932" s="209"/>
      <c r="E932" s="209"/>
      <c r="F932" s="209"/>
      <c r="G932" s="209"/>
      <c r="H932" s="209"/>
      <c r="I932" s="209"/>
      <c r="J932" s="209"/>
      <c r="K932" s="209"/>
      <c r="L932" s="209"/>
      <c r="M932" s="209"/>
      <c r="N932" s="210"/>
    </row>
    <row r="933">
      <c r="B933" s="208"/>
      <c r="D933" s="209"/>
      <c r="E933" s="209"/>
      <c r="F933" s="209"/>
      <c r="G933" s="209"/>
      <c r="H933" s="209"/>
      <c r="I933" s="209"/>
      <c r="J933" s="209"/>
      <c r="K933" s="209"/>
      <c r="L933" s="209"/>
      <c r="M933" s="209"/>
      <c r="N933" s="210"/>
    </row>
    <row r="934">
      <c r="B934" s="208"/>
      <c r="D934" s="209"/>
      <c r="E934" s="209"/>
      <c r="F934" s="209"/>
      <c r="G934" s="209"/>
      <c r="H934" s="209"/>
      <c r="I934" s="209"/>
      <c r="J934" s="209"/>
      <c r="K934" s="209"/>
      <c r="L934" s="209"/>
      <c r="M934" s="209"/>
      <c r="N934" s="210"/>
    </row>
    <row r="935">
      <c r="B935" s="208"/>
      <c r="D935" s="209"/>
      <c r="E935" s="209"/>
      <c r="F935" s="209"/>
      <c r="G935" s="209"/>
      <c r="H935" s="209"/>
      <c r="I935" s="209"/>
      <c r="J935" s="209"/>
      <c r="K935" s="209"/>
      <c r="L935" s="209"/>
      <c r="M935" s="209"/>
      <c r="N935" s="210"/>
    </row>
    <row r="936">
      <c r="B936" s="208"/>
      <c r="D936" s="209"/>
      <c r="E936" s="209"/>
      <c r="F936" s="209"/>
      <c r="G936" s="209"/>
      <c r="H936" s="209"/>
      <c r="I936" s="209"/>
      <c r="J936" s="209"/>
      <c r="K936" s="209"/>
      <c r="L936" s="209"/>
      <c r="M936" s="209"/>
      <c r="N936" s="210"/>
    </row>
    <row r="937">
      <c r="B937" s="208"/>
      <c r="D937" s="209"/>
      <c r="E937" s="209"/>
      <c r="F937" s="209"/>
      <c r="G937" s="209"/>
      <c r="H937" s="209"/>
      <c r="I937" s="209"/>
      <c r="J937" s="209"/>
      <c r="K937" s="209"/>
      <c r="L937" s="209"/>
      <c r="M937" s="209"/>
      <c r="N937" s="210"/>
    </row>
    <row r="938">
      <c r="B938" s="208"/>
      <c r="D938" s="209"/>
      <c r="E938" s="209"/>
      <c r="F938" s="209"/>
      <c r="G938" s="209"/>
      <c r="H938" s="209"/>
      <c r="I938" s="209"/>
      <c r="J938" s="209"/>
      <c r="K938" s="209"/>
      <c r="L938" s="209"/>
      <c r="M938" s="209"/>
      <c r="N938" s="210"/>
    </row>
    <row r="939">
      <c r="B939" s="208"/>
      <c r="D939" s="209"/>
      <c r="E939" s="209"/>
      <c r="F939" s="209"/>
      <c r="G939" s="209"/>
      <c r="H939" s="209"/>
      <c r="I939" s="209"/>
      <c r="J939" s="209"/>
      <c r="K939" s="209"/>
      <c r="L939" s="209"/>
      <c r="M939" s="209"/>
      <c r="N939" s="210"/>
    </row>
    <row r="940">
      <c r="B940" s="208"/>
      <c r="D940" s="209"/>
      <c r="E940" s="209"/>
      <c r="F940" s="209"/>
      <c r="G940" s="209"/>
      <c r="H940" s="209"/>
      <c r="I940" s="209"/>
      <c r="J940" s="209"/>
      <c r="K940" s="209"/>
      <c r="L940" s="209"/>
      <c r="M940" s="209"/>
      <c r="N940" s="210"/>
    </row>
    <row r="941">
      <c r="B941" s="208"/>
      <c r="D941" s="209"/>
      <c r="E941" s="209"/>
      <c r="F941" s="209"/>
      <c r="G941" s="209"/>
      <c r="H941" s="209"/>
      <c r="I941" s="209"/>
      <c r="J941" s="209"/>
      <c r="K941" s="209"/>
      <c r="L941" s="209"/>
      <c r="M941" s="209"/>
      <c r="N941" s="210"/>
    </row>
    <row r="942">
      <c r="B942" s="208"/>
      <c r="D942" s="209"/>
      <c r="E942" s="209"/>
      <c r="F942" s="209"/>
      <c r="G942" s="209"/>
      <c r="H942" s="209"/>
      <c r="I942" s="209"/>
      <c r="J942" s="209"/>
      <c r="K942" s="209"/>
      <c r="L942" s="209"/>
      <c r="M942" s="209"/>
      <c r="N942" s="210"/>
    </row>
    <row r="943">
      <c r="B943" s="208"/>
      <c r="D943" s="209"/>
      <c r="E943" s="209"/>
      <c r="F943" s="209"/>
      <c r="G943" s="209"/>
      <c r="H943" s="209"/>
      <c r="I943" s="209"/>
      <c r="J943" s="209"/>
      <c r="K943" s="209"/>
      <c r="L943" s="209"/>
      <c r="M943" s="209"/>
      <c r="N943" s="210"/>
    </row>
    <row r="944">
      <c r="B944" s="208"/>
      <c r="D944" s="209"/>
      <c r="E944" s="209"/>
      <c r="F944" s="209"/>
      <c r="G944" s="209"/>
      <c r="H944" s="209"/>
      <c r="I944" s="209"/>
      <c r="J944" s="209"/>
      <c r="K944" s="209"/>
      <c r="L944" s="209"/>
      <c r="M944" s="209"/>
      <c r="N944" s="210"/>
    </row>
    <row r="945">
      <c r="B945" s="208"/>
      <c r="D945" s="209"/>
      <c r="E945" s="209"/>
      <c r="F945" s="209"/>
      <c r="G945" s="209"/>
      <c r="H945" s="209"/>
      <c r="I945" s="209"/>
      <c r="J945" s="209"/>
      <c r="K945" s="209"/>
      <c r="L945" s="209"/>
      <c r="M945" s="209"/>
      <c r="N945" s="210"/>
    </row>
    <row r="946">
      <c r="B946" s="208"/>
      <c r="D946" s="209"/>
      <c r="E946" s="209"/>
      <c r="F946" s="209"/>
      <c r="G946" s="209"/>
      <c r="H946" s="209"/>
      <c r="I946" s="209"/>
      <c r="J946" s="209"/>
      <c r="K946" s="209"/>
      <c r="L946" s="209"/>
      <c r="M946" s="209"/>
      <c r="N946" s="210"/>
    </row>
    <row r="947">
      <c r="B947" s="208"/>
      <c r="D947" s="209"/>
      <c r="E947" s="209"/>
      <c r="F947" s="209"/>
      <c r="G947" s="209"/>
      <c r="H947" s="209"/>
      <c r="I947" s="209"/>
      <c r="J947" s="209"/>
      <c r="K947" s="209"/>
      <c r="L947" s="209"/>
      <c r="M947" s="209"/>
      <c r="N947" s="210"/>
    </row>
    <row r="948">
      <c r="B948" s="208"/>
      <c r="D948" s="209"/>
      <c r="E948" s="209"/>
      <c r="F948" s="209"/>
      <c r="G948" s="209"/>
      <c r="H948" s="209"/>
      <c r="I948" s="209"/>
      <c r="J948" s="209"/>
      <c r="K948" s="209"/>
      <c r="L948" s="209"/>
      <c r="M948" s="209"/>
      <c r="N948" s="210"/>
    </row>
    <row r="949">
      <c r="B949" s="208"/>
      <c r="D949" s="209"/>
      <c r="E949" s="209"/>
      <c r="F949" s="209"/>
      <c r="G949" s="209"/>
      <c r="H949" s="209"/>
      <c r="I949" s="209"/>
      <c r="J949" s="209"/>
      <c r="K949" s="209"/>
      <c r="L949" s="209"/>
      <c r="M949" s="209"/>
      <c r="N949" s="210"/>
    </row>
    <row r="950">
      <c r="B950" s="208"/>
      <c r="D950" s="209"/>
      <c r="E950" s="209"/>
      <c r="F950" s="209"/>
      <c r="G950" s="209"/>
      <c r="H950" s="209"/>
      <c r="I950" s="209"/>
      <c r="J950" s="209"/>
      <c r="K950" s="209"/>
      <c r="L950" s="209"/>
      <c r="M950" s="209"/>
      <c r="N950" s="210"/>
    </row>
    <row r="951">
      <c r="B951" s="208"/>
      <c r="D951" s="209"/>
      <c r="E951" s="209"/>
      <c r="F951" s="209"/>
      <c r="G951" s="209"/>
      <c r="H951" s="209"/>
      <c r="I951" s="209"/>
      <c r="J951" s="209"/>
      <c r="K951" s="209"/>
      <c r="L951" s="209"/>
      <c r="M951" s="209"/>
      <c r="N951" s="210"/>
    </row>
    <row r="952">
      <c r="B952" s="208"/>
      <c r="D952" s="209"/>
      <c r="E952" s="209"/>
      <c r="F952" s="209"/>
      <c r="G952" s="209"/>
      <c r="H952" s="209"/>
      <c r="I952" s="209"/>
      <c r="J952" s="209"/>
      <c r="K952" s="209"/>
      <c r="L952" s="209"/>
      <c r="M952" s="209"/>
      <c r="N952" s="210"/>
    </row>
    <row r="953">
      <c r="B953" s="208"/>
      <c r="D953" s="209"/>
      <c r="E953" s="209"/>
      <c r="F953" s="209"/>
      <c r="G953" s="209"/>
      <c r="H953" s="209"/>
      <c r="I953" s="209"/>
      <c r="J953" s="209"/>
      <c r="K953" s="209"/>
      <c r="L953" s="209"/>
      <c r="M953" s="209"/>
      <c r="N953" s="210"/>
    </row>
    <row r="954">
      <c r="B954" s="208"/>
      <c r="D954" s="209"/>
      <c r="E954" s="209"/>
      <c r="F954" s="209"/>
      <c r="G954" s="209"/>
      <c r="H954" s="209"/>
      <c r="I954" s="209"/>
      <c r="J954" s="209"/>
      <c r="K954" s="209"/>
      <c r="L954" s="209"/>
      <c r="M954" s="209"/>
      <c r="N954" s="210"/>
    </row>
    <row r="955">
      <c r="B955" s="208"/>
      <c r="D955" s="209"/>
      <c r="E955" s="209"/>
      <c r="F955" s="209"/>
      <c r="G955" s="209"/>
      <c r="H955" s="209"/>
      <c r="I955" s="209"/>
      <c r="J955" s="209"/>
      <c r="K955" s="209"/>
      <c r="L955" s="209"/>
      <c r="M955" s="209"/>
      <c r="N955" s="210"/>
    </row>
    <row r="956">
      <c r="B956" s="208"/>
      <c r="D956" s="209"/>
      <c r="E956" s="209"/>
      <c r="F956" s="209"/>
      <c r="G956" s="209"/>
      <c r="H956" s="209"/>
      <c r="I956" s="209"/>
      <c r="J956" s="209"/>
      <c r="K956" s="209"/>
      <c r="L956" s="209"/>
      <c r="M956" s="209"/>
      <c r="N956" s="210"/>
    </row>
    <row r="957">
      <c r="B957" s="208"/>
      <c r="D957" s="209"/>
      <c r="E957" s="209"/>
      <c r="F957" s="209"/>
      <c r="G957" s="209"/>
      <c r="H957" s="209"/>
      <c r="I957" s="209"/>
      <c r="J957" s="209"/>
      <c r="K957" s="209"/>
      <c r="L957" s="209"/>
      <c r="M957" s="209"/>
      <c r="N957" s="210"/>
    </row>
    <row r="958">
      <c r="B958" s="208"/>
      <c r="D958" s="209"/>
      <c r="E958" s="209"/>
      <c r="F958" s="209"/>
      <c r="G958" s="209"/>
      <c r="H958" s="209"/>
      <c r="I958" s="209"/>
      <c r="J958" s="209"/>
      <c r="K958" s="209"/>
      <c r="L958" s="209"/>
      <c r="M958" s="209"/>
      <c r="N958" s="210"/>
    </row>
    <row r="959">
      <c r="B959" s="208"/>
      <c r="D959" s="209"/>
      <c r="E959" s="209"/>
      <c r="F959" s="209"/>
      <c r="G959" s="209"/>
      <c r="H959" s="209"/>
      <c r="I959" s="209"/>
      <c r="J959" s="209"/>
      <c r="K959" s="209"/>
      <c r="L959" s="209"/>
      <c r="M959" s="209"/>
      <c r="N959" s="210"/>
    </row>
    <row r="960">
      <c r="B960" s="208"/>
      <c r="D960" s="209"/>
      <c r="E960" s="209"/>
      <c r="F960" s="209"/>
      <c r="G960" s="209"/>
      <c r="H960" s="209"/>
      <c r="I960" s="209"/>
      <c r="J960" s="209"/>
      <c r="K960" s="209"/>
      <c r="L960" s="209"/>
      <c r="M960" s="209"/>
      <c r="N960" s="210"/>
    </row>
    <row r="961">
      <c r="B961" s="208"/>
      <c r="D961" s="209"/>
      <c r="E961" s="209"/>
      <c r="F961" s="209"/>
      <c r="G961" s="209"/>
      <c r="H961" s="209"/>
      <c r="I961" s="209"/>
      <c r="J961" s="209"/>
      <c r="K961" s="209"/>
      <c r="L961" s="209"/>
      <c r="M961" s="209"/>
      <c r="N961" s="210"/>
    </row>
    <row r="962">
      <c r="B962" s="208"/>
      <c r="D962" s="209"/>
      <c r="E962" s="209"/>
      <c r="F962" s="209"/>
      <c r="G962" s="209"/>
      <c r="H962" s="209"/>
      <c r="I962" s="209"/>
      <c r="J962" s="209"/>
      <c r="K962" s="209"/>
      <c r="L962" s="209"/>
      <c r="M962" s="209"/>
      <c r="N962" s="210"/>
    </row>
    <row r="963">
      <c r="B963" s="208"/>
      <c r="D963" s="209"/>
      <c r="E963" s="209"/>
      <c r="F963" s="209"/>
      <c r="G963" s="209"/>
      <c r="H963" s="209"/>
      <c r="I963" s="209"/>
      <c r="J963" s="209"/>
      <c r="K963" s="209"/>
      <c r="L963" s="209"/>
      <c r="M963" s="209"/>
      <c r="N963" s="210"/>
    </row>
    <row r="964">
      <c r="B964" s="208"/>
      <c r="D964" s="209"/>
      <c r="E964" s="209"/>
      <c r="F964" s="209"/>
      <c r="G964" s="209"/>
      <c r="H964" s="209"/>
      <c r="I964" s="209"/>
      <c r="J964" s="209"/>
      <c r="K964" s="209"/>
      <c r="L964" s="209"/>
      <c r="M964" s="209"/>
      <c r="N964" s="210"/>
    </row>
    <row r="965">
      <c r="B965" s="208"/>
      <c r="D965" s="209"/>
      <c r="E965" s="209"/>
      <c r="F965" s="209"/>
      <c r="G965" s="209"/>
      <c r="H965" s="209"/>
      <c r="I965" s="209"/>
      <c r="J965" s="209"/>
      <c r="K965" s="209"/>
      <c r="L965" s="209"/>
      <c r="M965" s="209"/>
      <c r="N965" s="210"/>
    </row>
    <row r="966">
      <c r="B966" s="208"/>
      <c r="D966" s="209"/>
      <c r="E966" s="209"/>
      <c r="F966" s="209"/>
      <c r="G966" s="209"/>
      <c r="H966" s="209"/>
      <c r="I966" s="209"/>
      <c r="J966" s="209"/>
      <c r="K966" s="209"/>
      <c r="L966" s="209"/>
      <c r="M966" s="209"/>
      <c r="N966" s="210"/>
    </row>
    <row r="967">
      <c r="B967" s="208"/>
      <c r="D967" s="209"/>
      <c r="E967" s="209"/>
      <c r="F967" s="209"/>
      <c r="G967" s="209"/>
      <c r="H967" s="209"/>
      <c r="I967" s="209"/>
      <c r="J967" s="209"/>
      <c r="K967" s="209"/>
      <c r="L967" s="209"/>
      <c r="M967" s="209"/>
      <c r="N967" s="210"/>
    </row>
    <row r="968">
      <c r="B968" s="208"/>
      <c r="D968" s="209"/>
      <c r="E968" s="209"/>
      <c r="F968" s="209"/>
      <c r="G968" s="209"/>
      <c r="H968" s="209"/>
      <c r="I968" s="209"/>
      <c r="J968" s="209"/>
      <c r="K968" s="209"/>
      <c r="L968" s="209"/>
      <c r="M968" s="209"/>
      <c r="N968" s="210"/>
    </row>
    <row r="969">
      <c r="B969" s="208"/>
      <c r="D969" s="209"/>
      <c r="E969" s="209"/>
      <c r="F969" s="209"/>
      <c r="G969" s="209"/>
      <c r="H969" s="209"/>
      <c r="I969" s="209"/>
      <c r="J969" s="209"/>
      <c r="K969" s="209"/>
      <c r="L969" s="209"/>
      <c r="M969" s="209"/>
      <c r="N969" s="210"/>
    </row>
    <row r="970">
      <c r="B970" s="208"/>
      <c r="D970" s="209"/>
      <c r="E970" s="209"/>
      <c r="F970" s="209"/>
      <c r="G970" s="209"/>
      <c r="H970" s="209"/>
      <c r="I970" s="209"/>
      <c r="J970" s="209"/>
      <c r="K970" s="209"/>
      <c r="L970" s="209"/>
      <c r="M970" s="209"/>
      <c r="N970" s="210"/>
    </row>
    <row r="971">
      <c r="B971" s="208"/>
      <c r="D971" s="209"/>
      <c r="E971" s="209"/>
      <c r="F971" s="209"/>
      <c r="G971" s="209"/>
      <c r="H971" s="209"/>
      <c r="I971" s="209"/>
      <c r="J971" s="209"/>
      <c r="K971" s="209"/>
      <c r="L971" s="209"/>
      <c r="M971" s="209"/>
      <c r="N971" s="210"/>
    </row>
    <row r="972">
      <c r="B972" s="208"/>
      <c r="D972" s="209"/>
      <c r="E972" s="209"/>
      <c r="F972" s="209"/>
      <c r="G972" s="209"/>
      <c r="H972" s="209"/>
      <c r="I972" s="209"/>
      <c r="J972" s="209"/>
      <c r="K972" s="209"/>
      <c r="L972" s="209"/>
      <c r="M972" s="209"/>
      <c r="N972" s="210"/>
    </row>
    <row r="973">
      <c r="B973" s="208"/>
      <c r="D973" s="209"/>
      <c r="E973" s="209"/>
      <c r="F973" s="209"/>
      <c r="G973" s="209"/>
      <c r="H973" s="209"/>
      <c r="I973" s="209"/>
      <c r="J973" s="209"/>
      <c r="K973" s="209"/>
      <c r="L973" s="209"/>
      <c r="M973" s="209"/>
      <c r="N973" s="210"/>
    </row>
    <row r="974">
      <c r="B974" s="208"/>
      <c r="D974" s="209"/>
      <c r="E974" s="209"/>
      <c r="F974" s="209"/>
      <c r="G974" s="209"/>
      <c r="H974" s="209"/>
      <c r="I974" s="209"/>
      <c r="J974" s="209"/>
      <c r="K974" s="209"/>
      <c r="L974" s="209"/>
      <c r="M974" s="209"/>
      <c r="N974" s="210"/>
    </row>
    <row r="975">
      <c r="B975" s="208"/>
      <c r="D975" s="209"/>
      <c r="E975" s="209"/>
      <c r="F975" s="209"/>
      <c r="G975" s="209"/>
      <c r="H975" s="209"/>
      <c r="I975" s="209"/>
      <c r="J975" s="209"/>
      <c r="K975" s="209"/>
      <c r="L975" s="209"/>
      <c r="M975" s="209"/>
      <c r="N975" s="210"/>
    </row>
    <row r="976">
      <c r="B976" s="208"/>
      <c r="D976" s="209"/>
      <c r="E976" s="209"/>
      <c r="F976" s="209"/>
      <c r="G976" s="209"/>
      <c r="H976" s="209"/>
      <c r="I976" s="209"/>
      <c r="J976" s="209"/>
      <c r="K976" s="209"/>
      <c r="L976" s="209"/>
      <c r="M976" s="209"/>
      <c r="N976" s="210"/>
    </row>
    <row r="977">
      <c r="B977" s="208"/>
      <c r="D977" s="209"/>
      <c r="E977" s="209"/>
      <c r="F977" s="209"/>
      <c r="G977" s="209"/>
      <c r="H977" s="209"/>
      <c r="I977" s="209"/>
      <c r="J977" s="209"/>
      <c r="K977" s="209"/>
      <c r="L977" s="209"/>
      <c r="M977" s="209"/>
      <c r="N977" s="210"/>
    </row>
    <row r="978">
      <c r="B978" s="208"/>
      <c r="D978" s="209"/>
      <c r="E978" s="209"/>
      <c r="F978" s="209"/>
      <c r="G978" s="209"/>
      <c r="H978" s="209"/>
      <c r="I978" s="209"/>
      <c r="J978" s="209"/>
      <c r="K978" s="209"/>
      <c r="L978" s="209"/>
      <c r="M978" s="209"/>
      <c r="N978" s="210"/>
    </row>
    <row r="979">
      <c r="B979" s="208"/>
      <c r="D979" s="209"/>
      <c r="E979" s="209"/>
      <c r="F979" s="209"/>
      <c r="G979" s="209"/>
      <c r="H979" s="209"/>
      <c r="I979" s="209"/>
      <c r="J979" s="209"/>
      <c r="K979" s="209"/>
      <c r="L979" s="209"/>
      <c r="M979" s="209"/>
      <c r="N979" s="210"/>
    </row>
    <row r="980">
      <c r="B980" s="208"/>
      <c r="D980" s="209"/>
      <c r="E980" s="209"/>
      <c r="F980" s="209"/>
      <c r="G980" s="209"/>
      <c r="H980" s="209"/>
      <c r="I980" s="209"/>
      <c r="J980" s="209"/>
      <c r="K980" s="209"/>
      <c r="L980" s="209"/>
      <c r="M980" s="209"/>
      <c r="N980" s="210"/>
    </row>
    <row r="981">
      <c r="B981" s="208"/>
      <c r="D981" s="209"/>
      <c r="E981" s="209"/>
      <c r="F981" s="209"/>
      <c r="G981" s="209"/>
      <c r="H981" s="209"/>
      <c r="I981" s="209"/>
      <c r="J981" s="209"/>
      <c r="K981" s="209"/>
      <c r="L981" s="209"/>
      <c r="M981" s="209"/>
      <c r="N981" s="210"/>
    </row>
    <row r="982">
      <c r="B982" s="208"/>
      <c r="D982" s="209"/>
      <c r="E982" s="209"/>
      <c r="F982" s="209"/>
      <c r="G982" s="209"/>
      <c r="H982" s="209"/>
      <c r="I982" s="209"/>
      <c r="J982" s="209"/>
      <c r="K982" s="209"/>
      <c r="L982" s="209"/>
      <c r="M982" s="209"/>
      <c r="N982" s="210"/>
    </row>
    <row r="983">
      <c r="B983" s="208"/>
      <c r="D983" s="209"/>
      <c r="E983" s="209"/>
      <c r="F983" s="209"/>
      <c r="G983" s="209"/>
      <c r="H983" s="209"/>
      <c r="I983" s="209"/>
      <c r="J983" s="209"/>
      <c r="K983" s="209"/>
      <c r="L983" s="209"/>
      <c r="M983" s="209"/>
      <c r="N983" s="210"/>
    </row>
    <row r="984">
      <c r="B984" s="208"/>
      <c r="D984" s="209"/>
      <c r="E984" s="209"/>
      <c r="F984" s="209"/>
      <c r="G984" s="209"/>
      <c r="H984" s="209"/>
      <c r="I984" s="209"/>
      <c r="J984" s="209"/>
      <c r="K984" s="209"/>
      <c r="L984" s="209"/>
      <c r="M984" s="209"/>
      <c r="N984" s="210"/>
    </row>
    <row r="985">
      <c r="B985" s="208"/>
      <c r="D985" s="209"/>
      <c r="E985" s="209"/>
      <c r="F985" s="209"/>
      <c r="G985" s="209"/>
      <c r="H985" s="209"/>
      <c r="I985" s="209"/>
      <c r="J985" s="209"/>
      <c r="K985" s="209"/>
      <c r="L985" s="209"/>
      <c r="M985" s="209"/>
      <c r="N985" s="210"/>
    </row>
    <row r="986">
      <c r="B986" s="208"/>
      <c r="D986" s="209"/>
      <c r="E986" s="209"/>
      <c r="F986" s="209"/>
      <c r="G986" s="209"/>
      <c r="H986" s="209"/>
      <c r="I986" s="209"/>
      <c r="J986" s="209"/>
      <c r="K986" s="209"/>
      <c r="L986" s="209"/>
      <c r="M986" s="209"/>
      <c r="N986" s="210"/>
    </row>
    <row r="987">
      <c r="B987" s="208"/>
      <c r="D987" s="209"/>
      <c r="E987" s="209"/>
      <c r="F987" s="209"/>
      <c r="G987" s="209"/>
      <c r="H987" s="209"/>
      <c r="I987" s="209"/>
      <c r="J987" s="209"/>
      <c r="K987" s="209"/>
      <c r="L987" s="209"/>
      <c r="M987" s="209"/>
      <c r="N987" s="210"/>
    </row>
    <row r="988">
      <c r="B988" s="208"/>
      <c r="D988" s="209"/>
      <c r="E988" s="209"/>
      <c r="F988" s="209"/>
      <c r="G988" s="209"/>
      <c r="H988" s="209"/>
      <c r="I988" s="209"/>
      <c r="J988" s="209"/>
      <c r="K988" s="209"/>
      <c r="L988" s="209"/>
      <c r="M988" s="209"/>
      <c r="N988" s="210"/>
    </row>
    <row r="989">
      <c r="B989" s="208"/>
      <c r="D989" s="209"/>
      <c r="E989" s="209"/>
      <c r="F989" s="209"/>
      <c r="G989" s="209"/>
      <c r="H989" s="209"/>
      <c r="I989" s="209"/>
      <c r="J989" s="209"/>
      <c r="K989" s="209"/>
      <c r="L989" s="209"/>
      <c r="M989" s="209"/>
      <c r="N989" s="210"/>
    </row>
    <row r="990">
      <c r="B990" s="208"/>
      <c r="D990" s="209"/>
      <c r="E990" s="209"/>
      <c r="F990" s="209"/>
      <c r="G990" s="209"/>
      <c r="H990" s="209"/>
      <c r="I990" s="209"/>
      <c r="J990" s="209"/>
      <c r="K990" s="209"/>
      <c r="L990" s="209"/>
      <c r="M990" s="209"/>
      <c r="N990" s="210"/>
    </row>
    <row r="991">
      <c r="B991" s="208"/>
      <c r="D991" s="209"/>
      <c r="E991" s="209"/>
      <c r="F991" s="209"/>
      <c r="G991" s="209"/>
      <c r="H991" s="209"/>
      <c r="I991" s="209"/>
      <c r="J991" s="209"/>
      <c r="K991" s="209"/>
      <c r="L991" s="209"/>
      <c r="M991" s="209"/>
      <c r="N991" s="210"/>
    </row>
    <row r="992">
      <c r="B992" s="208"/>
      <c r="D992" s="209"/>
      <c r="E992" s="209"/>
      <c r="F992" s="209"/>
      <c r="G992" s="209"/>
      <c r="H992" s="209"/>
      <c r="I992" s="209"/>
      <c r="J992" s="209"/>
      <c r="K992" s="209"/>
      <c r="L992" s="209"/>
      <c r="M992" s="209"/>
      <c r="N992" s="210"/>
    </row>
    <row r="993">
      <c r="B993" s="208"/>
      <c r="D993" s="209"/>
      <c r="E993" s="209"/>
      <c r="F993" s="209"/>
      <c r="G993" s="209"/>
      <c r="H993" s="209"/>
      <c r="I993" s="209"/>
      <c r="J993" s="209"/>
      <c r="K993" s="209"/>
      <c r="L993" s="209"/>
      <c r="M993" s="209"/>
      <c r="N993" s="210"/>
    </row>
    <row r="994">
      <c r="B994" s="208"/>
      <c r="D994" s="209"/>
      <c r="E994" s="209"/>
      <c r="F994" s="209"/>
      <c r="G994" s="209"/>
      <c r="H994" s="209"/>
      <c r="I994" s="209"/>
      <c r="J994" s="209"/>
      <c r="K994" s="209"/>
      <c r="L994" s="209"/>
      <c r="M994" s="209"/>
      <c r="N994" s="210"/>
    </row>
    <row r="995">
      <c r="B995" s="208"/>
      <c r="D995" s="209"/>
      <c r="E995" s="209"/>
      <c r="F995" s="209"/>
      <c r="G995" s="209"/>
      <c r="H995" s="209"/>
      <c r="I995" s="209"/>
      <c r="J995" s="209"/>
      <c r="K995" s="209"/>
      <c r="L995" s="209"/>
      <c r="M995" s="209"/>
      <c r="N995" s="210"/>
    </row>
    <row r="996">
      <c r="B996" s="208"/>
      <c r="D996" s="209"/>
      <c r="E996" s="209"/>
      <c r="F996" s="209"/>
      <c r="G996" s="209"/>
      <c r="H996" s="209"/>
      <c r="I996" s="209"/>
      <c r="J996" s="209"/>
      <c r="K996" s="209"/>
      <c r="L996" s="209"/>
      <c r="M996" s="209"/>
      <c r="N996" s="210"/>
    </row>
    <row r="997">
      <c r="B997" s="208"/>
      <c r="D997" s="209"/>
      <c r="E997" s="209"/>
      <c r="F997" s="209"/>
      <c r="G997" s="209"/>
      <c r="H997" s="209"/>
      <c r="I997" s="209"/>
      <c r="J997" s="209"/>
      <c r="K997" s="209"/>
      <c r="L997" s="209"/>
      <c r="M997" s="209"/>
      <c r="N997" s="210"/>
    </row>
    <row r="998">
      <c r="B998" s="208"/>
      <c r="D998" s="209"/>
      <c r="E998" s="209"/>
      <c r="F998" s="209"/>
      <c r="G998" s="209"/>
      <c r="H998" s="209"/>
      <c r="I998" s="209"/>
      <c r="J998" s="209"/>
      <c r="K998" s="209"/>
      <c r="L998" s="209"/>
      <c r="M998" s="209"/>
      <c r="N998" s="210"/>
    </row>
    <row r="999">
      <c r="B999" s="208"/>
      <c r="D999" s="209"/>
      <c r="E999" s="209"/>
      <c r="F999" s="209"/>
      <c r="G999" s="209"/>
      <c r="H999" s="209"/>
      <c r="I999" s="209"/>
      <c r="J999" s="209"/>
      <c r="K999" s="209"/>
      <c r="L999" s="209"/>
      <c r="M999" s="209"/>
      <c r="N999" s="210"/>
    </row>
    <row r="1000">
      <c r="B1000" s="208"/>
      <c r="D1000" s="209"/>
      <c r="E1000" s="209"/>
      <c r="F1000" s="209"/>
      <c r="G1000" s="209"/>
      <c r="H1000" s="209"/>
      <c r="I1000" s="209"/>
      <c r="J1000" s="209"/>
      <c r="K1000" s="209"/>
      <c r="L1000" s="209"/>
      <c r="M1000" s="209"/>
      <c r="N1000" s="210"/>
    </row>
  </sheetData>
  <conditionalFormatting sqref="N1">
    <cfRule type="expression" dxfId="6" priority="1">
      <formula>isodd(year($F1))</formula>
    </cfRule>
  </conditionalFormatting>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1.0"/>
    <col customWidth="1" min="2" max="2" width="9.29"/>
    <col customWidth="1" min="3" max="3" width="7.71"/>
    <col customWidth="1" min="4" max="4" width="11.43"/>
    <col customWidth="1" min="7" max="7" width="21.14"/>
    <col customWidth="1" min="9" max="9" width="19.14"/>
  </cols>
  <sheetData>
    <row r="1" ht="22.5" customHeight="1">
      <c r="A1" s="218" t="str">
        <f>Ores[[#HEADERS],[Ore]]</f>
        <v>Ore</v>
      </c>
      <c r="B1" s="219" t="str">
        <f>Ores[[#HEADERS],[% Fe]]</f>
        <v>% Fe</v>
      </c>
      <c r="C1" s="143" t="s">
        <v>1108</v>
      </c>
      <c r="D1" s="123" t="s">
        <v>1109</v>
      </c>
      <c r="G1" s="220" t="s">
        <v>960</v>
      </c>
      <c r="H1" s="221" t="s">
        <v>969</v>
      </c>
      <c r="I1" s="221" t="s">
        <v>1109</v>
      </c>
    </row>
    <row r="2" ht="22.5" customHeight="1">
      <c r="A2" s="126" t="str">
        <f>IFERROR(__xludf.DUMMYFUNCTION("sort(unique(filter(flatten(Raw!AX2:AX103,Raw!AZ2:AZ103,Raw!BB2:BB103,Raw!BD2:BD103,Raw!BF2:BF103),flatten(Raw!AX2:AX103,Raw!AZ2:AZ103,Raw!BB2:BB103,Raw!BD2:BD103,Raw!BF2:BF103)&lt;&gt;"""")))"),"Antrim Irish Hematite")</f>
        <v>Antrim Irish Hematite</v>
      </c>
      <c r="B2" s="222">
        <f>vlookup(A2,Ores[[Ore]:[% Fe]],11,FALSE)</f>
        <v>0.3497153807</v>
      </c>
      <c r="C2" s="201" t="str">
        <f>ifs(OR(vlookup(A2,Numbers!N$3:Q$41,2,FALSE)="NR",vlookup(A2,Numbers!N$3:Q$41,4,FALSE)="NR"),"NR",AND(isblank(vlookup(A2,Numbers!N$3:Q$41,2,FALSE)),isblank(vlookup(A2,Numbers!N$3:Q$41,4,FALSE))),"",1,concatenate(round(vlookup(A2,Numbers!N$3:Q$41,2,FALSE)+vlookup(A2,Numbers!N$3:Q$41,4,FALSE),1)," %"))</f>
        <v>41.6 %</v>
      </c>
      <c r="D2" s="126">
        <f>countif(Raw!AX:BF,A2)</f>
        <v>1</v>
      </c>
      <c r="G2" s="223" t="s">
        <v>295</v>
      </c>
      <c r="H2" s="224">
        <v>0.45351090570929375</v>
      </c>
      <c r="I2" s="225">
        <v>18.0</v>
      </c>
    </row>
    <row r="3" ht="22.5" customHeight="1">
      <c r="A3" s="126" t="str">
        <f>IFERROR(__xludf.DUMMYFUNCTION("""COMPUTED_VALUE"""),"Bratton's Run Goethite")</f>
        <v>Bratton's Run Goethite</v>
      </c>
      <c r="B3" s="222">
        <f>vlookup(A3,Ores[[Ore]:[% Fe]],11,FALSE)</f>
        <v>0.4535109057</v>
      </c>
      <c r="C3" s="201" t="str">
        <f>ifs(OR(vlookup(A3,Numbers!N$3:Q$41,2,FALSE)="NR",vlookup(A3,Numbers!N$3:Q$41,4,FALSE)="NR"),"NR",AND(isblank(vlookup(A3,Numbers!N$3:Q$41,2,FALSE)),isblank(vlookup(A3,Numbers!N$3:Q$41,4,FALSE))),"",1,concatenate(round(vlookup(A3,Numbers!N$3:Q$41,2,FALSE)+vlookup(A3,Numbers!N$3:Q$41,4,FALSE),1)," %"))</f>
        <v>19.9 %</v>
      </c>
      <c r="D3" s="126">
        <f>countif(Raw!AX:BF,A3)</f>
        <v>18</v>
      </c>
      <c r="G3" s="223" t="s">
        <v>544</v>
      </c>
      <c r="H3" s="224">
        <v>0.5482634678282939</v>
      </c>
      <c r="I3" s="225">
        <v>15.0</v>
      </c>
    </row>
    <row r="4" ht="22.5" customHeight="1">
      <c r="A4" s="126" t="str">
        <f>IFERROR(__xludf.DUMMYFUNCTION("""COMPUTED_VALUE"""),"DD1")</f>
        <v>DD1</v>
      </c>
      <c r="B4" s="222">
        <f>vlookup(A4,Ores[[Ore]:[% Fe]],11,FALSE)</f>
        <v>0.5482634678</v>
      </c>
      <c r="C4" s="201" t="str">
        <f>ifs(OR(vlookup(A4,Numbers!N$3:Q$41,2,FALSE)="NR",vlookup(A4,Numbers!N$3:Q$41,4,FALSE)="NR"),"NR",AND(isblank(vlookup(A4,Numbers!N$3:Q$41,2,FALSE)),isblank(vlookup(A4,Numbers!N$3:Q$41,4,FALSE))),"",1,concatenate(round(vlookup(A4,Numbers!N$3:Q$41,2,FALSE)+vlookup(A4,Numbers!N$3:Q$41,4,FALSE),1)," %"))</f>
        <v>7.4 %</v>
      </c>
      <c r="D4" s="126">
        <f>countif(Raw!AX:BF,A4)</f>
        <v>15</v>
      </c>
      <c r="G4" s="223" t="s">
        <v>281</v>
      </c>
      <c r="H4" s="224">
        <v>0.6867011215690695</v>
      </c>
      <c r="I4" s="225">
        <v>12.0</v>
      </c>
    </row>
    <row r="5" ht="22.5" customHeight="1">
      <c r="A5" s="126" t="str">
        <f>IFERROR(__xludf.DUMMYFUNCTION("""COMPUTED_VALUE"""),"DD1-65")</f>
        <v>DD1-65</v>
      </c>
      <c r="B5" s="222">
        <f>vlookup(A5,Ores[[Ore]:[% Fe]],11,FALSE)</f>
        <v>0.5580766428</v>
      </c>
      <c r="C5" s="201" t="str">
        <f>ifs(OR(vlookup(A5,Numbers!N$3:Q$41,2,FALSE)="NR",vlookup(A5,Numbers!N$3:Q$41,4,FALSE)="NR"),"NR",AND(isblank(vlookup(A5,Numbers!N$3:Q$41,2,FALSE)),isblank(vlookup(A5,Numbers!N$3:Q$41,4,FALSE))),"",1,concatenate(round(vlookup(A5,Numbers!N$3:Q$41,2,FALSE)+vlookup(A5,Numbers!N$3:Q$41,4,FALSE),1)," %"))</f>
        <v>5.4 %</v>
      </c>
      <c r="D5" s="126">
        <f>countif(Raw!AX:BF,A5)</f>
        <v>1</v>
      </c>
      <c r="G5" s="223" t="s">
        <v>155</v>
      </c>
      <c r="H5" s="224">
        <v>0.58</v>
      </c>
      <c r="I5" s="226">
        <v>11.0</v>
      </c>
    </row>
    <row r="6" ht="22.5" customHeight="1">
      <c r="A6" s="126" t="str">
        <f>IFERROR(__xludf.DUMMYFUNCTION("""COMPUTED_VALUE"""),"DD1-SSW")</f>
        <v>DD1-SSW</v>
      </c>
      <c r="B6" s="222">
        <f>vlookup(A6,Ores[[Ore]:[% Fe]],11,FALSE)</f>
        <v>0.5482634678</v>
      </c>
      <c r="C6" s="201" t="str">
        <f>ifs(OR(vlookup(A6,Numbers!N$3:Q$41,2,FALSE)="NR",vlookup(A6,Numbers!N$3:Q$41,4,FALSE)="NR"),"NR",AND(isblank(vlookup(A6,Numbers!N$3:Q$41,2,FALSE)),isblank(vlookup(A6,Numbers!N$3:Q$41,4,FALSE))),"",1,concatenate(round(vlookup(A6,Numbers!N$3:Q$41,2,FALSE)+vlookup(A6,Numbers!N$3:Q$41,4,FALSE),1)," %"))</f>
        <v>11 %</v>
      </c>
      <c r="D6" s="126">
        <f>countif(Raw!AX:BF,A6)</f>
        <v>4</v>
      </c>
      <c r="G6" s="223" t="s">
        <v>651</v>
      </c>
      <c r="H6" s="224">
        <v>0.5618171210454646</v>
      </c>
      <c r="I6" s="225">
        <v>10.0</v>
      </c>
    </row>
    <row r="7" ht="22.5" customHeight="1">
      <c r="A7" s="126" t="str">
        <f>IFERROR(__xludf.DUMMYFUNCTION("""COMPUTED_VALUE"""),"DD1Fa")</f>
        <v>DD1Fa</v>
      </c>
      <c r="B7" s="222">
        <f>vlookup(A7,Ores[[Ore]:[% Fe]],11,FALSE)</f>
        <v>0.561817121</v>
      </c>
      <c r="C7" s="201" t="str">
        <f>ifs(OR(vlookup(A7,Numbers!N$3:Q$41,2,FALSE)="NR",vlookup(A7,Numbers!N$3:Q$41,4,FALSE)="NR"),"NR",AND(isblank(vlookup(A7,Numbers!N$3:Q$41,2,FALSE)),isblank(vlookup(A7,Numbers!N$3:Q$41,4,FALSE))),"",1,concatenate(round(vlookup(A7,Numbers!N$3:Q$41,2,FALSE)+vlookup(A7,Numbers!N$3:Q$41,4,FALSE),1)," %"))</f>
        <v>6.6 %</v>
      </c>
      <c r="D7" s="126">
        <f>countif(Raw!AX:BF,A7)</f>
        <v>10</v>
      </c>
      <c r="G7" s="223" t="s">
        <v>381</v>
      </c>
      <c r="H7" s="224">
        <v>0.49842133438935815</v>
      </c>
      <c r="I7" s="225">
        <v>6.0</v>
      </c>
    </row>
    <row r="8" ht="22.5" customHeight="1">
      <c r="A8" s="126" t="str">
        <f>IFERROR(__xludf.DUMMYFUNCTION("""COMPUTED_VALUE"""),"DD1Fb")</f>
        <v>DD1Fb</v>
      </c>
      <c r="B8" s="222">
        <f>vlookup(A8,Ores[[Ore]:[% Fe]],11,FALSE)</f>
        <v>0.5726600436</v>
      </c>
      <c r="C8" s="201" t="str">
        <f>ifs(OR(vlookup(A8,Numbers!N$3:Q$41,2,FALSE)="NR",vlookup(A8,Numbers!N$3:Q$41,4,FALSE)="NR"),"NR",AND(isblank(vlookup(A8,Numbers!N$3:Q$41,2,FALSE)),isblank(vlookup(A8,Numbers!N$3:Q$41,4,FALSE))),"",1,concatenate(round(vlookup(A8,Numbers!N$3:Q$41,2,FALSE)+vlookup(A8,Numbers!N$3:Q$41,4,FALSE),1)," %"))</f>
        <v>6 %</v>
      </c>
      <c r="D8" s="126">
        <f>countif(Raw!AX:BF,A8)</f>
        <v>3</v>
      </c>
      <c r="G8" s="223" t="s">
        <v>225</v>
      </c>
      <c r="H8" s="224">
        <v>0.653967761934284</v>
      </c>
      <c r="I8" s="225">
        <v>6.0</v>
      </c>
    </row>
    <row r="9" ht="22.5" customHeight="1">
      <c r="A9" s="126" t="str">
        <f>IFERROR(__xludf.DUMMYFUNCTION("""COMPUTED_VALUE"""),"DD1Fc")</f>
        <v>DD1Fc</v>
      </c>
      <c r="B9" s="222">
        <f>vlookup(A9,Ores[[Ore]:[% Fe]],11,FALSE)</f>
        <v>0.569949313</v>
      </c>
      <c r="C9" s="201" t="str">
        <f>ifs(OR(vlookup(A9,Numbers!N$3:Q$41,2,FALSE)="NR",vlookup(A9,Numbers!N$3:Q$41,4,FALSE)="NR"),"NR",AND(isblank(vlookup(A9,Numbers!N$3:Q$41,2,FALSE)),isblank(vlookup(A9,Numbers!N$3:Q$41,4,FALSE))),"",1,concatenate(round(vlookup(A9,Numbers!N$3:Q$41,2,FALSE)+vlookup(A9,Numbers!N$3:Q$41,4,FALSE),1)," %"))</f>
        <v>6.2 %</v>
      </c>
      <c r="D9" s="126">
        <f>countif(Raw!AX:BF,A9)</f>
        <v>1</v>
      </c>
      <c r="G9" s="223" t="s">
        <v>460</v>
      </c>
      <c r="H9" s="224">
        <v>0.5720029607266414</v>
      </c>
      <c r="I9" s="225">
        <v>5.0</v>
      </c>
    </row>
    <row r="10" ht="22.5" customHeight="1">
      <c r="A10" s="126" t="str">
        <f>IFERROR(__xludf.DUMMYFUNCTION("""COMPUTED_VALUE"""),"DD1Fd")</f>
        <v>DD1Fd</v>
      </c>
      <c r="B10" s="222">
        <f>vlookup(A10,Ores[[Ore]:[% Fe]],11,FALSE)</f>
        <v>0.5708528899</v>
      </c>
      <c r="C10" s="201" t="str">
        <f>ifs(OR(vlookup(A10,Numbers!N$3:Q$41,2,FALSE)="NR",vlookup(A10,Numbers!N$3:Q$41,4,FALSE)="NR"),"NR",AND(isblank(vlookup(A10,Numbers!N$3:Q$41,2,FALSE)),isblank(vlookup(A10,Numbers!N$3:Q$41,4,FALSE))),"",1,concatenate(round(vlookup(A10,Numbers!N$3:Q$41,2,FALSE)+vlookup(A10,Numbers!N$3:Q$41,4,FALSE),1)," %"))</f>
        <v>6.1 %</v>
      </c>
      <c r="D10" s="126">
        <f>countif(Raw!AX:BF,A10)</f>
        <v>3</v>
      </c>
      <c r="G10" s="223" t="s">
        <v>624</v>
      </c>
      <c r="H10" s="224">
        <v>0.5482634678282939</v>
      </c>
      <c r="I10" s="225">
        <v>4.0</v>
      </c>
    </row>
    <row r="11" ht="22.5" customHeight="1">
      <c r="A11" s="126" t="str">
        <f>IFERROR(__xludf.DUMMYFUNCTION("""COMPUTED_VALUE"""),"DD1Fe")</f>
        <v>DD1Fe</v>
      </c>
      <c r="B11" s="222">
        <f>vlookup(A11,Ores[[Ore]:[% Fe]],11,FALSE)</f>
        <v>0.5884677539</v>
      </c>
      <c r="C11" s="201" t="str">
        <f>ifs(OR(vlookup(A11,Numbers!N$3:Q$41,2,FALSE)="NR",vlookup(A11,Numbers!N$3:Q$41,4,FALSE)="NR"),"NR",AND(isblank(vlookup(A11,Numbers!N$3:Q$41,2,FALSE)),isblank(vlookup(A11,Numbers!N$3:Q$41,4,FALSE))),"",1,concatenate(round(vlookup(A11,Numbers!N$3:Q$41,2,FALSE)+vlookup(A11,Numbers!N$3:Q$41,4,FALSE),1)," %"))</f>
        <v>5.4 %</v>
      </c>
      <c r="D11" s="126">
        <f>countif(Raw!AX:BF,A11)</f>
        <v>1</v>
      </c>
      <c r="G11" s="223" t="s">
        <v>403</v>
      </c>
      <c r="H11" s="224">
        <v>0.5560474553344982</v>
      </c>
      <c r="I11" s="225">
        <v>4.0</v>
      </c>
    </row>
    <row r="12" ht="22.5" customHeight="1">
      <c r="A12" s="126" t="str">
        <f>IFERROR(__xludf.DUMMYFUNCTION("""COMPUTED_VALUE"""),"DD1M")</f>
        <v>DD1M</v>
      </c>
      <c r="B12" s="222">
        <f>vlookup(A12,Ores[[Ore]:[% Fe]],11,FALSE)</f>
        <v>0.5123957643</v>
      </c>
      <c r="C12" s="201" t="str">
        <f>ifs(OR(vlookup(A12,Numbers!N$3:Q$41,2,FALSE)="NR",vlookup(A12,Numbers!N$3:Q$41,4,FALSE)="NR"),"NR",AND(isblank(vlookup(A12,Numbers!N$3:Q$41,2,FALSE)),isblank(vlookup(A12,Numbers!N$3:Q$41,4,FALSE))),"",1,concatenate(round(vlookup(A12,Numbers!N$3:Q$41,2,FALSE)+vlookup(A12,Numbers!N$3:Q$41,4,FALSE),1)," %"))</f>
        <v>6.9 %</v>
      </c>
      <c r="D12" s="126">
        <f>countif(Raw!AX:BF,A12)</f>
        <v>1</v>
      </c>
      <c r="G12" s="223" t="s">
        <v>623</v>
      </c>
      <c r="H12" s="224">
        <v>0.653967761934284</v>
      </c>
      <c r="I12" s="225">
        <v>4.0</v>
      </c>
    </row>
    <row r="13" ht="22.5" customHeight="1">
      <c r="A13" s="126" t="str">
        <f>IFERROR(__xludf.DUMMYFUNCTION("""COMPUTED_VALUE"""),"DD1S")</f>
        <v>DD1S</v>
      </c>
      <c r="B13" s="222">
        <f>vlookup(A13,Ores[[Ore]:[% Fe]],11,FALSE)</f>
        <v>0.4984213344</v>
      </c>
      <c r="C13" s="201" t="str">
        <f>ifs(OR(vlookup(A13,Numbers!N$3:Q$41,2,FALSE)="NR",vlookup(A13,Numbers!N$3:Q$41,4,FALSE)="NR"),"NR",AND(isblank(vlookup(A13,Numbers!N$3:Q$41,2,FALSE)),isblank(vlookup(A13,Numbers!N$3:Q$41,4,FALSE))),"",1,concatenate(round(vlookup(A13,Numbers!N$3:Q$41,2,FALSE)+vlookup(A13,Numbers!N$3:Q$41,4,FALSE),1)," %"))</f>
        <v>15.8 %</v>
      </c>
      <c r="D13" s="126">
        <f>countif(Raw!AX:BF,A13)</f>
        <v>6</v>
      </c>
      <c r="G13" s="223" t="s">
        <v>779</v>
      </c>
      <c r="H13" s="224">
        <v>0.5726600436192011</v>
      </c>
      <c r="I13" s="225">
        <v>3.0</v>
      </c>
    </row>
    <row r="14" ht="22.5" customHeight="1">
      <c r="A14" s="126" t="str">
        <f>IFERROR(__xludf.DUMMYFUNCTION("""COMPUTED_VALUE"""),"DD1Sb")</f>
        <v>DD1Sb</v>
      </c>
      <c r="B14" s="222">
        <f>vlookup(A14,Ores[[Ore]:[% Fe]],11,FALSE)</f>
        <v>0.5237823369</v>
      </c>
      <c r="C14" s="201" t="str">
        <f>ifs(OR(vlookup(A14,Numbers!N$3:Q$41,2,FALSE)="NR",vlookup(A14,Numbers!N$3:Q$41,4,FALSE)="NR"),"NR",AND(isblank(vlookup(A14,Numbers!N$3:Q$41,2,FALSE)),isblank(vlookup(A14,Numbers!N$3:Q$41,4,FALSE))),"",1,concatenate(round(vlookup(A14,Numbers!N$3:Q$41,2,FALSE)+vlookup(A14,Numbers!N$3:Q$41,4,FALSE),1)," %"))</f>
        <v>7.1 %</v>
      </c>
      <c r="D14" s="126">
        <f>countif(Raw!AX:BF,A14)</f>
        <v>1</v>
      </c>
      <c r="G14" s="223" t="s">
        <v>534</v>
      </c>
      <c r="H14" s="224">
        <v>0.5708528898569116</v>
      </c>
      <c r="I14" s="225">
        <v>3.0</v>
      </c>
    </row>
    <row r="15" ht="22.5" customHeight="1">
      <c r="A15" s="126" t="str">
        <f>IFERROR(__xludf.DUMMYFUNCTION("""COMPUTED_VALUE"""),"DD2S")</f>
        <v>DD2S</v>
      </c>
      <c r="B15" s="222">
        <f>vlookup(A15,Ores[[Ore]:[% Fe]],11,FALSE)</f>
        <v>0.5720029607</v>
      </c>
      <c r="C15" s="201" t="str">
        <f>ifs(OR(vlookup(A15,Numbers!N$3:Q$41,2,FALSE)="NR",vlookup(A15,Numbers!N$3:Q$41,4,FALSE)="NR"),"NR",AND(isblank(vlookup(A15,Numbers!N$3:Q$41,2,FALSE)),isblank(vlookup(A15,Numbers!N$3:Q$41,4,FALSE))),"",1,concatenate(round(vlookup(A15,Numbers!N$3:Q$41,2,FALSE)+vlookup(A15,Numbers!N$3:Q$41,4,FALSE),1)," %"))</f>
        <v>11 %</v>
      </c>
      <c r="D15" s="126">
        <f>countif(Raw!AX:BF,A15)</f>
        <v>5</v>
      </c>
      <c r="G15" s="223" t="s">
        <v>677</v>
      </c>
      <c r="H15" s="224" t="s">
        <v>116</v>
      </c>
      <c r="I15" s="225">
        <v>2.0</v>
      </c>
    </row>
    <row r="16" ht="22.5" customHeight="1">
      <c r="A16" s="126" t="str">
        <f>IFERROR(__xludf.DUMMYFUNCTION("""COMPUTED_VALUE"""),"Gatineau Magnetite")</f>
        <v>Gatineau Magnetite</v>
      </c>
      <c r="B16" s="222" t="str">
        <f>vlookup(A16,Ores[[Ore]:[% Fe]],11,FALSE)</f>
        <v>NR</v>
      </c>
      <c r="C16" s="201" t="str">
        <f>ifs(OR(vlookup(A16,Numbers!N$3:Q$41,2,FALSE)="NR",vlookup(A16,Numbers!N$3:Q$41,4,FALSE)="NR"),"NR",AND(isblank(vlookup(A16,Numbers!N$3:Q$41,2,FALSE)),isblank(vlookup(A16,Numbers!N$3:Q$41,4,FALSE))),"",1,concatenate(round(vlookup(A16,Numbers!N$3:Q$41,2,FALSE)+vlookup(A16,Numbers!N$3:Q$41,4,FALSE),1)," %"))</f>
        <v/>
      </c>
      <c r="D16" s="126">
        <f>countif(Raw!AX:BF,A16)</f>
        <v>1</v>
      </c>
      <c r="G16" s="223" t="s">
        <v>438</v>
      </c>
      <c r="H16" s="224">
        <v>0.5228944372428563</v>
      </c>
      <c r="I16" s="225">
        <v>2.0</v>
      </c>
    </row>
    <row r="17" ht="22.5" customHeight="1">
      <c r="A17" s="126" t="str">
        <f>IFERROR(__xludf.DUMMYFUNCTION("""COMPUTED_VALUE"""),"Guldager Bog Ore")</f>
        <v>Guldager Bog Ore</v>
      </c>
      <c r="B17" s="222">
        <f>vlookup(A17,Ores[[Ore]:[% Fe]],11,FALSE)</f>
        <v>0.5560474553</v>
      </c>
      <c r="C17" s="201" t="str">
        <f>ifs(OR(vlookup(A17,Numbers!N$3:Q$41,2,FALSE)="NR",vlookup(A17,Numbers!N$3:Q$41,4,FALSE)="NR"),"NR",AND(isblank(vlookup(A17,Numbers!N$3:Q$41,2,FALSE)),isblank(vlookup(A17,Numbers!N$3:Q$41,4,FALSE))),"",1,concatenate(round(vlookup(A17,Numbers!N$3:Q$41,2,FALSE)+vlookup(A17,Numbers!N$3:Q$41,4,FALSE),1)," %"))</f>
        <v>16.2 %</v>
      </c>
      <c r="D17" s="126">
        <f>countif(Raw!AX:BF,A17)</f>
        <v>4</v>
      </c>
      <c r="G17" s="223" t="s">
        <v>688</v>
      </c>
      <c r="H17" s="224" t="s">
        <v>116</v>
      </c>
      <c r="I17" s="225">
        <v>2.0</v>
      </c>
    </row>
    <row r="18" ht="22.5" customHeight="1">
      <c r="A18" s="126" t="str">
        <f>IFERROR(__xludf.DUMMYFUNCTION("""COMPUTED_VALUE"""),"Guy's Run Goethite")</f>
        <v>Guy's Run Goethite</v>
      </c>
      <c r="B18" s="222">
        <f>vlookup(A18,Ores[[Ore]:[% Fe]],11,FALSE)</f>
        <v>0.58</v>
      </c>
      <c r="C18" s="201" t="str">
        <f>ifs(OR(vlookup(A18,Numbers!N$3:Q$41,2,FALSE)="NR",vlookup(A18,Numbers!N$3:Q$41,4,FALSE)="NR"),"NR",AND(isblank(vlookup(A18,Numbers!N$3:Q$41,2,FALSE)),isblank(vlookup(A18,Numbers!N$3:Q$41,4,FALSE))),"",1,concatenate(round(vlookup(A18,Numbers!N$3:Q$41,2,FALSE)+vlookup(A18,Numbers!N$3:Q$41,4,FALSE),1)," %"))</f>
        <v>10.8 %</v>
      </c>
      <c r="D18" s="125">
        <v>11.0</v>
      </c>
      <c r="G18" s="223" t="s">
        <v>851</v>
      </c>
      <c r="H18" s="224">
        <v>0.3497153807135208</v>
      </c>
      <c r="I18" s="225">
        <v>1.0</v>
      </c>
    </row>
    <row r="19" ht="22.5" customHeight="1">
      <c r="A19" s="126" t="str">
        <f>IFERROR(__xludf.DUMMYFUNCTION("""COMPUTED_VALUE"""),"Harres Bog Ore")</f>
        <v>Harres Bog Ore</v>
      </c>
      <c r="B19" s="222" t="str">
        <f>vlookup(A19,Ores[[Ore]:[% Fe]],11,FALSE)</f>
        <v>NR</v>
      </c>
      <c r="C19" s="201" t="str">
        <f>ifs(OR(vlookup(A19,Numbers!N$3:Q$41,2,FALSE)="NR",vlookup(A19,Numbers!N$3:Q$41,4,FALSE)="NR"),"NR",AND(isblank(vlookup(A19,Numbers!N$3:Q$41,2,FALSE)),isblank(vlookup(A19,Numbers!N$3:Q$41,4,FALSE))),"",1,concatenate(round(vlookup(A19,Numbers!N$3:Q$41,2,FALSE)+vlookup(A19,Numbers!N$3:Q$41,4,FALSE),1)," %"))</f>
        <v/>
      </c>
      <c r="D19" s="126">
        <f>countif(Raw!AX:BF,A19)</f>
        <v>2</v>
      </c>
      <c r="G19" s="223" t="s">
        <v>807</v>
      </c>
      <c r="H19" s="224">
        <v>0.5580766428357733</v>
      </c>
      <c r="I19" s="225">
        <v>1.0</v>
      </c>
    </row>
    <row r="20" ht="22.5" customHeight="1">
      <c r="A20" s="126" t="str">
        <f>IFERROR(__xludf.DUMMYFUNCTION("""COMPUTED_VALUE"""),"Heltborg Bog Ore")</f>
        <v>Heltborg Bog Ore</v>
      </c>
      <c r="B20" s="222" t="str">
        <f>vlookup(A20,Ores[[Ore]:[% Fe]],11,FALSE)</f>
        <v>NR</v>
      </c>
      <c r="C20" s="201" t="str">
        <f>ifs(OR(vlookup(A20,Numbers!N$3:Q$41,2,FALSE)="NR",vlookup(A20,Numbers!N$3:Q$41,4,FALSE)="NR"),"NR",AND(isblank(vlookup(A20,Numbers!N$3:Q$41,2,FALSE)),isblank(vlookup(A20,Numbers!N$3:Q$41,4,FALSE))),"",1,concatenate(round(vlookup(A20,Numbers!N$3:Q$41,2,FALSE)+vlookup(A20,Numbers!N$3:Q$41,4,FALSE),1)," %"))</f>
        <v>34.2 %</v>
      </c>
      <c r="D20" s="126">
        <f>countif(Raw!AX:BF,A20)</f>
        <v>1</v>
      </c>
      <c r="G20" s="223" t="s">
        <v>802</v>
      </c>
      <c r="H20" s="224">
        <v>0.5699493129757669</v>
      </c>
      <c r="I20" s="225">
        <v>1.0</v>
      </c>
    </row>
    <row r="21" ht="22.5" customHeight="1">
      <c r="A21" s="126" t="str">
        <f>IFERROR(__xludf.DUMMYFUNCTION("""COMPUTED_VALUE"""),"Iron Rich Slag")</f>
        <v>Iron Rich Slag</v>
      </c>
      <c r="B21" s="222" t="str">
        <f>vlookup(A21,Ores[[Ore]:[% Fe]],11,FALSE)</f>
        <v>NR</v>
      </c>
      <c r="C21" s="201" t="str">
        <f>ifs(OR(vlookup(A21,Numbers!N$3:Q$41,2,FALSE)="NR",vlookup(A21,Numbers!N$3:Q$41,4,FALSE)="NR"),"NR",AND(isblank(vlookup(A21,Numbers!N$3:Q$41,2,FALSE)),isblank(vlookup(A21,Numbers!N$3:Q$41,4,FALSE))),"",1,concatenate(round(vlookup(A21,Numbers!N$3:Q$41,2,FALSE)+vlookup(A21,Numbers!N$3:Q$41,4,FALSE),1)," %"))</f>
        <v/>
      </c>
      <c r="D21" s="126">
        <f>countif(Raw!AX:BF,A21)</f>
        <v>1</v>
      </c>
      <c r="G21" s="223" t="s">
        <v>587</v>
      </c>
      <c r="H21" s="224">
        <v>0.5884677539468843</v>
      </c>
      <c r="I21" s="225">
        <v>1.0</v>
      </c>
    </row>
    <row r="22" ht="22.5" customHeight="1">
      <c r="A22" s="126" t="str">
        <f>IFERROR(__xludf.DUMMYFUNCTION("""COMPUTED_VALUE"""),"Jamestown Goethite")</f>
        <v>Jamestown Goethite</v>
      </c>
      <c r="B22" s="222">
        <f>vlookup(A22,Ores[[Ore]:[% Fe]],11,FALSE)</f>
        <v>0.5228944372</v>
      </c>
      <c r="C22" s="201" t="str">
        <f>ifs(OR(vlookup(A22,Numbers!N$3:Q$41,2,FALSE)="NR",vlookup(A22,Numbers!N$3:Q$41,4,FALSE)="NR"),"NR",AND(isblank(vlookup(A22,Numbers!N$3:Q$41,2,FALSE)),isblank(vlookup(A22,Numbers!N$3:Q$41,4,FALSE))),"",1,concatenate(round(vlookup(A22,Numbers!N$3:Q$41,2,FALSE)+vlookup(A22,Numbers!N$3:Q$41,4,FALSE),1)," %"))</f>
        <v>3.8 %</v>
      </c>
      <c r="D22" s="126">
        <f>countif(Raw!AX:BF,A22)</f>
        <v>2</v>
      </c>
      <c r="G22" s="223" t="s">
        <v>611</v>
      </c>
      <c r="H22" s="224">
        <v>0.5123957643255084</v>
      </c>
      <c r="I22" s="225">
        <v>1.0</v>
      </c>
    </row>
    <row r="23" ht="22.5" customHeight="1">
      <c r="A23" s="126" t="str">
        <f>IFERROR(__xludf.DUMMYFUNCTION("""COMPUTED_VALUE"""),"L'AM Bog Ore")</f>
        <v>L'AM Bog Ore</v>
      </c>
      <c r="B23" s="222">
        <f>vlookup(A23,Ores[[Ore]:[% Fe]],11,FALSE)</f>
        <v>0.6311660934</v>
      </c>
      <c r="C23" s="201" t="str">
        <f>ifs(OR(vlookup(A23,Numbers!N$3:Q$41,2,FALSE)="NR",vlookup(A23,Numbers!N$3:Q$41,4,FALSE)="NR"),"NR",AND(isblank(vlookup(A23,Numbers!N$3:Q$41,2,FALSE)),isblank(vlookup(A23,Numbers!N$3:Q$41,4,FALSE))),"",1,concatenate(round(vlookup(A23,Numbers!N$3:Q$41,2,FALSE)+vlookup(A23,Numbers!N$3:Q$41,4,FALSE),1)," %"))</f>
        <v>3.7 %</v>
      </c>
      <c r="D23" s="126">
        <f>countif(Raw!AX:BF,A23)</f>
        <v>1</v>
      </c>
      <c r="G23" s="223" t="s">
        <v>569</v>
      </c>
      <c r="H23" s="224">
        <v>0.5237823368660752</v>
      </c>
      <c r="I23" s="225">
        <v>1.0</v>
      </c>
    </row>
    <row r="24" ht="22.5" customHeight="1">
      <c r="A24" s="126" t="str">
        <f>IFERROR(__xludf.DUMMYFUNCTION("""COMPUTED_VALUE"""),"Lecht Scotland Goethite")</f>
        <v>Lecht Scotland Goethite</v>
      </c>
      <c r="B24" s="222" t="str">
        <f>vlookup(A24,Ores[[Ore]:[% Fe]],11,FALSE)</f>
        <v>NR</v>
      </c>
      <c r="C24" s="201" t="str">
        <f>ifs(OR(vlookup(A24,Numbers!N$3:Q$41,2,FALSE)="NR",vlookup(A24,Numbers!N$3:Q$41,4,FALSE)="NR"),"NR",AND(isblank(vlookup(A24,Numbers!N$3:Q$41,2,FALSE)),isblank(vlookup(A24,Numbers!N$3:Q$41,4,FALSE))),"",1,concatenate(round(vlookup(A24,Numbers!N$3:Q$41,2,FALSE)+vlookup(A24,Numbers!N$3:Q$41,4,FALSE),1)," %"))</f>
        <v/>
      </c>
      <c r="D24" s="126">
        <f>countif(Raw!AX:BF,A24)</f>
        <v>2</v>
      </c>
      <c r="G24" s="223" t="s">
        <v>901</v>
      </c>
      <c r="H24" s="224" t="s">
        <v>116</v>
      </c>
      <c r="I24" s="225">
        <v>1.0</v>
      </c>
    </row>
    <row r="25" ht="22.5" customHeight="1">
      <c r="A25" s="126" t="str">
        <f>IFERROR(__xludf.DUMMYFUNCTION("""COMPUTED_VALUE"""),"Leslie Plate Ore")</f>
        <v>Leslie Plate Ore</v>
      </c>
      <c r="B25" s="222" t="str">
        <f>vlookup(A25,Ores[[Ore]:[% Fe]],11,FALSE)</f>
        <v>NR</v>
      </c>
      <c r="C25" s="201" t="str">
        <f>ifs(OR(vlookup(A25,Numbers!N$3:Q$41,2,FALSE)="NR",vlookup(A25,Numbers!N$3:Q$41,4,FALSE)="NR"),"NR",AND(isblank(vlookup(A25,Numbers!N$3:Q$41,2,FALSE)),isblank(vlookup(A25,Numbers!N$3:Q$41,4,FALSE))),"",1,concatenate(round(vlookup(A25,Numbers!N$3:Q$41,2,FALSE)+vlookup(A25,Numbers!N$3:Q$41,4,FALSE),1)," %"))</f>
        <v/>
      </c>
      <c r="D25" s="126">
        <f>countif(Raw!AX:BF,A25)</f>
        <v>1</v>
      </c>
      <c r="G25" s="223" t="s">
        <v>418</v>
      </c>
      <c r="H25" s="224" t="s">
        <v>116</v>
      </c>
      <c r="I25" s="225">
        <v>1.0</v>
      </c>
    </row>
    <row r="26" ht="22.5" customHeight="1">
      <c r="A26" s="126" t="str">
        <f>IFERROR(__xludf.DUMMYFUNCTION("""COMPUTED_VALUE"""),"Macaulayite")</f>
        <v>Macaulayite</v>
      </c>
      <c r="B26" s="222">
        <f>vlookup(A26,Ores[[Ore]:[% Fe]],11,FALSE)</f>
        <v>0.2529141633</v>
      </c>
      <c r="C26" s="201" t="str">
        <f>ifs(OR(vlookup(A26,Numbers!N$3:Q$41,2,FALSE)="NR",vlookup(A26,Numbers!N$3:Q$41,4,FALSE)="NR"),"NR",AND(isblank(vlookup(A26,Numbers!N$3:Q$41,2,FALSE)),isblank(vlookup(A26,Numbers!N$3:Q$41,4,FALSE))),"",1,concatenate(round(vlookup(A26,Numbers!N$3:Q$41,2,FALSE)+vlookup(A26,Numbers!N$3:Q$41,4,FALSE),1)," %"))</f>
        <v>54.5 %</v>
      </c>
      <c r="D26" s="126">
        <f>countif(Raw!AX:BF,A26)</f>
        <v>1</v>
      </c>
      <c r="G26" s="223" t="s">
        <v>413</v>
      </c>
      <c r="H26" s="224" t="s">
        <v>116</v>
      </c>
      <c r="I26" s="225">
        <v>1.0</v>
      </c>
    </row>
    <row r="27" ht="22.5" customHeight="1">
      <c r="A27" s="126" t="str">
        <f>IFERROR(__xludf.DUMMYFUNCTION("""COMPUTED_VALUE"""),"Magnetite Sand")</f>
        <v>Magnetite Sand</v>
      </c>
      <c r="B27" s="222" t="str">
        <f>vlookup(A27,Ores[[Ore]:[% Fe]],11,FALSE)</f>
        <v>NR</v>
      </c>
      <c r="C27" s="201" t="str">
        <f>ifs(OR(vlookup(A27,Numbers!N$3:Q$41,2,FALSE)="NR",vlookup(A27,Numbers!N$3:Q$41,4,FALSE)="NR"),"NR",AND(isblank(vlookup(A27,Numbers!N$3:Q$41,2,FALSE)),isblank(vlookup(A27,Numbers!N$3:Q$41,4,FALSE))),"",1,concatenate(round(vlookup(A27,Numbers!N$3:Q$41,2,FALSE)+vlookup(A27,Numbers!N$3:Q$41,4,FALSE),1)," %"))</f>
        <v/>
      </c>
      <c r="D27" s="126">
        <f>countif(Raw!AX:BF,A27)</f>
        <v>1</v>
      </c>
      <c r="G27" s="223" t="s">
        <v>124</v>
      </c>
      <c r="H27" s="224">
        <v>0.6311660934434384</v>
      </c>
      <c r="I27" s="225">
        <v>1.0</v>
      </c>
    </row>
    <row r="28" ht="22.5" customHeight="1">
      <c r="A28" s="126" t="str">
        <f>IFERROR(__xludf.DUMMYFUNCTION("""COMPUTED_VALUE"""),"Michigan Taconite")</f>
        <v>Michigan Taconite</v>
      </c>
      <c r="B28" s="222">
        <f>vlookup(A28,Ores[[Ore]:[% Fe]],11,FALSE)</f>
        <v>0.6539677619</v>
      </c>
      <c r="C28" s="201" t="str">
        <f>ifs(OR(vlookup(A28,Numbers!N$3:Q$41,2,FALSE)="NR",vlookup(A28,Numbers!N$3:Q$41,4,FALSE)="NR"),"NR",AND(isblank(vlookup(A28,Numbers!N$3:Q$41,2,FALSE)),isblank(vlookup(A28,Numbers!N$3:Q$41,4,FALSE))),"",1,concatenate(round(vlookup(A28,Numbers!N$3:Q$41,2,FALSE)+vlookup(A28,Numbers!N$3:Q$41,4,FALSE),1)," %"))</f>
        <v>5.1 %</v>
      </c>
      <c r="D28" s="126">
        <f>countif(Raw!AX:BF,A28)</f>
        <v>1</v>
      </c>
      <c r="G28" s="223" t="s">
        <v>890</v>
      </c>
      <c r="H28" s="224" t="s">
        <v>116</v>
      </c>
      <c r="I28" s="225">
        <v>1.0</v>
      </c>
    </row>
    <row r="29" ht="22.5" customHeight="1">
      <c r="A29" s="126" t="str">
        <f>IFERROR(__xludf.DUMMYFUNCTION("""COMPUTED_VALUE"""),"Minden Red Ochre")</f>
        <v>Minden Red Ochre</v>
      </c>
      <c r="B29" s="222">
        <f>vlookup(A29,Ores[[Ore]:[% Fe]],11,FALSE)</f>
        <v>0.4257435045</v>
      </c>
      <c r="C29" s="201" t="str">
        <f>ifs(OR(vlookup(A29,Numbers!N$3:Q$41,2,FALSE)="NR",vlookup(A29,Numbers!N$3:Q$41,4,FALSE)="NR"),"NR",AND(isblank(vlookup(A29,Numbers!N$3:Q$41,2,FALSE)),isblank(vlookup(A29,Numbers!N$3:Q$41,4,FALSE))),"",1,concatenate(round(vlookup(A29,Numbers!N$3:Q$41,2,FALSE)+vlookup(A29,Numbers!N$3:Q$41,4,FALSE),1)," %"))</f>
        <v>30.1 %</v>
      </c>
      <c r="D29" s="126">
        <f>countif(Raw!AX:BF,A29)</f>
        <v>1</v>
      </c>
      <c r="G29" s="223" t="s">
        <v>622</v>
      </c>
      <c r="H29" s="224">
        <v>0.2529141633320182</v>
      </c>
      <c r="I29" s="225">
        <v>1.0</v>
      </c>
    </row>
    <row r="30" ht="22.5" customHeight="1">
      <c r="A30" s="126" t="str">
        <f>IFERROR(__xludf.DUMMYFUNCTION("""COMPUTED_VALUE"""),"Opta Hematite")</f>
        <v>Opta Hematite</v>
      </c>
      <c r="B30" s="222">
        <f>vlookup(A30,Ores[[Ore]:[% Fe]],11,FALSE)</f>
        <v>0.6867011216</v>
      </c>
      <c r="C30" s="201" t="str">
        <f>ifs(OR(vlookup(A30,Numbers!N$3:Q$41,2,FALSE)="NR",vlookup(A30,Numbers!N$3:Q$41,4,FALSE)="NR"),"NR",AND(isblank(vlookup(A30,Numbers!N$3:Q$41,2,FALSE)),isblank(vlookup(A30,Numbers!N$3:Q$41,4,FALSE))),"",1,concatenate(round(vlookup(A30,Numbers!N$3:Q$41,2,FALSE)+vlookup(A30,Numbers!N$3:Q$41,4,FALSE),1)," %"))</f>
        <v>0.3 %</v>
      </c>
      <c r="D30" s="126">
        <f>countif(Raw!AX:BF,A30)</f>
        <v>12</v>
      </c>
      <c r="G30" s="223" t="s">
        <v>210</v>
      </c>
      <c r="H30" s="224" t="s">
        <v>116</v>
      </c>
      <c r="I30" s="225">
        <v>1.0</v>
      </c>
    </row>
    <row r="31" ht="22.5" customHeight="1">
      <c r="A31" s="126" t="str">
        <f>IFERROR(__xludf.DUMMYFUNCTION("""COMPUTED_VALUE"""),"Quebec Rock")</f>
        <v>Quebec Rock</v>
      </c>
      <c r="B31" s="222" t="str">
        <f>vlookup(A31,Ores[[Ore]:[% Fe]],11,FALSE)</f>
        <v>NR</v>
      </c>
      <c r="C31" s="201" t="str">
        <f>ifs(OR(vlookup(A31,Numbers!N$3:Q$41,2,FALSE)="NR",vlookup(A31,Numbers!N$3:Q$41,4,FALSE)="NR"),"NR",AND(isblank(vlookup(A31,Numbers!N$3:Q$41,2,FALSE)),isblank(vlookup(A31,Numbers!N$3:Q$41,4,FALSE))),"",1,concatenate(round(vlookup(A31,Numbers!N$3:Q$41,2,FALSE)+vlookup(A31,Numbers!N$3:Q$41,4,FALSE),1)," %"))</f>
        <v/>
      </c>
      <c r="D31" s="126">
        <f>countif(Raw!AX:BF,A31)</f>
        <v>1</v>
      </c>
      <c r="G31" s="223" t="s">
        <v>271</v>
      </c>
      <c r="H31" s="224">
        <v>0.653967761934284</v>
      </c>
      <c r="I31" s="225">
        <v>1.0</v>
      </c>
    </row>
    <row r="32" ht="22.5" customHeight="1">
      <c r="A32" s="126" t="str">
        <f>IFERROR(__xludf.DUMMYFUNCTION("""COMPUTED_VALUE"""),"Scotland Taconite")</f>
        <v>Scotland Taconite</v>
      </c>
      <c r="B32" s="222">
        <f>vlookup(A32,Ores[[Ore]:[% Fe]],11,FALSE)</f>
        <v>0.6539677619</v>
      </c>
      <c r="C32" s="201" t="str">
        <f>ifs(OR(vlookup(A32,Numbers!N$3:Q$41,2,FALSE)="NR",vlookup(A32,Numbers!N$3:Q$41,4,FALSE)="NR"),"NR",AND(isblank(vlookup(A32,Numbers!N$3:Q$41,2,FALSE)),isblank(vlookup(A32,Numbers!N$3:Q$41,4,FALSE))),"",1,concatenate(round(vlookup(A32,Numbers!N$3:Q$41,2,FALSE)+vlookup(A32,Numbers!N$3:Q$41,4,FALSE),1)," %"))</f>
        <v>5.1 %</v>
      </c>
      <c r="D32" s="126">
        <f>countif(Raw!AX:BF,A32)</f>
        <v>4</v>
      </c>
      <c r="G32" s="223" t="s">
        <v>313</v>
      </c>
      <c r="H32" s="224">
        <v>0.42574350448064024</v>
      </c>
      <c r="I32" s="225">
        <v>1.0</v>
      </c>
    </row>
    <row r="33" ht="22.5" customHeight="1">
      <c r="A33" s="126" t="str">
        <f>IFERROR(__xludf.DUMMYFUNCTION("""COMPUTED_VALUE"""),"SLM")</f>
        <v>SLM</v>
      </c>
      <c r="B33" s="222">
        <f>vlookup(A33,Ores[[Ore]:[% Fe]],11,FALSE)</f>
        <v>0.5921444799</v>
      </c>
      <c r="C33" s="201" t="str">
        <f>ifs(OR(vlookup(A33,Numbers!N$3:Q$41,2,FALSE)="NR",vlookup(A33,Numbers!N$3:Q$41,4,FALSE)="NR"),"NR",AND(isblank(vlookup(A33,Numbers!N$3:Q$41,2,FALSE)),isblank(vlookup(A33,Numbers!N$3:Q$41,4,FALSE))),"",1,concatenate(round(vlookup(A33,Numbers!N$3:Q$41,2,FALSE)+vlookup(A33,Numbers!N$3:Q$41,4,FALSE),1)," %"))</f>
        <v>15.9 %</v>
      </c>
      <c r="D33" s="126">
        <f>countif(Raw!AX:BF,A33)</f>
        <v>1</v>
      </c>
      <c r="G33" s="223" t="s">
        <v>592</v>
      </c>
      <c r="H33" s="224" t="s">
        <v>116</v>
      </c>
      <c r="I33" s="225">
        <v>1.0</v>
      </c>
    </row>
    <row r="34" ht="22.5" customHeight="1">
      <c r="A34" s="126" t="str">
        <f>IFERROR(__xludf.DUMMYFUNCTION("""COMPUTED_VALUE"""),"Stelco Taconite")</f>
        <v>Stelco Taconite</v>
      </c>
      <c r="B34" s="222">
        <f>vlookup(A34,Ores[[Ore]:[% Fe]],11,FALSE)</f>
        <v>0.6539677619</v>
      </c>
      <c r="C34" s="201" t="str">
        <f>ifs(OR(vlookup(A34,Numbers!N$3:Q$41,2,FALSE)="NR",vlookup(A34,Numbers!N$3:Q$41,4,FALSE)="NR"),"NR",AND(isblank(vlookup(A34,Numbers!N$3:Q$41,2,FALSE)),isblank(vlookup(A34,Numbers!N$3:Q$41,4,FALSE))),"",1,concatenate(round(vlookup(A34,Numbers!N$3:Q$41,2,FALSE)+vlookup(A34,Numbers!N$3:Q$41,4,FALSE),1)," %"))</f>
        <v>5.1 %</v>
      </c>
      <c r="D34" s="126">
        <f>countif(Raw!AX:BF,A34)</f>
        <v>6</v>
      </c>
      <c r="G34" s="223" t="s">
        <v>139</v>
      </c>
      <c r="H34" s="224">
        <v>0.5921444798937561</v>
      </c>
      <c r="I34" s="225">
        <v>1.0</v>
      </c>
    </row>
    <row r="35" ht="22.5" customHeight="1">
      <c r="A35" s="126" t="str">
        <f>IFERROR(__xludf.DUMMYFUNCTION("""COMPUTED_VALUE"""),"Stelco Taconite S")</f>
        <v>Stelco Taconite S</v>
      </c>
      <c r="B35" s="222">
        <f>vlookup(A35,Ores[[Ore]:[% Fe]],11,FALSE)</f>
        <v>0.5359585417</v>
      </c>
      <c r="C35" s="201" t="str">
        <f>ifs(OR(vlookup(A35,Numbers!N$3:Q$41,2,FALSE)="NR",vlookup(A35,Numbers!N$3:Q$41,4,FALSE)="NR"),"NR",AND(isblank(vlookup(A35,Numbers!N$3:Q$41,2,FALSE)),isblank(vlookup(A35,Numbers!N$3:Q$41,4,FALSE))),"",1,concatenate(round(vlookup(A35,Numbers!N$3:Q$41,2,FALSE)+vlookup(A35,Numbers!N$3:Q$41,4,FALSE),1)," %"))</f>
        <v>22.2 %</v>
      </c>
      <c r="D35" s="126">
        <f>countif(Raw!AX:BF,A35)</f>
        <v>1</v>
      </c>
      <c r="G35" s="223" t="s">
        <v>241</v>
      </c>
      <c r="H35" s="224">
        <v>0.5359585417356162</v>
      </c>
      <c r="I35" s="225">
        <v>1.0</v>
      </c>
    </row>
    <row r="36" ht="22.5" customHeight="1">
      <c r="A36" s="126" t="str">
        <f>IFERROR(__xludf.DUMMYFUNCTION("""COMPUTED_VALUE"""),"Swedish Bog Ore")</f>
        <v>Swedish Bog Ore</v>
      </c>
      <c r="B36" s="222">
        <f>vlookup(A36,Ores[[Ore]:[% Fe]],11,FALSE)</f>
        <v>0.6364819929</v>
      </c>
      <c r="C36" s="201" t="str">
        <f>ifs(OR(vlookup(A36,Numbers!N$3:Q$41,2,FALSE)="NR",vlookup(A36,Numbers!N$3:Q$41,4,FALSE)="NR"),"NR",AND(isblank(vlookup(A36,Numbers!N$3:Q$41,2,FALSE)),isblank(vlookup(A36,Numbers!N$3:Q$41,4,FALSE))),"",1,concatenate(round(vlookup(A36,Numbers!N$3:Q$41,2,FALSE)+vlookup(A36,Numbers!N$3:Q$41,4,FALSE),1)," %"))</f>
        <v>8.5 %</v>
      </c>
      <c r="D36" s="126">
        <f>countif(Raw!AX:BF,A36)</f>
        <v>1</v>
      </c>
      <c r="G36" s="223" t="s">
        <v>419</v>
      </c>
      <c r="H36" s="224">
        <v>0.636481992898608</v>
      </c>
      <c r="I36" s="225">
        <v>1.0</v>
      </c>
    </row>
    <row r="37" ht="22.5" customHeight="1">
      <c r="B37" s="198"/>
      <c r="C37" s="198"/>
      <c r="G37" s="227"/>
      <c r="H37" s="224"/>
      <c r="I37" s="225"/>
    </row>
    <row r="38" ht="22.5" customHeight="1">
      <c r="A38" s="125"/>
      <c r="G38" s="227"/>
      <c r="H38" s="224"/>
      <c r="I38" s="225"/>
    </row>
    <row r="41">
      <c r="A41" s="126" t="str">
        <f>Numbers!N42</f>
        <v/>
      </c>
      <c r="B41" s="126" t="str">
        <f>Numbers!X42</f>
        <v/>
      </c>
    </row>
    <row r="42">
      <c r="A42" s="126" t="str">
        <f>Numbers!N43</f>
        <v/>
      </c>
      <c r="B42" s="126" t="str">
        <f>Numbers!X43</f>
        <v/>
      </c>
    </row>
    <row r="43">
      <c r="A43" s="126" t="str">
        <f>Numbers!N44</f>
        <v/>
      </c>
      <c r="B43" s="126" t="str">
        <f>Numbers!X44</f>
        <v/>
      </c>
    </row>
  </sheetData>
  <dataValidations>
    <dataValidation type="custom" allowBlank="1" showDropDown="1" sqref="I2:I38">
      <formula1>AND(ISNUMBER(I2),(NOT(OR(NOT(ISERROR(DATEVALUE(I2))), AND(ISNUMBER(I2), LEFT(CELL("format", I2))="D")))))</formula1>
    </dataValidation>
  </dataValidations>
  <drawing r:id="rId1"/>
  <tableParts count="1">
    <tablePart r:id="rId3"/>
  </tableParts>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11.14"/>
    <col customWidth="1" min="3" max="4" width="20.43"/>
    <col customWidth="1" min="5" max="5" width="11.29"/>
    <col customWidth="1" min="6" max="6" width="16.71"/>
    <col customWidth="1" min="7" max="7" width="7.14"/>
    <col customWidth="1" min="8" max="8" width="11.86"/>
    <col customWidth="1" min="9" max="9" width="25.0"/>
    <col customWidth="1" min="10" max="10" width="19.29"/>
    <col customWidth="1" min="12" max="12" width="11.57"/>
    <col customWidth="1" min="13" max="13" width="10.0"/>
    <col customWidth="1" min="14" max="14" width="8.14"/>
    <col customWidth="1" min="15" max="15" width="6.57"/>
    <col customWidth="1" min="16" max="16" width="8.29"/>
    <col customWidth="1" min="17" max="17" width="9.0"/>
    <col customWidth="1" min="18" max="18" width="7.57"/>
    <col customWidth="1" min="19" max="19" width="8.14"/>
    <col customWidth="1" min="20" max="20" width="9.86"/>
    <col customWidth="1" min="21" max="21" width="11.29"/>
    <col customWidth="1" min="23" max="23" width="7.14"/>
    <col customWidth="1" min="24" max="24" width="10.43"/>
    <col customWidth="1" min="25" max="25" width="7.0"/>
    <col customWidth="1" min="27" max="27" width="9.43"/>
    <col customWidth="1" min="28" max="28" width="18.14"/>
    <col customWidth="1" min="29" max="29" width="10.86"/>
    <col customWidth="1" min="30" max="30" width="6.71"/>
    <col customWidth="1" min="31" max="31" width="59.57"/>
    <col customWidth="1" min="32" max="32" width="15.43"/>
    <col customWidth="1" min="33" max="33" width="7.14"/>
    <col customWidth="1" min="34" max="34" width="5.86"/>
    <col customWidth="1" min="35" max="35" width="8.43"/>
    <col customWidth="1" min="36" max="36" width="7.14"/>
    <col customWidth="1" min="37" max="37" width="9.86"/>
    <col customWidth="1" min="38" max="38" width="10.0"/>
    <col customWidth="1" min="39" max="39" width="8.14"/>
    <col customWidth="1" min="40" max="40" width="9.29"/>
    <col customWidth="1" min="41" max="41" width="11.86"/>
    <col customWidth="1" min="42" max="42" width="8.71"/>
    <col customWidth="1" min="43" max="43" width="8.57"/>
    <col customWidth="1" min="44" max="44" width="9.29"/>
    <col customWidth="1" min="45" max="46" width="10.29"/>
    <col customWidth="1" min="47" max="47" width="9.14"/>
    <col customWidth="1" min="48" max="48" width="10.14"/>
    <col customWidth="1" min="49" max="50" width="7.14"/>
    <col customWidth="1" min="51" max="51" width="10.29"/>
    <col customWidth="1" min="52" max="52" width="10.86"/>
    <col customWidth="1" min="53" max="53" width="26.86"/>
    <col customWidth="1" min="54" max="54" width="42.0"/>
    <col customWidth="1" min="55" max="55" width="37.43"/>
    <col customWidth="1" min="56" max="56" width="7.14"/>
  </cols>
  <sheetData>
    <row r="1" ht="43.5" customHeight="1">
      <c r="A1" s="228" t="str">
        <f>Raw!A1</f>
        <v>Reference</v>
      </c>
      <c r="B1" s="229" t="str">
        <f>Raw!B1</f>
        <v>Name</v>
      </c>
      <c r="C1" s="229" t="str">
        <f>Raw!C1</f>
        <v>Smelt Group (Team?)</v>
      </c>
      <c r="D1" s="229" t="str">
        <f>Raw!D1</f>
        <v>Location</v>
      </c>
      <c r="E1" s="230" t="str">
        <f>Raw!E1</f>
        <v>Date</v>
      </c>
      <c r="F1" s="229" t="str">
        <f>Raw!F1</f>
        <v>Period</v>
      </c>
      <c r="G1" s="229" t="str">
        <f>Raw!G1</f>
        <v>Demo</v>
      </c>
      <c r="H1" s="229" t="str">
        <f>Raw!H1</f>
        <v>Expt Group</v>
      </c>
      <c r="I1" s="229" t="str">
        <f>Raw!I1</f>
        <v>Furnace Type</v>
      </c>
      <c r="J1" s="229" t="str">
        <f>Raw!J1</f>
        <v>Construction</v>
      </c>
      <c r="K1" s="231" t="s">
        <v>1110</v>
      </c>
      <c r="L1" s="229" t="str">
        <f>Raw!M1</f>
        <v>Cross Section Shape</v>
      </c>
      <c r="M1" s="229" t="str">
        <f>Raw!N1</f>
        <v>Profile Shape</v>
      </c>
      <c r="N1" s="229" t="str">
        <f>Raw!O1</f>
        <v>Shaft Ht Used (cm)</v>
      </c>
      <c r="O1" s="229" t="str">
        <f>Raw!S1</f>
        <v>Stack Ht (cm)</v>
      </c>
      <c r="P1" s="231" t="str">
        <f>Raw!T1</f>
        <v>Ext. Dia (cm)</v>
      </c>
      <c r="Q1" s="229" t="str">
        <f>Display_Area!C1</f>
        <v>Int. Dia (cm)</v>
      </c>
      <c r="R1" s="229" t="str">
        <f>Display_Area!D1</f>
        <v>Tuyere Dia (cm)</v>
      </c>
      <c r="S1" s="232" t="str">
        <f>Calcs!B1</f>
        <v>Calc. Area (cm2)</v>
      </c>
      <c r="T1" s="231" t="str">
        <f>Raw!AB1</f>
        <v>Thickness (cm)</v>
      </c>
      <c r="U1" s="231" t="str">
        <f>Raw!AC1</f>
        <v>Arch Size (cm wxh)</v>
      </c>
      <c r="V1" s="231" t="str">
        <f>Raw!AD1</f>
        <v>Tuyere Type</v>
      </c>
      <c r="W1" s="231" t="str">
        <f>Raw!AE1</f>
        <v>Tuyere ID (cm)</v>
      </c>
      <c r="X1" s="231" t="str">
        <f>Raw!AG1</f>
        <v>Tuyere Angle (Deg)</v>
      </c>
      <c r="Y1" s="231" t="str">
        <f>Raw!AJ1</f>
        <v>Tuyere Insert (cm)</v>
      </c>
      <c r="Z1" s="231" t="str">
        <f>Raw!AL1</f>
        <v>Base Type</v>
      </c>
      <c r="AA1" s="231" t="str">
        <f>Raw!AO1</f>
        <v>Tuyere Above Base (cm)</v>
      </c>
      <c r="AB1" s="231" t="str">
        <f>Raw!AQ1</f>
        <v>Blower</v>
      </c>
      <c r="AC1" s="231" t="str">
        <f>Raw!AT1</f>
        <v>Air Volume Avg (L/min)</v>
      </c>
      <c r="AD1" s="233" t="str">
        <f>Raw!AW1</f>
        <v>Ideal @ 1.2 (L/Min)</v>
      </c>
      <c r="AE1" s="231" t="s">
        <v>913</v>
      </c>
      <c r="AF1" s="231" t="s">
        <v>1111</v>
      </c>
      <c r="AG1" s="231" t="s">
        <v>1112</v>
      </c>
      <c r="AH1" s="231" t="str">
        <f>Raw!BI1</f>
        <v>Fe %</v>
      </c>
      <c r="AI1" s="231" t="str">
        <f>Raw!BJ1</f>
        <v>Ore State</v>
      </c>
      <c r="AJ1" s="231" t="str">
        <f>Raw!BM1</f>
        <v>Slag (kg)</v>
      </c>
      <c r="AK1" s="231" t="str">
        <f>Raw!BO1</f>
        <v>Ore Size (mm)</v>
      </c>
      <c r="AL1" s="231" t="str">
        <f>Raw!BV1</f>
        <v>Full Sequence (Min/Kg)</v>
      </c>
      <c r="AM1" s="231" t="s">
        <v>1113</v>
      </c>
      <c r="AN1" s="231" t="str">
        <f>Raw!BX1</f>
        <v>Total Charcoal (Kg)</v>
      </c>
      <c r="AO1" s="231" t="str">
        <f>Raw!BZ1</f>
        <v>Avg Rate (min/charge)</v>
      </c>
      <c r="AP1" s="234" t="str">
        <f>Raw!CA1</f>
        <v>Burn Rate (Min/Kg)</v>
      </c>
      <c r="AQ1" s="231" t="str">
        <f>Raw!CB1</f>
        <v>Charcoal Type</v>
      </c>
      <c r="AR1" s="231" t="str">
        <f>Raw!CC1</f>
        <v>Charcoal Source</v>
      </c>
      <c r="AS1" s="231" t="s">
        <v>1114</v>
      </c>
      <c r="AT1" s="231" t="str">
        <f>Raw!CR1</f>
        <v>Extraction</v>
      </c>
      <c r="AU1" s="231" t="str">
        <f>Raw!CS1</f>
        <v>Bloom Weight (Kg)</v>
      </c>
      <c r="AV1" s="231" t="str">
        <f>Raw!CT1</f>
        <v>Bloom Condition</v>
      </c>
      <c r="AW1" s="234" t="str">
        <f>Raw!CW1</f>
        <v>Yield (%)</v>
      </c>
      <c r="AX1" s="235" t="str">
        <f>Raw!CX1</f>
        <v>Yield % Fe</v>
      </c>
      <c r="AY1" s="231" t="str">
        <f>Raw!CY1</f>
        <v>Slag Type Recovered</v>
      </c>
      <c r="AZ1" s="231" t="str">
        <f>Raw!CZ1</f>
        <v>Slag Recovered (Kg)</v>
      </c>
      <c r="BA1" s="231" t="str">
        <f>Raw!DA1</f>
        <v>Reference</v>
      </c>
      <c r="BB1" s="231" t="str">
        <f>Raw!DB1</f>
        <v>Objectives</v>
      </c>
      <c r="BC1" s="236" t="str">
        <f>Raw!DC1</f>
        <v>Notes</v>
      </c>
      <c r="BD1" s="237"/>
    </row>
    <row r="2">
      <c r="A2" s="238">
        <f>Raw!A2</f>
        <v>1</v>
      </c>
      <c r="B2" s="239" t="str">
        <f>Raw!B2</f>
        <v>Vinland Theory</v>
      </c>
      <c r="C2" s="239" t="str">
        <f>Raw!C2</f>
        <v>Parks Canada</v>
      </c>
      <c r="D2" s="239" t="str">
        <f>Raw!D2</f>
        <v>L'Anse aux Meadows NL</v>
      </c>
      <c r="E2" s="240">
        <f>Raw!E2</f>
        <v>37069</v>
      </c>
      <c r="F2" s="239" t="str">
        <f>Raw!F2</f>
        <v>Viking Age</v>
      </c>
      <c r="G2" s="239" t="str">
        <f>Raw!G2</f>
        <v>N</v>
      </c>
      <c r="H2" s="239" t="str">
        <f>Raw!H2</f>
        <v>Vinland</v>
      </c>
      <c r="I2" s="239" t="str">
        <f>Raw!I2</f>
        <v>boxed bowl</v>
      </c>
      <c r="J2" s="239" t="str">
        <f>Raw!J2</f>
        <v>stone slabs, clay seal</v>
      </c>
      <c r="K2" s="239" t="str">
        <f>if(isblank(Raw!K2),"",if(Raw!K2&gt;1,concatenate("Use ",Raw!K2," of Expt ",Raw!L2),"Use 1"))</f>
        <v/>
      </c>
      <c r="L2" s="239" t="str">
        <f>Raw!M2</f>
        <v>Rectangle</v>
      </c>
      <c r="M2" s="239" t="str">
        <f>Raw!N2</f>
        <v>box</v>
      </c>
      <c r="N2" s="239">
        <f>Raw!O2</f>
        <v>50</v>
      </c>
      <c r="O2" s="239">
        <f>Raw!S2</f>
        <v>42</v>
      </c>
      <c r="P2" s="212" t="str">
        <f>Raw!T2</f>
        <v>NR</v>
      </c>
      <c r="Q2" s="239" t="str">
        <f>if(L2="Rectangle",concatenate(Raw!U2," x ",Raw!V2),if(L2="Oval",concatenate(Raw!U2," by ",Raw!V2),if(isnumber(Raw!V2),concatenate(Raw!U2," to ",Raw!V2),Raw!U2)))</f>
        <v>35 x 30</v>
      </c>
      <c r="R2" s="239" t="str">
        <f>if(AND(Raw!Z2="Y",isnumber(Raw!X2)),concatenate(Raw!X2," (E)"),Raw!X2)</f>
        <v/>
      </c>
      <c r="S2" s="241">
        <f>Calcs!B2</f>
        <v>1050</v>
      </c>
      <c r="T2" s="212" t="str">
        <f>Raw!AB2</f>
        <v>na</v>
      </c>
      <c r="U2" s="212" t="str">
        <f>Raw!AC2</f>
        <v>none</v>
      </c>
      <c r="V2" s="212" t="str">
        <f>Raw!AD2</f>
        <v>steel pipe</v>
      </c>
      <c r="W2" s="212" t="str">
        <f>concatenate(Raw!AE2,if(Raw!AF2="Y"," (T)",))</f>
        <v>2.5</v>
      </c>
      <c r="X2" s="212" t="str">
        <f>concatenate(Raw!AG2,if(isblank(Raw!AH2),"",concatenate(" ",Raw!AH2)),if(isblank(Raw!AI2),""," (E)"))</f>
        <v>NR Up</v>
      </c>
      <c r="Y2" s="212" t="str">
        <f>concatenate(Raw!AJ2,if(isblank(Raw!AK2),""," (E)"))</f>
        <v>3</v>
      </c>
      <c r="Z2" s="212" t="str">
        <f>Raw!AL2</f>
        <v>natural</v>
      </c>
      <c r="AA2" s="212" t="str">
        <f>concatenate(Raw!AO2,if(Raw!AP2="Y"," (E)",))</f>
        <v>5</v>
      </c>
      <c r="AB2" s="212" t="str">
        <f>Raw!AQ2</f>
        <v>Norse twin smith's</v>
      </c>
      <c r="AC2" s="212" t="str">
        <f>concatenate(ifs(istext(Raw!AT2),Raw!AT2,AND(Raw!AT2&gt;0,isblank(Raw!AS2)),concatenate(Raw!AT2," (A)"),AND(Raw!AR2&gt;0,Raw!AS2&gt;0),concatenate(Raw!AR2," to ",Raw!AS2),1,Raw!AS2),ifs(Raw!AU2="Y-","- (E)",Raw!AU2="Y"," (E)",1,))</f>
        <v>120 (E)</v>
      </c>
      <c r="AD2" s="242">
        <f>Raw!AW2</f>
        <v>1260</v>
      </c>
      <c r="AE2" s="239" t="str">
        <f>concatenate(Raw!AX2,if(isblank(Raw!AZ2),"",concatenate("/",Raw!AZ2)),if(isblank(Raw!BB2),"",concatenate("/",Raw!BB2)),if(isblank(Raw!BD2),"",concatenate("/",Raw!BD2)),if(isblank(Raw!BF2),"",concatenate("/",Raw!BF2)),if(Raw!BK2&gt;0,if(isblank(Raw!AX2),"Gromps","/Gromps"),))</f>
        <v>L'AM Bog Ore</v>
      </c>
      <c r="AF2" s="239" t="str">
        <f>concatenate(round(Raw!AY2,1),if(isblank(Raw!AZ2),"",concatenate("/",round(Raw!BA2,1))),if(isblank(Raw!BB2),"",concatenate("/",round(Raw!BC2,1))),if(isblank(Raw!BD2),"",concatenate("/",round(Raw!BE2,1))),if(isblank(Raw!BF2),"",concatenate("/",round(Raw!BG2,1))),if(isblank(Raw!BK2),,concatenate("/",if(isnumber(Raw!BK2),round(Raw!BK2,1),Raw!BK2))))</f>
        <v>1.5</v>
      </c>
      <c r="AG2" s="241">
        <f>Raw!BL2</f>
        <v>1.5</v>
      </c>
      <c r="AH2" s="243">
        <f>Raw!BI2</f>
        <v>0.6311660934</v>
      </c>
      <c r="AI2" s="244" t="str">
        <f>Raw!BJ2</f>
        <v>roasted</v>
      </c>
      <c r="AJ2" s="244" t="str">
        <f>Raw!BM2</f>
        <v/>
      </c>
      <c r="AK2" s="244" t="str">
        <f>Raw!BO2</f>
        <v>to 10 (natural)</v>
      </c>
      <c r="AL2" s="245">
        <f>Raw!BV2</f>
        <v>25.11111111</v>
      </c>
      <c r="AM2" s="244" t="str">
        <f>if(ISNUMBER(Raw!BW2),concatenate(floor(Raw!BW2/60,1),":",MOD(Raw!BW2,60)),Raw!BW2)</f>
        <v>0:30</v>
      </c>
      <c r="AN2" s="244">
        <f>Raw!BX2</f>
        <v>4.5</v>
      </c>
      <c r="AO2" s="245">
        <f>Raw!BZ2</f>
        <v>20.33333333</v>
      </c>
      <c r="AP2" s="245">
        <f>Raw!CA2</f>
        <v>13.55555556</v>
      </c>
      <c r="AQ2" s="244" t="str">
        <f>Raw!CB2</f>
        <v>oak - hickory</v>
      </c>
      <c r="AR2" s="244" t="str">
        <f>Raw!CC2</f>
        <v>Royal Oak</v>
      </c>
      <c r="AS2" s="244" t="str">
        <f>concatenate(floor(Raw!CE2/60,1),":",text(MOD(Raw!CE2,60),"00"),ifs(Raw!CF2="Y"," (E)", Raw!CF2="Y+"," +", isblank(Raw!CF2),""))</f>
        <v>1:01</v>
      </c>
      <c r="AT2" s="244" t="str">
        <f>Raw!CR2</f>
        <v>top</v>
      </c>
      <c r="AU2" s="245">
        <f>Raw!CS2</f>
        <v>0.1</v>
      </c>
      <c r="AV2" s="244" t="str">
        <f>Raw!CT2</f>
        <v>prills</v>
      </c>
      <c r="AW2" s="246">
        <f>if(Raw!CW2&gt;0,Raw!CW2,"None")</f>
        <v>0.06666666667</v>
      </c>
      <c r="AX2" s="246">
        <f>if(Raw!CX2&gt;0,Raw!CX2,"None")</f>
        <v>0.1056246008</v>
      </c>
      <c r="AY2" s="244" t="str">
        <f>Raw!CY2</f>
        <v>poor</v>
      </c>
      <c r="AZ2" s="244" t="str">
        <f>Raw!CZ2</f>
        <v/>
      </c>
      <c r="BA2" s="244" t="str">
        <f>Raw!DA2</f>
        <v>B Wallace, A Espelund</v>
      </c>
      <c r="BB2" s="244" t="str">
        <f>Raw!DB2</f>
        <v>primary experiment on forms suggested by LAM</v>
      </c>
      <c r="BC2" s="247" t="str">
        <f>Raw!DC2</f>
        <v>restricted by materials and equipment</v>
      </c>
      <c r="BD2" s="248"/>
    </row>
    <row r="3">
      <c r="A3" s="249" t="str">
        <f>Raw!A3</f>
        <v>2 / D1</v>
      </c>
      <c r="B3" s="250" t="str">
        <f>Raw!B3</f>
        <v>Vinland Theory</v>
      </c>
      <c r="C3" s="250" t="str">
        <f>Raw!C3</f>
        <v>DARC</v>
      </c>
      <c r="D3" s="250" t="str">
        <f>Raw!D3</f>
        <v>Wareham ON</v>
      </c>
      <c r="E3" s="251">
        <f>Raw!E3</f>
        <v>37402</v>
      </c>
      <c r="F3" s="250" t="str">
        <f>Raw!F3</f>
        <v>Viking Age</v>
      </c>
      <c r="G3" s="250" t="str">
        <f>Raw!G3</f>
        <v>N</v>
      </c>
      <c r="H3" s="250" t="str">
        <f>Raw!H3</f>
        <v>Vinland</v>
      </c>
      <c r="I3" s="250" t="str">
        <f>Raw!I3</f>
        <v>boxed bowl</v>
      </c>
      <c r="J3" s="250" t="str">
        <f>Raw!J3</f>
        <v>stone slabs, clay seal</v>
      </c>
      <c r="K3" s="250" t="str">
        <f>if(isblank(Raw!K3),"",if(Raw!K3&gt;1,concatenate("Use ",Raw!K3," of Expt ",Raw!L3),"Use 1"))</f>
        <v/>
      </c>
      <c r="L3" s="250" t="str">
        <f>Raw!M3</f>
        <v>Rectangle</v>
      </c>
      <c r="M3" s="250" t="str">
        <f>Raw!N3</f>
        <v>box</v>
      </c>
      <c r="N3" s="250">
        <f>Raw!O3</f>
        <v>40</v>
      </c>
      <c r="O3" s="250">
        <f>Raw!S3</f>
        <v>30</v>
      </c>
      <c r="P3" s="252" t="str">
        <f>Raw!T3</f>
        <v>NR</v>
      </c>
      <c r="Q3" s="239" t="str">
        <f>if(L3="Rectangle",concatenate(Raw!U3," x ",Raw!V3),if(L3="Oval",concatenate(Raw!U3," by ",Raw!V3),if(isnumber(Raw!V3),concatenate(Raw!U3," to ",Raw!V3),Raw!U3)))</f>
        <v>45 x 40</v>
      </c>
      <c r="R3" s="239" t="str">
        <f>if(AND(Raw!Z3="Y",isnumber(Raw!X3)),concatenate(Raw!X3," (E)"),Raw!X3)</f>
        <v/>
      </c>
      <c r="S3" s="241">
        <f>Calcs!B3</f>
        <v>1800</v>
      </c>
      <c r="T3" s="252" t="str">
        <f>Raw!AB3</f>
        <v>na</v>
      </c>
      <c r="U3" s="252" t="str">
        <f>Raw!AC3</f>
        <v>none</v>
      </c>
      <c r="V3" s="252" t="str">
        <f>Raw!AD3</f>
        <v>steel pipe</v>
      </c>
      <c r="W3" s="212" t="str">
        <f>concatenate(Raw!AE3,if(Raw!AF3="Y"," (T)",))</f>
        <v>2.5</v>
      </c>
      <c r="X3" s="212" t="str">
        <f>concatenate(Raw!AG3,if(isblank(Raw!AH3),"",concatenate(" ",Raw!AH3)),if(isblank(Raw!AI3),""," (E)"))</f>
        <v>5 Up (E)</v>
      </c>
      <c r="Y3" s="212" t="str">
        <f>concatenate(Raw!AJ3,if(isblank(Raw!AK3),""," (E)"))</f>
        <v>NR</v>
      </c>
      <c r="Z3" s="252" t="str">
        <f>Raw!AL3</f>
        <v>natural</v>
      </c>
      <c r="AA3" s="212" t="str">
        <f>concatenate(Raw!AO3,if(Raw!AP3="Y"," (E)",))</f>
        <v>NR</v>
      </c>
      <c r="AB3" s="252" t="str">
        <f>Raw!AQ3</f>
        <v>Norse twin smith's</v>
      </c>
      <c r="AC3" s="212" t="str">
        <f>concatenate(ifs(istext(Raw!AT3),Raw!AT3,AND(Raw!AT3&gt;0,isblank(Raw!AS3)),concatenate(Raw!AT3," (A)"),AND(Raw!AR3&gt;0,Raw!AS3&gt;0),concatenate(Raw!AR3," to ",Raw!AS3),1,Raw!AS3),ifs(Raw!AU3="Y-","- (E)",Raw!AU3="Y"," (E)",1,))</f>
        <v>100 (E)</v>
      </c>
      <c r="AD3" s="253">
        <f>Raw!AW3</f>
        <v>2160</v>
      </c>
      <c r="AE3" s="239" t="str">
        <f>concatenate(Raw!AX3,if(isblank(Raw!AZ3),"",concatenate("/",Raw!AZ3)),if(isblank(Raw!BB3),"",concatenate("/",Raw!BB3)),if(isblank(Raw!BD3),"",concatenate("/",Raw!BD3)),if(isblank(Raw!BF3),"",concatenate("/",Raw!BF3)),if(Raw!BK3&gt;0,if(isblank(Raw!AX3),"Gromps","/Gromps"),))</f>
        <v>SLM</v>
      </c>
      <c r="AF3" s="239" t="str">
        <f>concatenate(round(Raw!AY3,1),if(isblank(Raw!AZ3),"",concatenate("/",round(Raw!BA3,1))),if(isblank(Raw!BB3),"",concatenate("/",round(Raw!BC3,1))),if(isblank(Raw!BD3),"",concatenate("/",round(Raw!BE3,1))),if(isblank(Raw!BF3),"",concatenate("/",round(Raw!BG3,1))),if(isblank(Raw!BK3),,concatenate("/",if(isnumber(Raw!BK3),round(Raw!BK3,1),Raw!BK3))))</f>
        <v>6.2</v>
      </c>
      <c r="AG3" s="241">
        <f>Raw!BL3</f>
        <v>6.2</v>
      </c>
      <c r="AH3" s="254">
        <f>Raw!BI3</f>
        <v>0.5921444799</v>
      </c>
      <c r="AI3" s="255" t="str">
        <f>Raw!BJ3</f>
        <v>roasted</v>
      </c>
      <c r="AJ3" s="255" t="str">
        <f>Raw!BM3</f>
        <v/>
      </c>
      <c r="AK3" s="255" t="str">
        <f>Raw!BO3</f>
        <v>to 10 (natural)</v>
      </c>
      <c r="AL3" s="256">
        <f>Raw!BV3</f>
        <v>21.60180485</v>
      </c>
      <c r="AM3" s="244" t="str">
        <f>if(ISNUMBER(Raw!BW3),concatenate(floor(Raw!BW3/60,1),":",MOD(Raw!BW3,60)),Raw!BW3)</f>
        <v>1:25</v>
      </c>
      <c r="AN3" s="255">
        <f>Raw!BX3</f>
        <v>17.73</v>
      </c>
      <c r="AO3" s="256">
        <f>Raw!BZ3</f>
        <v>25.875</v>
      </c>
      <c r="AP3" s="256">
        <f>Raw!CA3</f>
        <v>10.35</v>
      </c>
      <c r="AQ3" s="255" t="str">
        <f>Raw!CB3</f>
        <v>oak - hickory</v>
      </c>
      <c r="AR3" s="255" t="str">
        <f>Raw!CC3</f>
        <v>Royal Oak</v>
      </c>
      <c r="AS3" s="244" t="str">
        <f>concatenate(floor(Raw!CE3/60,1),":",text(MOD(Raw!CE3,60),"00"),ifs(Raw!CF3="Y"," (E)", Raw!CF3="Y+"," +", isblank(Raw!CF3),""))</f>
        <v>3:27</v>
      </c>
      <c r="AT3" s="255" t="str">
        <f>Raw!CR3</f>
        <v>cold</v>
      </c>
      <c r="AU3" s="256">
        <f>Raw!CS3</f>
        <v>0</v>
      </c>
      <c r="AV3" s="255" t="str">
        <f>Raw!CT3</f>
        <v>not sintered</v>
      </c>
      <c r="AW3" s="246" t="str">
        <f>if(Raw!CW3&gt;0,Raw!CW3,"None")</f>
        <v>na</v>
      </c>
      <c r="AX3" s="244" t="str">
        <f>if(Raw!CX3&gt;0,Raw!CX3,"None")</f>
        <v>na</v>
      </c>
      <c r="AY3" s="255" t="str">
        <f>Raw!CY3</f>
        <v>poor</v>
      </c>
      <c r="AZ3" s="255">
        <f>Raw!CZ3</f>
        <v>4.3</v>
      </c>
      <c r="BA3" s="255" t="str">
        <f>Raw!DA3</f>
        <v>B Wallace, A Espelund</v>
      </c>
      <c r="BB3" s="255" t="str">
        <f>Raw!DB3</f>
        <v>repeat #1 with shop support</v>
      </c>
      <c r="BC3" s="257" t="str">
        <f>Raw!DC3</f>
        <v>development of post smelt measurements</v>
      </c>
      <c r="BD3" s="248"/>
    </row>
    <row r="4">
      <c r="A4" s="249" t="str">
        <f>Raw!A4</f>
        <v>3 / D2</v>
      </c>
      <c r="B4" s="250" t="str">
        <f>Raw!B4</f>
        <v>Taller Stack</v>
      </c>
      <c r="C4" s="250" t="str">
        <f>Raw!C4</f>
        <v>DARC</v>
      </c>
      <c r="D4" s="250" t="str">
        <f>Raw!D4</f>
        <v>Wareham ON</v>
      </c>
      <c r="E4" s="251">
        <f>Raw!E4</f>
        <v>37778</v>
      </c>
      <c r="F4" s="250" t="str">
        <f>Raw!F4</f>
        <v>Romano British</v>
      </c>
      <c r="G4" s="250" t="str">
        <f>Raw!G4</f>
        <v>N</v>
      </c>
      <c r="H4" s="250" t="str">
        <f>Raw!H4</f>
        <v/>
      </c>
      <c r="I4" s="250" t="str">
        <f>Raw!I4</f>
        <v>medium shaft</v>
      </c>
      <c r="J4" s="250" t="str">
        <f>Raw!J4</f>
        <v>straw cobb, refactory lined</v>
      </c>
      <c r="K4" s="250" t="str">
        <f>if(isblank(Raw!K4),"",if(Raw!K4&gt;1,concatenate("Use ",Raw!K4," of Expt ",Raw!L4),"Use 1"))</f>
        <v/>
      </c>
      <c r="L4" s="250" t="str">
        <f>Raw!M4</f>
        <v>Circle</v>
      </c>
      <c r="M4" s="250" t="str">
        <f>Raw!N4</f>
        <v>conical</v>
      </c>
      <c r="N4" s="250">
        <f>Raw!O4</f>
        <v>90</v>
      </c>
      <c r="O4" s="250">
        <f>Raw!S4</f>
        <v>55</v>
      </c>
      <c r="P4" s="252">
        <f>Raw!T4</f>
        <v>35</v>
      </c>
      <c r="Q4" s="239" t="str">
        <f>if(L4="Rectangle",concatenate(Raw!U4," x ",Raw!V4),if(L4="Oval",concatenate(Raw!U4," by ",Raw!V4),if(isnumber(Raw!V4),concatenate(Raw!U4," to ",Raw!V4),Raw!U4)))</f>
        <v>27 to 24</v>
      </c>
      <c r="R4" s="239" t="str">
        <f>if(AND(Raw!Z4="Y",isnumber(Raw!X4)),concatenate(Raw!X4," (E)"),Raw!X4)</f>
        <v>26 (E)</v>
      </c>
      <c r="S4" s="241" t="str">
        <f>Calcs!B4</f>
        <v>530.9 (E)</v>
      </c>
      <c r="T4" s="252">
        <f>Raw!AB4</f>
        <v>5</v>
      </c>
      <c r="U4" s="252" t="str">
        <f>Raw!AC4</f>
        <v>15 x 20</v>
      </c>
      <c r="V4" s="252" t="str">
        <f>Raw!AD4</f>
        <v>steel pipe</v>
      </c>
      <c r="W4" s="212" t="str">
        <f>concatenate(Raw!AE4,if(Raw!AF4="Y"," (T)",))</f>
        <v>2 (T)</v>
      </c>
      <c r="X4" s="212" t="str">
        <f>concatenate(Raw!AG4,if(isblank(Raw!AH4),"",concatenate(" ",Raw!AH4)),if(isblank(Raw!AI4),""," (E)"))</f>
        <v>0 Flat</v>
      </c>
      <c r="Y4" s="212" t="str">
        <f>concatenate(Raw!AJ4,if(isblank(Raw!AK4),""," (E)"))</f>
        <v>5</v>
      </c>
      <c r="Z4" s="252" t="str">
        <f>Raw!AL4</f>
        <v>natural</v>
      </c>
      <c r="AA4" s="212" t="str">
        <f>concatenate(Raw!AO4,if(Raw!AP4="Y"," (E)",))</f>
        <v>20 (E)</v>
      </c>
      <c r="AB4" s="252" t="str">
        <f>Raw!AQ4</f>
        <v>vacuum blower</v>
      </c>
      <c r="AC4" s="212" t="str">
        <f>concatenate(ifs(istext(Raw!AT4),Raw!AT4,AND(Raw!AT4&gt;0,isblank(Raw!AS4)),concatenate(Raw!AT4," (A)"),AND(Raw!AR4&gt;0,Raw!AS4&gt;0),concatenate(Raw!AR4," to ",Raw!AS4),1,Raw!AS4),ifs(Raw!AU4="Y-","- (E)",Raw!AU4="Y"," (E)",1,))</f>
        <v>NR</v>
      </c>
      <c r="AD4" s="253">
        <f>Raw!AW4</f>
        <v>637.08</v>
      </c>
      <c r="AE4" s="239" t="str">
        <f>concatenate(Raw!AX4,if(isblank(Raw!AZ4),"",concatenate("/",Raw!AZ4)),if(isblank(Raw!BB4),"",concatenate("/",Raw!BB4)),if(isblank(Raw!BD4),"",concatenate("/",Raw!BD4)),if(isblank(Raw!BF4),"",concatenate("/",Raw!BF4)),if(Raw!BK4&gt;0,if(isblank(Raw!AX4),"Gromps","/Gromps"),))</f>
        <v>Guy's Run Goethite</v>
      </c>
      <c r="AF4" s="239" t="str">
        <f>concatenate(round(Raw!AY4,1),if(isblank(Raw!AZ4),"",concatenate("/",round(Raw!BA4,1))),if(isblank(Raw!BB4),"",concatenate("/",round(Raw!BC4,1))),if(isblank(Raw!BD4),"",concatenate("/",round(Raw!BE4,1))),if(isblank(Raw!BF4),"",concatenate("/",round(Raw!BG4,1))),if(isblank(Raw!BK4),,concatenate("/",if(isnumber(Raw!BK4),round(Raw!BK4,1),Raw!BK4))))</f>
        <v>8.1</v>
      </c>
      <c r="AG4" s="241">
        <f>Raw!BL4</f>
        <v>8.1</v>
      </c>
      <c r="AH4" s="254">
        <f>Raw!BI4</f>
        <v>0.58</v>
      </c>
      <c r="AI4" s="255" t="str">
        <f>Raw!BJ4</f>
        <v>roasted</v>
      </c>
      <c r="AJ4" s="255" t="str">
        <f>Raw!BM4</f>
        <v/>
      </c>
      <c r="AK4" s="258" t="str">
        <f>Raw!BO4</f>
        <v>1 to 5 </v>
      </c>
      <c r="AL4" s="256">
        <f>Raw!BV4</f>
        <v>5.947089947</v>
      </c>
      <c r="AM4" s="244" t="str">
        <f>if(ISNUMBER(Raw!BW4),concatenate(floor(Raw!BW4/60,1),":",MOD(Raw!BW4,60)),Raw!BW4)</f>
        <v>NR</v>
      </c>
      <c r="AN4" s="255">
        <f>Raw!BX4</f>
        <v>47.25</v>
      </c>
      <c r="AO4" s="256">
        <f>Raw!BZ4</f>
        <v>10.36842105</v>
      </c>
      <c r="AP4" s="256">
        <f>Raw!CA4</f>
        <v>4.864197531</v>
      </c>
      <c r="AQ4" s="255" t="str">
        <f>Raw!CB4</f>
        <v>oak - hickory</v>
      </c>
      <c r="AR4" s="255" t="str">
        <f>Raw!CC4</f>
        <v>Royal Oak</v>
      </c>
      <c r="AS4" s="244" t="str">
        <f>concatenate(floor(Raw!CE4/60,1),":",text(MOD(Raw!CE4,60),"00"),ifs(Raw!CF4="Y"," (E)", Raw!CF4="Y+"," +", isblank(Raw!CF4),""))</f>
        <v>3:17</v>
      </c>
      <c r="AT4" s="259" t="str">
        <f>Raw!CR4</f>
        <v>dismantled</v>
      </c>
      <c r="AU4" s="256">
        <f>Raw!CS4</f>
        <v>0</v>
      </c>
      <c r="AV4" s="255" t="str">
        <f>Raw!CT4</f>
        <v>sintered mass</v>
      </c>
      <c r="AW4" s="246" t="str">
        <f>if(Raw!CW4&gt;0,Raw!CW4,"None")</f>
        <v>na</v>
      </c>
      <c r="AX4" s="246" t="str">
        <f>if(Raw!CX4&gt;0,Raw!CX4,"None")</f>
        <v>na</v>
      </c>
      <c r="AY4" s="255" t="str">
        <f>Raw!CY4</f>
        <v>good</v>
      </c>
      <c r="AZ4" s="255" t="str">
        <f>Raw!CZ4</f>
        <v>5 plus ?</v>
      </c>
      <c r="BA4" s="255" t="str">
        <f>Raw!DA4</f>
        <v>after Sauder &amp; Williams</v>
      </c>
      <c r="BB4" s="255" t="str">
        <f>Raw!DB4</f>
        <v>application of learned techniques</v>
      </c>
      <c r="BC4" s="257" t="str">
        <f>Raw!DC4</f>
        <v>burn out at about 3/4 of reaction haults</v>
      </c>
      <c r="BD4" s="248"/>
    </row>
    <row r="5">
      <c r="A5" s="249" t="str">
        <f>Raw!A5</f>
        <v>4 / D3</v>
      </c>
      <c r="B5" s="250" t="str">
        <f>Raw!B5</f>
        <v>Low Stack</v>
      </c>
      <c r="C5" s="250" t="str">
        <f>Raw!C5</f>
        <v>DARC</v>
      </c>
      <c r="D5" s="250" t="str">
        <f>Raw!D5</f>
        <v>Wareham ON</v>
      </c>
      <c r="E5" s="251">
        <f>Raw!E5</f>
        <v>38150</v>
      </c>
      <c r="F5" s="250" t="str">
        <f>Raw!F5</f>
        <v>Viking Age</v>
      </c>
      <c r="G5" s="250" t="str">
        <f>Raw!G5</f>
        <v>N</v>
      </c>
      <c r="H5" s="250" t="str">
        <f>Raw!H5</f>
        <v/>
      </c>
      <c r="I5" s="250" t="str">
        <f>Raw!I5</f>
        <v>boxed short shaft</v>
      </c>
      <c r="J5" s="250" t="str">
        <f>Raw!J5</f>
        <v>straw cobb in stone slabs</v>
      </c>
      <c r="K5" s="250" t="str">
        <f>if(isblank(Raw!K5),"",if(Raw!K5&gt;1,concatenate("Use ",Raw!K5," of Expt ",Raw!L5),"Use 1"))</f>
        <v/>
      </c>
      <c r="L5" s="250" t="str">
        <f>Raw!M5</f>
        <v>Circle</v>
      </c>
      <c r="M5" s="250" t="str">
        <f>Raw!N5</f>
        <v>cylinder</v>
      </c>
      <c r="N5" s="250">
        <f>Raw!O5</f>
        <v>55</v>
      </c>
      <c r="O5" s="250">
        <f>Raw!S5</f>
        <v>50</v>
      </c>
      <c r="P5" s="252">
        <f>Raw!T5</f>
        <v>45</v>
      </c>
      <c r="Q5" s="239">
        <f>if(L5="Rectangle",concatenate(Raw!U5," x ",Raw!V5),if(L5="Oval",concatenate(Raw!U5," by ",Raw!V5),if(isnumber(Raw!V5),concatenate(Raw!U5," to ",Raw!V5),Raw!U5)))</f>
        <v>25</v>
      </c>
      <c r="R5" s="239" t="str">
        <f>if(AND(Raw!Z5="Y",isnumber(Raw!X5)),concatenate(Raw!X5," (E)"),Raw!X5)</f>
        <v/>
      </c>
      <c r="S5" s="241">
        <f>Calcs!B5</f>
        <v>490.9</v>
      </c>
      <c r="T5" s="252" t="str">
        <f>Raw!AB5</f>
        <v>10 +</v>
      </c>
      <c r="U5" s="252" t="str">
        <f>Raw!AC5</f>
        <v>none</v>
      </c>
      <c r="V5" s="252" t="str">
        <f>Raw!AD5</f>
        <v>steel pipe</v>
      </c>
      <c r="W5" s="212" t="str">
        <f>concatenate(Raw!AE5,if(Raw!AF5="Y"," (T)",))</f>
        <v>2.5</v>
      </c>
      <c r="X5" s="212" t="str">
        <f>concatenate(Raw!AG5,if(isblank(Raw!AH5),"",concatenate(" ",Raw!AH5)),if(isblank(Raw!AI5),""," (E)"))</f>
        <v>15 Down</v>
      </c>
      <c r="Y5" s="212" t="str">
        <f>concatenate(Raw!AJ5,if(isblank(Raw!AK5),""," (E)"))</f>
        <v>5</v>
      </c>
      <c r="Z5" s="252" t="str">
        <f>Raw!AL5</f>
        <v>natural</v>
      </c>
      <c r="AA5" s="212" t="str">
        <f>concatenate(Raw!AO5,if(Raw!AP5="Y"," (E)",))</f>
        <v>2</v>
      </c>
      <c r="AB5" s="252" t="str">
        <f>Raw!AQ5</f>
        <v>Norse / hand crank</v>
      </c>
      <c r="AC5" s="212" t="str">
        <f>concatenate(ifs(istext(Raw!AT5),Raw!AT5,AND(Raw!AT5&gt;0,isblank(Raw!AS5)),concatenate(Raw!AT5," (A)"),AND(Raw!AR5&gt;0,Raw!AS5&gt;0),concatenate(Raw!AR5," to ",Raw!AS5),1,Raw!AS5),ifs(Raw!AU5="Y-","- (E)",Raw!AU5="Y"," (E)",1,))</f>
        <v>125 / ? (E)</v>
      </c>
      <c r="AD5" s="253">
        <f>Raw!AW5</f>
        <v>589.08</v>
      </c>
      <c r="AE5" s="239" t="str">
        <f>concatenate(Raw!AX5,if(isblank(Raw!AZ5),"",concatenate("/",Raw!AZ5)),if(isblank(Raw!BB5),"",concatenate("/",Raw!BB5)),if(isblank(Raw!BD5),"",concatenate("/",Raw!BD5)),if(isblank(Raw!BF5),"",concatenate("/",Raw!BF5)),if(Raw!BK5&gt;0,if(isblank(Raw!AX5),"Gromps","/Gromps"),))</f>
        <v>Guy's Run Goethite</v>
      </c>
      <c r="AF5" s="239" t="str">
        <f>concatenate(round(Raw!AY5,1),if(isblank(Raw!AZ5),"",concatenate("/",round(Raw!BA5,1))),if(isblank(Raw!BB5),"",concatenate("/",round(Raw!BC5,1))),if(isblank(Raw!BD5),"",concatenate("/",round(Raw!BE5,1))),if(isblank(Raw!BF5),"",concatenate("/",round(Raw!BG5,1))),if(isblank(Raw!BK5),,concatenate("/",if(isnumber(Raw!BK5),round(Raw!BK5,1),Raw!BK5))))</f>
        <v>7</v>
      </c>
      <c r="AG5" s="241">
        <f>Raw!BL5</f>
        <v>7</v>
      </c>
      <c r="AH5" s="254">
        <f>Raw!BI5</f>
        <v>0.58</v>
      </c>
      <c r="AI5" s="255" t="str">
        <f>Raw!BJ5</f>
        <v>roasted</v>
      </c>
      <c r="AJ5" s="255" t="str">
        <f>Raw!BM5</f>
        <v/>
      </c>
      <c r="AK5" s="255" t="str">
        <f>Raw!BO5</f>
        <v>1 to 5</v>
      </c>
      <c r="AL5" s="256">
        <f>Raw!BV5</f>
        <v>17.26666667</v>
      </c>
      <c r="AM5" s="244" t="str">
        <f>if(ISNUMBER(Raw!BW5),concatenate(floor(Raw!BW5/60,1),":",MOD(Raw!BW5,60)),Raw!BW5)</f>
        <v>2:54</v>
      </c>
      <c r="AN5" s="255">
        <f>Raw!BX5</f>
        <v>15</v>
      </c>
      <c r="AO5" s="256">
        <f>Raw!BZ5</f>
        <v>17.25</v>
      </c>
      <c r="AP5" s="256">
        <f>Raw!CA5</f>
        <v>17.25</v>
      </c>
      <c r="AQ5" s="255" t="str">
        <f>Raw!CB5</f>
        <v>oak - hickory</v>
      </c>
      <c r="AR5" s="255" t="str">
        <f>Raw!CC5</f>
        <v>Royal Oak</v>
      </c>
      <c r="AS5" s="244" t="str">
        <f>concatenate(floor(Raw!CE5/60,1),":",text(MOD(Raw!CE5,60),"00"),ifs(Raw!CF5="Y"," (E)", Raw!CF5="Y+"," +", isblank(Raw!CF5),""))</f>
        <v>1:09</v>
      </c>
      <c r="AT5" s="255" t="str">
        <f>Raw!CR5</f>
        <v>dismantled</v>
      </c>
      <c r="AU5" s="256">
        <f>Raw!CS5</f>
        <v>0</v>
      </c>
      <c r="AV5" s="255" t="str">
        <f>Raw!CT5</f>
        <v>vapourized</v>
      </c>
      <c r="AW5" s="246" t="str">
        <f>if(Raw!CW5&gt;0,Raw!CW5,"None")</f>
        <v>na</v>
      </c>
      <c r="AX5" s="246" t="str">
        <f>if(Raw!CX5&gt;0,Raw!CX5,"None")</f>
        <v>na</v>
      </c>
      <c r="AY5" s="255" t="str">
        <f>Raw!CY5</f>
        <v>sluggish</v>
      </c>
      <c r="AZ5" s="255" t="str">
        <f>Raw!CZ5</f>
        <v/>
      </c>
      <c r="BA5" s="255" t="str">
        <f>Raw!DA5</f>
        <v>after P. Crew</v>
      </c>
      <c r="BB5" s="255" t="str">
        <f>Raw!DB5</f>
        <v>establish standard smelter</v>
      </c>
      <c r="BC5" s="257" t="str">
        <f>Raw!DC5</f>
        <v>too wet walls slump for poor tuyere placement</v>
      </c>
      <c r="BD5" s="248"/>
    </row>
    <row r="6">
      <c r="A6" s="249">
        <f>Raw!A6</f>
        <v>5</v>
      </c>
      <c r="B6" s="250" t="str">
        <f>Raw!B6</f>
        <v>Early Iron 1</v>
      </c>
      <c r="C6" s="250" t="str">
        <f>Raw!C6</f>
        <v>Early Iron 1</v>
      </c>
      <c r="D6" s="250" t="str">
        <f>Raw!D6</f>
        <v>Cooperstown NY</v>
      </c>
      <c r="E6" s="251">
        <f>Raw!E6</f>
        <v>38271</v>
      </c>
      <c r="F6" s="250" t="str">
        <f>Raw!F6</f>
        <v>Viking Age</v>
      </c>
      <c r="G6" s="250" t="str">
        <f>Raw!G6</f>
        <v>Y</v>
      </c>
      <c r="H6" s="250" t="str">
        <f>Raw!H6</f>
        <v/>
      </c>
      <c r="I6" s="250" t="str">
        <f>Raw!I6</f>
        <v>short shaft</v>
      </c>
      <c r="J6" s="250" t="str">
        <f>Raw!J6</f>
        <v>straw cobb partial bank</v>
      </c>
      <c r="K6" s="250" t="str">
        <f>if(isblank(Raw!K6),"",if(Raw!K6&gt;1,concatenate("Use ",Raw!K6," of Expt ",Raw!L6),"Use 1"))</f>
        <v/>
      </c>
      <c r="L6" s="250" t="str">
        <f>Raw!M6</f>
        <v>Circle</v>
      </c>
      <c r="M6" s="250" t="str">
        <f>Raw!N6</f>
        <v>conical</v>
      </c>
      <c r="N6" s="250">
        <f>Raw!O6</f>
        <v>60</v>
      </c>
      <c r="O6" s="250">
        <f>Raw!S6</f>
        <v>46</v>
      </c>
      <c r="P6" s="252">
        <f>Raw!T6</f>
        <v>70</v>
      </c>
      <c r="Q6" s="239" t="str">
        <f>if(L6="Rectangle",concatenate(Raw!U6," x ",Raw!V6),if(L6="Oval",concatenate(Raw!U6," by ",Raw!V6),if(isnumber(Raw!V6),concatenate(Raw!U6," to ",Raw!V6),Raw!U6)))</f>
        <v>28 to 27</v>
      </c>
      <c r="R6" s="239">
        <f>if(AND(Raw!Z6="Y",isnumber(Raw!X6)),concatenate(Raw!X6," (E)"),Raw!X6)</f>
        <v>27</v>
      </c>
      <c r="S6" s="241">
        <f>Calcs!B6</f>
        <v>572.6</v>
      </c>
      <c r="T6" s="252" t="str">
        <f>Raw!AB6</f>
        <v>8 varies</v>
      </c>
      <c r="U6" s="252" t="str">
        <f>Raw!AC6</f>
        <v>none</v>
      </c>
      <c r="V6" s="252" t="str">
        <f>Raw!AD6</f>
        <v>steel pipe</v>
      </c>
      <c r="W6" s="212" t="str">
        <f>concatenate(Raw!AE6,if(Raw!AF6="Y"," (T)",))</f>
        <v>2.5</v>
      </c>
      <c r="X6" s="212" t="str">
        <f>concatenate(Raw!AG6,if(isblank(Raw!AH6),"",concatenate(" ",Raw!AH6)),if(isblank(Raw!AI6),""," (E)"))</f>
        <v>15 Down</v>
      </c>
      <c r="Y6" s="212" t="str">
        <f>concatenate(Raw!AJ6,if(isblank(Raw!AK6),""," (E)"))</f>
        <v>3</v>
      </c>
      <c r="Z6" s="252" t="str">
        <f>Raw!AL6</f>
        <v>charcoal fines</v>
      </c>
      <c r="AA6" s="212" t="str">
        <f>concatenate(Raw!AO6,if(Raw!AP6="Y"," (E)",))</f>
        <v>14</v>
      </c>
      <c r="AB6" s="252" t="str">
        <f>Raw!AQ6</f>
        <v>Norse twin smith's</v>
      </c>
      <c r="AC6" s="212" t="str">
        <f>concatenate(ifs(istext(Raw!AT6),Raw!AT6,AND(Raw!AT6&gt;0,isblank(Raw!AS6)),concatenate(Raw!AT6," (A)"),AND(Raw!AR6&gt;0,Raw!AS6&gt;0),concatenate(Raw!AR6," to ",Raw!AS6),1,Raw!AS6),ifs(Raw!AU6="Y-","- (E)",Raw!AU6="Y"," (E)",1,))</f>
        <v>125 (E)</v>
      </c>
      <c r="AD6" s="253">
        <f>Raw!AW6</f>
        <v>687.12</v>
      </c>
      <c r="AE6" s="239" t="str">
        <f>concatenate(Raw!AX6,if(isblank(Raw!AZ6),"",concatenate("/",Raw!AZ6)),if(isblank(Raw!BB6),"",concatenate("/",Raw!BB6)),if(isblank(Raw!BD6),"",concatenate("/",Raw!BD6)),if(isblank(Raw!BF6),"",concatenate("/",Raw!BF6)),if(Raw!BK6&gt;0,if(isblank(Raw!AX6),"Gromps","/Gromps"),))</f>
        <v>Guy's Run Goethite</v>
      </c>
      <c r="AF6" s="239" t="str">
        <f>concatenate(round(Raw!AY6,1),if(isblank(Raw!AZ6),"",concatenate("/",round(Raw!BA6,1))),if(isblank(Raw!BB6),"",concatenate("/",round(Raw!BC6,1))),if(isblank(Raw!BD6),"",concatenate("/",round(Raw!BE6,1))),if(isblank(Raw!BF6),"",concatenate("/",round(Raw!BG6,1))),if(isblank(Raw!BK6),,concatenate("/",if(isnumber(Raw!BK6),round(Raw!BK6,1),Raw!BK6))))</f>
        <v>8</v>
      </c>
      <c r="AG6" s="241">
        <f>Raw!BL6</f>
        <v>8</v>
      </c>
      <c r="AH6" s="254">
        <f>Raw!BI6</f>
        <v>0.58</v>
      </c>
      <c r="AI6" s="255" t="str">
        <f>Raw!BJ6</f>
        <v>roasted</v>
      </c>
      <c r="AJ6" s="255" t="str">
        <f>Raw!BM6</f>
        <v/>
      </c>
      <c r="AK6" s="255" t="str">
        <f>Raw!BO6</f>
        <v>1 to 5</v>
      </c>
      <c r="AL6" s="256">
        <f>Raw!BV6</f>
        <v>21.04</v>
      </c>
      <c r="AM6" s="244" t="str">
        <f>if(ISNUMBER(Raw!BW6),concatenate(floor(Raw!BW6/60,1),":",MOD(Raw!BW6,60)),Raw!BW6)</f>
        <v>2:17</v>
      </c>
      <c r="AN6" s="255">
        <f>Raw!BX6</f>
        <v>12.5</v>
      </c>
      <c r="AO6" s="256">
        <f>Raw!BZ6</f>
        <v>11.8</v>
      </c>
      <c r="AP6" s="256">
        <f>Raw!CA6</f>
        <v>15.92063492</v>
      </c>
      <c r="AQ6" s="255" t="str">
        <f>Raw!CB6</f>
        <v>mixed hardwood</v>
      </c>
      <c r="AR6" s="255" t="str">
        <f>Raw!CC6</f>
        <v>home made</v>
      </c>
      <c r="AS6" s="244" t="str">
        <f>concatenate(floor(Raw!CE6/60,1),":",text(MOD(Raw!CE6,60),"00"),ifs(Raw!CF6="Y"," (E)", Raw!CF6="Y+"," +", isblank(Raw!CF6),""))</f>
        <v>1:58</v>
      </c>
      <c r="AT6" s="259" t="str">
        <f>Raw!CR6</f>
        <v>top</v>
      </c>
      <c r="AU6" s="256">
        <f>Raw!CS6</f>
        <v>0</v>
      </c>
      <c r="AV6" s="255" t="str">
        <f>Raw!CT6</f>
        <v>pre bloom mass</v>
      </c>
      <c r="AW6" s="246" t="str">
        <f>if(Raw!CW6&gt;0,Raw!CW6,"None")</f>
        <v>na</v>
      </c>
      <c r="AX6" s="246" t="str">
        <f>if(Raw!CX6&gt;0,Raw!CX6,"None")</f>
        <v>na</v>
      </c>
      <c r="AY6" s="255" t="str">
        <f>Raw!CY6</f>
        <v>no tapping</v>
      </c>
      <c r="AZ6" s="255" t="str">
        <f>Raw!CZ6</f>
        <v/>
      </c>
      <c r="BA6" s="255" t="str">
        <f>Raw!DA6</f>
        <v>combined above</v>
      </c>
      <c r="BB6" s="255" t="str">
        <f>Raw!DB6</f>
        <v>application of historic methods</v>
      </c>
      <c r="BC6" s="257" t="str">
        <f>Raw!DC6</f>
        <v>iron starting to condense in sliced sections</v>
      </c>
      <c r="BD6" s="248"/>
    </row>
    <row r="7">
      <c r="A7" s="249" t="str">
        <f>Raw!A7</f>
        <v>6 / D4</v>
      </c>
      <c r="B7" s="250" t="str">
        <f>Raw!B7</f>
        <v>Econo Norse test</v>
      </c>
      <c r="C7" s="250" t="str">
        <f>Raw!C7</f>
        <v>DARC</v>
      </c>
      <c r="D7" s="250" t="str">
        <f>Raw!D7</f>
        <v>Wareham ON</v>
      </c>
      <c r="E7" s="251">
        <f>Raw!E7</f>
        <v>38283</v>
      </c>
      <c r="F7" s="250" t="str">
        <f>Raw!F7</f>
        <v>modern</v>
      </c>
      <c r="G7" s="250" t="str">
        <f>Raw!G7</f>
        <v>N</v>
      </c>
      <c r="H7" s="250" t="str">
        <f>Raw!H7</f>
        <v/>
      </c>
      <c r="I7" s="250" t="str">
        <f>Raw!I7</f>
        <v>Econo Norse</v>
      </c>
      <c r="J7" s="250" t="str">
        <f>Raw!J7</f>
        <v>fire brick partial bank</v>
      </c>
      <c r="K7" s="250" t="str">
        <f>if(isblank(Raw!K7),"",if(Raw!K7&gt;1,concatenate("Use ",Raw!K7," of Expt ",Raw!L7),"Use 1"))</f>
        <v/>
      </c>
      <c r="L7" s="250" t="str">
        <f>Raw!M7</f>
        <v>Nonagon</v>
      </c>
      <c r="M7" s="250" t="str">
        <f>Raw!N7</f>
        <v>cylinder</v>
      </c>
      <c r="N7" s="250">
        <f>Raw!O7</f>
        <v>68</v>
      </c>
      <c r="O7" s="250">
        <f>Raw!S7</f>
        <v>45</v>
      </c>
      <c r="P7" s="252">
        <f>Raw!T7</f>
        <v>55</v>
      </c>
      <c r="Q7" s="239">
        <f>if(L7="Rectangle",concatenate(Raw!U7," x ",Raw!V7),if(L7="Oval",concatenate(Raw!U7," by ",Raw!V7),if(isnumber(Raw!V7),concatenate(Raw!U7," to ",Raw!V7),Raw!U7)))</f>
        <v>35</v>
      </c>
      <c r="R7" s="239" t="str">
        <f>if(AND(Raw!Z7="Y",isnumber(Raw!X7)),concatenate(Raw!X7," (E)"),Raw!X7)</f>
        <v/>
      </c>
      <c r="S7" s="241">
        <f>Calcs!B7</f>
        <v>1003.2</v>
      </c>
      <c r="T7" s="252" t="str">
        <f>Raw!AB7</f>
        <v>7.5 +</v>
      </c>
      <c r="U7" s="252" t="str">
        <f>Raw!AC7</f>
        <v>none</v>
      </c>
      <c r="V7" s="252" t="str">
        <f>Raw!AD7</f>
        <v>steel pipe</v>
      </c>
      <c r="W7" s="212" t="str">
        <f>concatenate(Raw!AE7,if(Raw!AF7="Y"," (T)",))</f>
        <v>2.5</v>
      </c>
      <c r="X7" s="212" t="str">
        <f>concatenate(Raw!AG7,if(isblank(Raw!AH7),"",concatenate(" ",Raw!AH7)),if(isblank(Raw!AI7),""," (E)"))</f>
        <v>20 Down</v>
      </c>
      <c r="Y7" s="212" t="str">
        <f>concatenate(Raw!AJ7,if(isblank(Raw!AK7),""," (E)"))</f>
        <v>5</v>
      </c>
      <c r="Z7" s="252" t="str">
        <f>Raw!AL7</f>
        <v>none</v>
      </c>
      <c r="AA7" s="212" t="str">
        <f>concatenate(Raw!AO7,if(Raw!AP7="Y"," (E)",))</f>
        <v>23</v>
      </c>
      <c r="AB7" s="252" t="str">
        <f>Raw!AQ7</f>
        <v>vacuum blower</v>
      </c>
      <c r="AC7" s="212" t="str">
        <f>concatenate(ifs(istext(Raw!AT7),Raw!AT7,AND(Raw!AT7&gt;0,isblank(Raw!AS7)),concatenate(Raw!AT7," (A)"),AND(Raw!AR7&gt;0,Raw!AS7&gt;0),concatenate(Raw!AR7," to ",Raw!AS7),1,Raw!AS7),ifs(Raw!AU7="Y-","- (E)",Raw!AU7="Y"," (E)",1,))</f>
        <v>550</v>
      </c>
      <c r="AD7" s="253">
        <f>Raw!AW7</f>
        <v>1203.84</v>
      </c>
      <c r="AE7" s="239" t="str">
        <f>concatenate(Raw!AX7,if(isblank(Raw!AZ7),"",concatenate("/",Raw!AZ7)),if(isblank(Raw!BB7),"",concatenate("/",Raw!BB7)),if(isblank(Raw!BD7),"",concatenate("/",Raw!BD7)),if(isblank(Raw!BF7),"",concatenate("/",Raw!BF7)),if(Raw!BK7&gt;0,if(isblank(Raw!AX7),"Gromps","/Gromps"),))</f>
        <v>Guy's Run Goethite</v>
      </c>
      <c r="AF7" s="239" t="str">
        <f>concatenate(round(Raw!AY7,1),if(isblank(Raw!AZ7),"",concatenate("/",round(Raw!BA7,1))),if(isblank(Raw!BB7),"",concatenate("/",round(Raw!BC7,1))),if(isblank(Raw!BD7),"",concatenate("/",round(Raw!BE7,1))),if(isblank(Raw!BF7),"",concatenate("/",round(Raw!BG7,1))),if(isblank(Raw!BK7),,concatenate("/",if(isnumber(Raw!BK7),round(Raw!BK7,1),Raw!BK7))))</f>
        <v>8</v>
      </c>
      <c r="AG7" s="241">
        <f>Raw!BL7</f>
        <v>8</v>
      </c>
      <c r="AH7" s="254">
        <f>Raw!BI7</f>
        <v>0.58</v>
      </c>
      <c r="AI7" s="255" t="str">
        <f>Raw!BJ7</f>
        <v>roasted</v>
      </c>
      <c r="AJ7" s="255" t="str">
        <f>Raw!BM7</f>
        <v/>
      </c>
      <c r="AK7" s="255" t="str">
        <f>Raw!BO7</f>
        <v>1 to 5</v>
      </c>
      <c r="AL7" s="256" t="str">
        <f>Raw!BV7</f>
        <v>NR</v>
      </c>
      <c r="AM7" s="244" t="str">
        <f>if(ISNUMBER(Raw!BW7),concatenate(floor(Raw!BW7/60,1),":",MOD(Raw!BW7,60)),Raw!BW7)</f>
        <v>1:34</v>
      </c>
      <c r="AN7" s="255">
        <f>Raw!BX7</f>
        <v>17.5</v>
      </c>
      <c r="AO7" s="256">
        <f>Raw!BZ7</f>
        <v>18</v>
      </c>
      <c r="AP7" s="256">
        <f>Raw!CA7</f>
        <v>19.11013942</v>
      </c>
      <c r="AQ7" s="255" t="str">
        <f>Raw!CB7</f>
        <v>oak - hickory</v>
      </c>
      <c r="AR7" s="255" t="str">
        <f>Raw!CC7</f>
        <v>Royal Oak</v>
      </c>
      <c r="AS7" s="244" t="str">
        <f>concatenate(floor(Raw!CE7/60,1),":",text(MOD(Raw!CE7,60),"00"),ifs(Raw!CF7="Y"," (E)", Raw!CF7="Y+"," +", isblank(Raw!CF7),""))</f>
        <v>3:18</v>
      </c>
      <c r="AT7" s="255" t="str">
        <f>Raw!CR7</f>
        <v>top</v>
      </c>
      <c r="AU7" s="256">
        <f>Raw!CS7</f>
        <v>2</v>
      </c>
      <c r="AV7" s="255" t="str">
        <f>Raw!CT7</f>
        <v>fragmented</v>
      </c>
      <c r="AW7" s="246">
        <f>if(Raw!CW7&gt;0,Raw!CW7,"None")</f>
        <v>0.25</v>
      </c>
      <c r="AX7" s="246">
        <f>if(Raw!CX7&gt;0,Raw!CX7,"None")</f>
        <v>0.4310344828</v>
      </c>
      <c r="AY7" s="255" t="str">
        <f>Raw!CY7</f>
        <v>no tapping</v>
      </c>
      <c r="AZ7" s="255" t="str">
        <f>Raw!CZ7</f>
        <v/>
      </c>
      <c r="BA7" s="255" t="str">
        <f>Raw!DA7</f>
        <v>group design</v>
      </c>
      <c r="BB7" s="255" t="str">
        <f>Raw!DB7</f>
        <v>develop easy to build test furnace</v>
      </c>
      <c r="BC7" s="257" t="str">
        <f>Raw!DC7</f>
        <v>prototype teaching furnace.</v>
      </c>
      <c r="BD7" s="248"/>
    </row>
    <row r="8">
      <c r="A8" s="249">
        <f>Raw!A8</f>
        <v>7</v>
      </c>
      <c r="B8" s="250" t="str">
        <f>Raw!B8</f>
        <v>Econo Norse test</v>
      </c>
      <c r="C8" s="250" t="str">
        <f>Raw!C8</f>
        <v>Smeltfest</v>
      </c>
      <c r="D8" s="250" t="str">
        <f>Raw!D8</f>
        <v>Lexington VA</v>
      </c>
      <c r="E8" s="251">
        <f>Raw!E8</f>
        <v>38408</v>
      </c>
      <c r="F8" s="250" t="str">
        <f>Raw!F8</f>
        <v>modern</v>
      </c>
      <c r="G8" s="250" t="str">
        <f>Raw!G8</f>
        <v>N</v>
      </c>
      <c r="H8" s="250" t="str">
        <f>Raw!H8</f>
        <v/>
      </c>
      <c r="I8" s="250" t="str">
        <f>Raw!I8</f>
        <v>Econo Norse</v>
      </c>
      <c r="J8" s="250" t="str">
        <f>Raw!J8</f>
        <v>fire brick in sheet</v>
      </c>
      <c r="K8" s="250" t="str">
        <f>if(isblank(Raw!K8),"",if(Raw!K8&gt;1,concatenate("Use ",Raw!K8," of Expt ",Raw!L8),"Use 1"))</f>
        <v/>
      </c>
      <c r="L8" s="250" t="str">
        <f>Raw!M8</f>
        <v>Septagon</v>
      </c>
      <c r="M8" s="250" t="str">
        <f>Raw!N8</f>
        <v>cylinder</v>
      </c>
      <c r="N8" s="250">
        <f>Raw!O8</f>
        <v>60</v>
      </c>
      <c r="O8" s="250">
        <f>Raw!S8</f>
        <v>40</v>
      </c>
      <c r="P8" s="252">
        <f>Raw!T8</f>
        <v>50</v>
      </c>
      <c r="Q8" s="239">
        <f>if(L8="Rectangle",concatenate(Raw!U8," x ",Raw!V8),if(L8="Oval",concatenate(Raw!U8," by ",Raw!V8),if(isnumber(Raw!V8),concatenate(Raw!U8," to ",Raw!V8),Raw!U8)))</f>
        <v>25</v>
      </c>
      <c r="R8" s="239" t="str">
        <f>if(AND(Raw!Z8="Y",isnumber(Raw!X8)),concatenate(Raw!X8," (E)"),Raw!X8)</f>
        <v/>
      </c>
      <c r="S8" s="241">
        <f>Calcs!B8</f>
        <v>526.7</v>
      </c>
      <c r="T8" s="252" t="str">
        <f>Raw!AB8</f>
        <v>7.5 +</v>
      </c>
      <c r="U8" s="252" t="str">
        <f>Raw!AC8</f>
        <v>10 x 15</v>
      </c>
      <c r="V8" s="252" t="str">
        <f>Raw!AD8</f>
        <v>sheet copper</v>
      </c>
      <c r="W8" s="212" t="str">
        <f>concatenate(Raw!AE8,if(Raw!AF8="Y"," (T)",))</f>
        <v>2.5 (T)</v>
      </c>
      <c r="X8" s="212" t="str">
        <f>concatenate(Raw!AG8,if(isblank(Raw!AH8),"",concatenate(" ",Raw!AH8)),if(isblank(Raw!AI8),""," (E)"))</f>
        <v>20 Down</v>
      </c>
      <c r="Y8" s="212" t="str">
        <f>concatenate(Raw!AJ8,if(isblank(Raw!AK8),""," (E)"))</f>
        <v>5</v>
      </c>
      <c r="Z8" s="252" t="str">
        <f>Raw!AL8</f>
        <v>charcoal fines</v>
      </c>
      <c r="AA8" s="212" t="str">
        <f>concatenate(Raw!AO8,if(Raw!AP8="Y"," (E)",))</f>
        <v>18</v>
      </c>
      <c r="AB8" s="252" t="str">
        <f>Raw!AQ8</f>
        <v>vacuum blower</v>
      </c>
      <c r="AC8" s="212" t="str">
        <f>concatenate(ifs(istext(Raw!AT8),Raw!AT8,AND(Raw!AT8&gt;0,isblank(Raw!AS8)),concatenate(Raw!AT8," (A)"),AND(Raw!AR8&gt;0,Raw!AS8&gt;0),concatenate(Raw!AR8," to ",Raw!AS8),1,Raw!AS8),ifs(Raw!AU8="Y-","- (E)",Raw!AU8="Y"," (E)",1,))</f>
        <v>815</v>
      </c>
      <c r="AD8" s="253">
        <f>Raw!AW8</f>
        <v>632.04</v>
      </c>
      <c r="AE8" s="239" t="str">
        <f>concatenate(Raw!AX8,if(isblank(Raw!AZ8),"",concatenate("/",Raw!AZ8)),if(isblank(Raw!BB8),"",concatenate("/",Raw!BB8)),if(isblank(Raw!BD8),"",concatenate("/",Raw!BD8)),if(isblank(Raw!BF8),"",concatenate("/",Raw!BF8)),if(Raw!BK8&gt;0,if(isblank(Raw!AX8),"Gromps","/Gromps"),))</f>
        <v>Guy's Run Goethite/Magnetite Sand</v>
      </c>
      <c r="AF8" s="239" t="str">
        <f>concatenate(round(Raw!AY8,1),if(isblank(Raw!AZ8),"",concatenate("/",round(Raw!BA8,1))),if(isblank(Raw!BB8),"",concatenate("/",round(Raw!BC8,1))),if(isblank(Raw!BD8),"",concatenate("/",round(Raw!BE8,1))),if(isblank(Raw!BF8),"",concatenate("/",round(Raw!BG8,1))),if(isblank(Raw!BK8),,concatenate("/",if(isnumber(Raw!BK8),round(Raw!BK8,1),Raw!BK8))))</f>
        <v>31.8/3.2</v>
      </c>
      <c r="AG8" s="241">
        <f>Raw!BL8</f>
        <v>34.98181818</v>
      </c>
      <c r="AH8" s="254" t="str">
        <f>Raw!BI8</f>
        <v>?</v>
      </c>
      <c r="AI8" s="255" t="str">
        <f>Raw!BJ8</f>
        <v>roasted</v>
      </c>
      <c r="AJ8" s="255" t="str">
        <f>Raw!BM8</f>
        <v/>
      </c>
      <c r="AK8" s="255" t="str">
        <f>Raw!BO8</f>
        <v>1 to 5</v>
      </c>
      <c r="AL8" s="256" t="str">
        <f>Raw!BV8</f>
        <v>NR</v>
      </c>
      <c r="AM8" s="244" t="str">
        <f>if(ISNUMBER(Raw!BW8),concatenate(floor(Raw!BW8/60,1),":",MOD(Raw!BW8,60)),Raw!BW8)</f>
        <v>1:25</v>
      </c>
      <c r="AN8" s="255">
        <f>Raw!BX8</f>
        <v>78.14</v>
      </c>
      <c r="AO8" s="256">
        <f>Raw!BZ8</f>
        <v>9.075</v>
      </c>
      <c r="AP8" s="256">
        <f>Raw!CA8</f>
        <v>5.119230769</v>
      </c>
      <c r="AQ8" s="255" t="str">
        <f>Raw!CB8</f>
        <v>mixed hardwood</v>
      </c>
      <c r="AR8" s="255" t="str">
        <f>Raw!CC8</f>
        <v>home made</v>
      </c>
      <c r="AS8" s="244" t="str">
        <f>concatenate(floor(Raw!CE8/60,1),":",text(MOD(Raw!CE8,60),"00"),ifs(Raw!CF8="Y"," (E)", Raw!CF8="Y+"," +", isblank(Raw!CF8),""))</f>
        <v>6:03</v>
      </c>
      <c r="AT8" s="255" t="str">
        <f>Raw!CR8</f>
        <v>dismantled</v>
      </c>
      <c r="AU8" s="256">
        <f>Raw!CS8</f>
        <v>6.5</v>
      </c>
      <c r="AV8" s="255" t="str">
        <f>Raw!CT8</f>
        <v>lacy</v>
      </c>
      <c r="AW8" s="246">
        <f>if(Raw!CW8&gt;0,Raw!CW8,"None")</f>
        <v>0.1858108108</v>
      </c>
      <c r="AX8" s="246" t="str">
        <f>if(Raw!CX8&gt;0,Raw!CX8,"None")</f>
        <v>?</v>
      </c>
      <c r="AY8" s="255" t="str">
        <f>Raw!CY8</f>
        <v>good</v>
      </c>
      <c r="AZ8" s="255" t="str">
        <f>Raw!CZ8</f>
        <v/>
      </c>
      <c r="BA8" s="255" t="str">
        <f>Raw!DA8</f>
        <v>teaching model</v>
      </c>
      <c r="BB8" s="255" t="str">
        <f>Raw!DB8</f>
        <v>refine test / teaching furnace</v>
      </c>
      <c r="BC8" s="257" t="str">
        <f>Raw!DC8</f>
        <v>use of forged copper tuyere</v>
      </c>
      <c r="BD8" s="248"/>
    </row>
    <row r="9">
      <c r="A9" s="249">
        <f>Raw!A9</f>
        <v>8</v>
      </c>
      <c r="B9" s="250" t="str">
        <f>Raw!B9</f>
        <v>Econo Norse test</v>
      </c>
      <c r="C9" s="250" t="str">
        <f>Raw!C9</f>
        <v>Smeltfest</v>
      </c>
      <c r="D9" s="250" t="str">
        <f>Raw!D9</f>
        <v>Lexington VA</v>
      </c>
      <c r="E9" s="251">
        <f>Raw!E9</f>
        <v>38410</v>
      </c>
      <c r="F9" s="250" t="str">
        <f>Raw!F9</f>
        <v>modern</v>
      </c>
      <c r="G9" s="250" t="str">
        <f>Raw!G9</f>
        <v>N</v>
      </c>
      <c r="H9" s="250" t="str">
        <f>Raw!H9</f>
        <v/>
      </c>
      <c r="I9" s="250" t="str">
        <f>Raw!I9</f>
        <v>Econo Norse</v>
      </c>
      <c r="J9" s="250" t="str">
        <f>Raw!J9</f>
        <v>fire brick in sheet</v>
      </c>
      <c r="K9" s="250" t="str">
        <f>if(isblank(Raw!K9),"",if(Raw!K9&gt;1,concatenate("Use ",Raw!K9," of Expt ",Raw!L9),"Use 1"))</f>
        <v/>
      </c>
      <c r="L9" s="250" t="str">
        <f>Raw!M9</f>
        <v>Septagon</v>
      </c>
      <c r="M9" s="250" t="str">
        <f>Raw!N9</f>
        <v>cylinder</v>
      </c>
      <c r="N9" s="250">
        <f>Raw!O9</f>
        <v>60</v>
      </c>
      <c r="O9" s="250">
        <f>Raw!S9</f>
        <v>40</v>
      </c>
      <c r="P9" s="252">
        <f>Raw!T9</f>
        <v>50</v>
      </c>
      <c r="Q9" s="239">
        <f>if(L9="Rectangle",concatenate(Raw!U9," x ",Raw!V9),if(L9="Oval",concatenate(Raw!U9," by ",Raw!V9),if(isnumber(Raw!V9),concatenate(Raw!U9," to ",Raw!V9),Raw!U9)))</f>
        <v>25</v>
      </c>
      <c r="R9" s="239" t="str">
        <f>if(AND(Raw!Z9="Y",isnumber(Raw!X9)),concatenate(Raw!X9," (E)"),Raw!X9)</f>
        <v/>
      </c>
      <c r="S9" s="241">
        <f>Calcs!B9</f>
        <v>526.7</v>
      </c>
      <c r="T9" s="252" t="str">
        <f>Raw!AB9</f>
        <v>7.5 +</v>
      </c>
      <c r="U9" s="252" t="str">
        <f>Raw!AC9</f>
        <v>10 x 15</v>
      </c>
      <c r="V9" s="252" t="str">
        <f>Raw!AD9</f>
        <v>sheet copper</v>
      </c>
      <c r="W9" s="212" t="str">
        <f>concatenate(Raw!AE9,if(Raw!AF9="Y"," (T)",))</f>
        <v>2.5 (T)</v>
      </c>
      <c r="X9" s="212" t="str">
        <f>concatenate(Raw!AG9,if(isblank(Raw!AH9),"",concatenate(" ",Raw!AH9)),if(isblank(Raw!AI9),""," (E)"))</f>
        <v>20 Down</v>
      </c>
      <c r="Y9" s="212" t="str">
        <f>concatenate(Raw!AJ9,if(isblank(Raw!AK9),""," (E)"))</f>
        <v>5</v>
      </c>
      <c r="Z9" s="252" t="str">
        <f>Raw!AL9</f>
        <v>charcoal fines</v>
      </c>
      <c r="AA9" s="212" t="str">
        <f>concatenate(Raw!AO9,if(Raw!AP9="Y"," (E)",))</f>
        <v>18</v>
      </c>
      <c r="AB9" s="252" t="str">
        <f>Raw!AQ9</f>
        <v>vacuum blower</v>
      </c>
      <c r="AC9" s="212" t="str">
        <f>concatenate(ifs(istext(Raw!AT9),Raw!AT9,AND(Raw!AT9&gt;0,isblank(Raw!AS9)),concatenate(Raw!AT9," (A)"),AND(Raw!AR9&gt;0,Raw!AS9&gt;0),concatenate(Raw!AR9," to ",Raw!AS9),1,Raw!AS9),ifs(Raw!AU9="Y-","- (E)",Raw!AU9="Y"," (E)",1,))</f>
        <v>815</v>
      </c>
      <c r="AD9" s="253">
        <f>Raw!AW9</f>
        <v>632.04</v>
      </c>
      <c r="AE9" s="239" t="str">
        <f>concatenate(Raw!AX9,if(isblank(Raw!AZ9),"",concatenate("/",Raw!AZ9)),if(isblank(Raw!BB9),"",concatenate("/",Raw!BB9)),if(isblank(Raw!BD9),"",concatenate("/",Raw!BD9)),if(isblank(Raw!BF9),"",concatenate("/",Raw!BF9)),if(Raw!BK9&gt;0,if(isblank(Raw!AX9),"Gromps","/Gromps"),))</f>
        <v>Guy's Run Goethite</v>
      </c>
      <c r="AF9" s="239" t="str">
        <f>concatenate(round(Raw!AY9,1),if(isblank(Raw!AZ9),"",concatenate("/",round(Raw!BA9,1))),if(isblank(Raw!BB9),"",concatenate("/",round(Raw!BC9,1))),if(isblank(Raw!BD9),"",concatenate("/",round(Raw!BE9,1))),if(isblank(Raw!BF9),"",concatenate("/",round(Raw!BG9,1))),if(isblank(Raw!BK9),,concatenate("/",if(isnumber(Raw!BK9),round(Raw!BK9,1),Raw!BK9))))</f>
        <v>28</v>
      </c>
      <c r="AG9" s="241">
        <f>Raw!BL9</f>
        <v>28</v>
      </c>
      <c r="AH9" s="254">
        <f>Raw!BI9</f>
        <v>0.58</v>
      </c>
      <c r="AI9" s="255" t="str">
        <f>Raw!BJ9</f>
        <v>roasted</v>
      </c>
      <c r="AJ9" s="255" t="str">
        <f>Raw!BM9</f>
        <v/>
      </c>
      <c r="AK9" s="255" t="str">
        <f>Raw!BO9</f>
        <v>1 to 5</v>
      </c>
      <c r="AL9" s="256" t="str">
        <f>Raw!BV9</f>
        <v>NR</v>
      </c>
      <c r="AM9" s="244" t="str">
        <f>if(ISNUMBER(Raw!BW9),concatenate(floor(Raw!BW9/60,1),":",MOD(Raw!BW9,60)),Raw!BW9)</f>
        <v>1:25</v>
      </c>
      <c r="AN9" s="255">
        <f>Raw!BX9</f>
        <v>78.15</v>
      </c>
      <c r="AO9" s="256">
        <f>Raw!BZ9</f>
        <v>9.461538462</v>
      </c>
      <c r="AP9" s="256">
        <f>Raw!CA9</f>
        <v>5.203846154</v>
      </c>
      <c r="AQ9" s="255" t="str">
        <f>Raw!CB9</f>
        <v>mixed hardwood</v>
      </c>
      <c r="AR9" s="255" t="str">
        <f>Raw!CC9</f>
        <v>home made</v>
      </c>
      <c r="AS9" s="244" t="str">
        <f>concatenate(floor(Raw!CE9/60,1),":",text(MOD(Raw!CE9,60),"00"),ifs(Raw!CF9="Y"," (E)", Raw!CF9="Y+"," +", isblank(Raw!CF9),""))</f>
        <v>6:09</v>
      </c>
      <c r="AT9" s="255" t="str">
        <f>Raw!CR9</f>
        <v>dismantled</v>
      </c>
      <c r="AU9" s="256">
        <f>Raw!CS9</f>
        <v>7.5</v>
      </c>
      <c r="AV9" s="255" t="str">
        <f>Raw!CT9</f>
        <v>solid</v>
      </c>
      <c r="AW9" s="246">
        <f>if(Raw!CW9&gt;0,Raw!CW9,"None")</f>
        <v>0.2678571429</v>
      </c>
      <c r="AX9" s="246">
        <f>if(Raw!CX9&gt;0,Raw!CX9,"None")</f>
        <v>0.4618226601</v>
      </c>
      <c r="AY9" s="255" t="str">
        <f>Raw!CY9</f>
        <v>considerable</v>
      </c>
      <c r="AZ9" s="255" t="str">
        <f>Raw!CZ9</f>
        <v/>
      </c>
      <c r="BA9" s="255" t="str">
        <f>Raw!DA9</f>
        <v>teaching model</v>
      </c>
      <c r="BB9" s="255" t="str">
        <f>Raw!DB9</f>
        <v>refine test / teaching furnace</v>
      </c>
      <c r="BC9" s="257" t="str">
        <f>Raw!DC9</f>
        <v>dupilcate of above</v>
      </c>
      <c r="BD9" s="248"/>
    </row>
    <row r="10">
      <c r="A10" s="249">
        <f>Raw!A10</f>
        <v>9</v>
      </c>
      <c r="B10" s="250" t="str">
        <f>Raw!B10</f>
        <v>OABA demo</v>
      </c>
      <c r="C10" s="250" t="str">
        <f>Raw!C10</f>
        <v>OABA</v>
      </c>
      <c r="D10" s="250" t="str">
        <f>Raw!D10</f>
        <v>Wareham ON</v>
      </c>
      <c r="E10" s="251">
        <f>Raw!E10</f>
        <v>38486</v>
      </c>
      <c r="F10" s="250" t="str">
        <f>Raw!F10</f>
        <v>modern</v>
      </c>
      <c r="G10" s="250" t="str">
        <f>Raw!G10</f>
        <v>Y</v>
      </c>
      <c r="H10" s="250" t="str">
        <f>Raw!H10</f>
        <v/>
      </c>
      <c r="I10" s="250" t="str">
        <f>Raw!I10</f>
        <v>Econo Norse</v>
      </c>
      <c r="J10" s="250" t="str">
        <f>Raw!J10</f>
        <v>fire brick in sheet</v>
      </c>
      <c r="K10" s="250" t="str">
        <f>if(isblank(Raw!K10),"",if(Raw!K10&gt;1,concatenate("Use ",Raw!K10," of Expt ",Raw!L10),"Use 1"))</f>
        <v/>
      </c>
      <c r="L10" s="250" t="str">
        <f>Raw!M10</f>
        <v>Octagon</v>
      </c>
      <c r="M10" s="250" t="str">
        <f>Raw!N10</f>
        <v>cylinder</v>
      </c>
      <c r="N10" s="250">
        <f>Raw!O10</f>
        <v>60</v>
      </c>
      <c r="O10" s="250">
        <f>Raw!S10</f>
        <v>40</v>
      </c>
      <c r="P10" s="252">
        <f>Raw!T10</f>
        <v>50</v>
      </c>
      <c r="Q10" s="239">
        <f>if(L10="Rectangle",concatenate(Raw!U10," x ",Raw!V10),if(L10="Oval",concatenate(Raw!U10," by ",Raw!V10),if(isnumber(Raw!V10),concatenate(Raw!U10," to ",Raw!V10),Raw!U10)))</f>
        <v>25</v>
      </c>
      <c r="R10" s="239" t="str">
        <f>if(AND(Raw!Z10="Y",isnumber(Raw!X10)),concatenate(Raw!X10," (E)"),Raw!X10)</f>
        <v/>
      </c>
      <c r="S10" s="241">
        <f>Calcs!B10</f>
        <v>517.8</v>
      </c>
      <c r="T10" s="252" t="str">
        <f>Raw!AB10</f>
        <v>7.5 +</v>
      </c>
      <c r="U10" s="252" t="str">
        <f>Raw!AC10</f>
        <v>10 x 15 E</v>
      </c>
      <c r="V10" s="252" t="str">
        <f>Raw!AD10</f>
        <v>steel pipe</v>
      </c>
      <c r="W10" s="212" t="str">
        <f>concatenate(Raw!AE10,if(Raw!AF10="Y"," (T)",))</f>
        <v>2.5</v>
      </c>
      <c r="X10" s="212" t="str">
        <f>concatenate(Raw!AG10,if(isblank(Raw!AH10),"",concatenate(" ",Raw!AH10)),if(isblank(Raw!AI10),""," (E)"))</f>
        <v>20 Down</v>
      </c>
      <c r="Y10" s="212" t="str">
        <f>concatenate(Raw!AJ10,if(isblank(Raw!AK10),""," (E)"))</f>
        <v>5</v>
      </c>
      <c r="Z10" s="252" t="str">
        <f>Raw!AL10</f>
        <v>charcoal fines</v>
      </c>
      <c r="AA10" s="212" t="str">
        <f>concatenate(Raw!AO10,if(Raw!AP10="Y"," (E)",))</f>
        <v>20</v>
      </c>
      <c r="AB10" s="252" t="str">
        <f>Raw!AQ10</f>
        <v>various</v>
      </c>
      <c r="AC10" s="212" t="str">
        <f>concatenate(ifs(istext(Raw!AT10),Raw!AT10,AND(Raw!AT10&gt;0,isblank(Raw!AS10)),concatenate(Raw!AT10," (A)"),AND(Raw!AR10&gt;0,Raw!AS10&gt;0),concatenate(Raw!AR10," to ",Raw!AS10),1,Raw!AS10),ifs(Raw!AU10="Y-","- (E)",Raw!AU10="Y"," (E)",1,))</f>
        <v>inconsistant</v>
      </c>
      <c r="AD10" s="253">
        <f>Raw!AW10</f>
        <v>621.36</v>
      </c>
      <c r="AE10" s="239" t="str">
        <f>concatenate(Raw!AX10,if(isblank(Raw!AZ10),"",concatenate("/",Raw!AZ10)),if(isblank(Raw!BB10),"",concatenate("/",Raw!BB10)),if(isblank(Raw!BD10),"",concatenate("/",Raw!BD10)),if(isblank(Raw!BF10),"",concatenate("/",Raw!BF10)),if(Raw!BK10&gt;0,if(isblank(Raw!AX10),"Gromps","/Gromps"),))</f>
        <v>Stelco Taconite</v>
      </c>
      <c r="AF10" s="239" t="str">
        <f>concatenate(round(Raw!AY10,1),if(isblank(Raw!AZ10),"",concatenate("/",round(Raw!BA10,1))),if(isblank(Raw!BB10),"",concatenate("/",round(Raw!BC10,1))),if(isblank(Raw!BD10),"",concatenate("/",round(Raw!BE10,1))),if(isblank(Raw!BF10),"",concatenate("/",round(Raw!BG10,1))),if(isblank(Raw!BK10),,concatenate("/",if(isnumber(Raw!BK10),round(Raw!BK10,1),Raw!BK10))))</f>
        <v>21.3</v>
      </c>
      <c r="AG10" s="241">
        <f>Raw!BL10</f>
        <v>21.3</v>
      </c>
      <c r="AH10" s="254">
        <f>Raw!BI10</f>
        <v>0.6539677619</v>
      </c>
      <c r="AI10" s="255" t="str">
        <f>Raw!BJ10</f>
        <v>roasted</v>
      </c>
      <c r="AJ10" s="255" t="str">
        <f>Raw!BM10</f>
        <v/>
      </c>
      <c r="AK10" s="255" t="str">
        <f>Raw!BO10</f>
        <v>1 to 5</v>
      </c>
      <c r="AL10" s="256">
        <f>Raw!BV10</f>
        <v>6.62972973</v>
      </c>
      <c r="AM10" s="244" t="str">
        <f>if(ISNUMBER(Raw!BW10),concatenate(floor(Raw!BW10/60,1),":",MOD(Raw!BW10,60)),Raw!BW10)</f>
        <v>0:45</v>
      </c>
      <c r="AN10" s="256">
        <f>Raw!BX10</f>
        <v>67.27272727</v>
      </c>
      <c r="AO10" s="256">
        <f>Raw!BZ10</f>
        <v>11.31034483</v>
      </c>
      <c r="AP10" s="256">
        <f>Raw!CA10</f>
        <v>6.220689655</v>
      </c>
      <c r="AQ10" s="255" t="str">
        <f>Raw!CB10</f>
        <v>oak - hickory</v>
      </c>
      <c r="AR10" s="255" t="str">
        <f>Raw!CC10</f>
        <v>Royal Oak</v>
      </c>
      <c r="AS10" s="244" t="str">
        <f>concatenate(floor(Raw!CE10/60,1),":",text(MOD(Raw!CE10,60),"00"),ifs(Raw!CF10="Y"," (E)", Raw!CF10="Y+"," +", isblank(Raw!CF10),""))</f>
        <v>5:28</v>
      </c>
      <c r="AT10" s="255" t="str">
        <f>Raw!CR10</f>
        <v>dismantled</v>
      </c>
      <c r="AU10" s="256">
        <f>Raw!CS10</f>
        <v>9.5</v>
      </c>
      <c r="AV10" s="255" t="str">
        <f>Raw!CT10</f>
        <v>large</v>
      </c>
      <c r="AW10" s="246">
        <f>if(Raw!CW10&gt;0,Raw!CW10,"None")</f>
        <v>0.4460093897</v>
      </c>
      <c r="AX10" s="246">
        <f>if(Raw!CX10&gt;0,Raw!CX10,"None")</f>
        <v>0.6820051624</v>
      </c>
      <c r="AY10" s="255" t="str">
        <f>Raw!CY10</f>
        <v>excessive</v>
      </c>
      <c r="AZ10" s="255" t="str">
        <f>Raw!CZ10</f>
        <v/>
      </c>
      <c r="BA10" s="255" t="str">
        <f>Raw!DA10</f>
        <v>demonstration</v>
      </c>
      <c r="BB10" s="255" t="str">
        <f>Raw!DB10</f>
        <v>introduce method to Ontario Blacksmiths</v>
      </c>
      <c r="BC10" s="257" t="str">
        <f>Raw!DC10</f>
        <v>ash / sawdust packing produces much slag</v>
      </c>
      <c r="BD10" s="248"/>
    </row>
    <row r="11">
      <c r="A11" s="249" t="str">
        <f>Raw!A11</f>
        <v>10 / D5</v>
      </c>
      <c r="B11" s="250" t="str">
        <f>Raw!B11</f>
        <v>CanIRON test</v>
      </c>
      <c r="C11" s="250" t="str">
        <f>Raw!C11</f>
        <v>DARC</v>
      </c>
      <c r="D11" s="250" t="str">
        <f>Raw!D11</f>
        <v>Wareham ON</v>
      </c>
      <c r="E11" s="251">
        <f>Raw!E11</f>
        <v>38514</v>
      </c>
      <c r="F11" s="250" t="str">
        <f>Raw!F11</f>
        <v>Viking Age</v>
      </c>
      <c r="G11" s="250" t="str">
        <f>Raw!G11</f>
        <v>N</v>
      </c>
      <c r="H11" s="250" t="str">
        <f>Raw!H11</f>
        <v/>
      </c>
      <c r="I11" s="250" t="str">
        <f>Raw!I11</f>
        <v>boxed short shaft</v>
      </c>
      <c r="J11" s="250" t="str">
        <f>Raw!J11</f>
        <v>straw cobb in stone slabs</v>
      </c>
      <c r="K11" s="250" t="str">
        <f>if(isblank(Raw!K11),"",if(Raw!K11&gt;1,concatenate("Use ",Raw!K11," of Expt ",Raw!L11),"Use 1"))</f>
        <v/>
      </c>
      <c r="L11" s="250" t="str">
        <f>Raw!M11</f>
        <v>Circle</v>
      </c>
      <c r="M11" s="250" t="str">
        <f>Raw!N11</f>
        <v>cylinder</v>
      </c>
      <c r="N11" s="250">
        <f>Raw!O11</f>
        <v>60</v>
      </c>
      <c r="O11" s="250">
        <f>Raw!S11</f>
        <v>46</v>
      </c>
      <c r="P11" s="252">
        <f>Raw!T11</f>
        <v>40</v>
      </c>
      <c r="Q11" s="239">
        <f>if(L11="Rectangle",concatenate(Raw!U11," x ",Raw!V11),if(L11="Oval",concatenate(Raw!U11," by ",Raw!V11),if(isnumber(Raw!V11),concatenate(Raw!U11," to ",Raw!V11),Raw!U11)))</f>
        <v>25</v>
      </c>
      <c r="R11" s="239" t="str">
        <f>if(AND(Raw!Z11="Y",isnumber(Raw!X11)),concatenate(Raw!X11," (E)"),Raw!X11)</f>
        <v/>
      </c>
      <c r="S11" s="241">
        <f>Calcs!B11</f>
        <v>490.9</v>
      </c>
      <c r="T11" s="252">
        <f>Raw!AB11</f>
        <v>7.5</v>
      </c>
      <c r="U11" s="252" t="str">
        <f>Raw!AC11</f>
        <v>10 x 15</v>
      </c>
      <c r="V11" s="252" t="str">
        <f>Raw!AD11</f>
        <v>steel pipe</v>
      </c>
      <c r="W11" s="212" t="str">
        <f>concatenate(Raw!AE11,if(Raw!AF11="Y"," (T)",))</f>
        <v>2.5</v>
      </c>
      <c r="X11" s="212" t="str">
        <f>concatenate(Raw!AG11,if(isblank(Raw!AH11),"",concatenate(" ",Raw!AH11)),if(isblank(Raw!AI11),""," (E)"))</f>
        <v>20 Down</v>
      </c>
      <c r="Y11" s="212" t="str">
        <f>concatenate(Raw!AJ11,if(isblank(Raw!AK11),""," (E)"))</f>
        <v>5</v>
      </c>
      <c r="Z11" s="252" t="str">
        <f>Raw!AL11</f>
        <v>charcoal fines</v>
      </c>
      <c r="AA11" s="212" t="str">
        <f>concatenate(Raw!AO11,if(Raw!AP11="Y"," (E)",))</f>
        <v>16</v>
      </c>
      <c r="AB11" s="252" t="str">
        <f>Raw!AQ11</f>
        <v>Ubber Bellows</v>
      </c>
      <c r="AC11" s="212" t="str">
        <f>concatenate(ifs(istext(Raw!AT11),Raw!AT11,AND(Raw!AT11&gt;0,isblank(Raw!AS11)),concatenate(Raw!AT11," (A)"),AND(Raw!AR11&gt;0,Raw!AS11&gt;0),concatenate(Raw!AR11," to ",Raw!AS11),1,Raw!AS11),ifs(Raw!AU11="Y-","- (E)",Raw!AU11="Y"," (E)",1,))</f>
        <v>600 (E)</v>
      </c>
      <c r="AD11" s="253">
        <f>Raw!AW11</f>
        <v>589.08</v>
      </c>
      <c r="AE11" s="239" t="str">
        <f>concatenate(Raw!AX11,if(isblank(Raw!AZ11),"",concatenate("/",Raw!AZ11)),if(isblank(Raw!BB11),"",concatenate("/",Raw!BB11)),if(isblank(Raw!BD11),"",concatenate("/",Raw!BD11)),if(isblank(Raw!BF11),"",concatenate("/",Raw!BF11)),if(Raw!BK11&gt;0,if(isblank(Raw!AX11),"Gromps","/Gromps"),))</f>
        <v>Stelco Taconite</v>
      </c>
      <c r="AF11" s="239" t="str">
        <f>concatenate(round(Raw!AY11,1),if(isblank(Raw!AZ11),"",concatenate("/",round(Raw!BA11,1))),if(isblank(Raw!BB11),"",concatenate("/",round(Raw!BC11,1))),if(isblank(Raw!BD11),"",concatenate("/",round(Raw!BE11,1))),if(isblank(Raw!BF11),"",concatenate("/",round(Raw!BG11,1))),if(isblank(Raw!BK11),,concatenate("/",if(isnumber(Raw!BK11),round(Raw!BK11,1),Raw!BK11))))</f>
        <v>10.9</v>
      </c>
      <c r="AG11" s="241">
        <f>Raw!BL11</f>
        <v>10.9</v>
      </c>
      <c r="AH11" s="254">
        <f>Raw!BI11</f>
        <v>0.6539677619</v>
      </c>
      <c r="AI11" s="255" t="str">
        <f>Raw!BJ11</f>
        <v>roasted</v>
      </c>
      <c r="AJ11" s="255" t="str">
        <f>Raw!BM11</f>
        <v/>
      </c>
      <c r="AK11" s="255" t="str">
        <f>Raw!BO11</f>
        <v>1 to 5</v>
      </c>
      <c r="AL11" s="256">
        <f>Raw!BV11</f>
        <v>8.59047619</v>
      </c>
      <c r="AM11" s="244" t="str">
        <f>if(ISNUMBER(Raw!BW11),concatenate(floor(Raw!BW11/60,1),":",MOD(Raw!BW11,60)),Raw!BW11)</f>
        <v>1:0</v>
      </c>
      <c r="AN11" s="256">
        <f>Raw!BX11</f>
        <v>38.18181818</v>
      </c>
      <c r="AO11" s="256">
        <f>Raw!BZ11</f>
        <v>12.05555556</v>
      </c>
      <c r="AP11" s="256">
        <f>Raw!CA11</f>
        <v>7.020588235</v>
      </c>
      <c r="AQ11" s="255" t="str">
        <f>Raw!CB11</f>
        <v>oak - hickory</v>
      </c>
      <c r="AR11" s="255" t="str">
        <f>Raw!CC11</f>
        <v>Royal Oak</v>
      </c>
      <c r="AS11" s="244" t="str">
        <f>concatenate(floor(Raw!CE11/60,1),":",text(MOD(Raw!CE11,60),"00"),ifs(Raw!CF11="Y"," (E)", Raw!CF11="Y+"," +", isblank(Raw!CF11),""))</f>
        <v>3:37</v>
      </c>
      <c r="AT11" s="255" t="str">
        <f>Raw!CR11</f>
        <v>top</v>
      </c>
      <c r="AU11" s="256">
        <f>Raw!CS11</f>
        <v>3.2</v>
      </c>
      <c r="AV11" s="255" t="str">
        <f>Raw!CT11</f>
        <v>workable</v>
      </c>
      <c r="AW11" s="246">
        <f>if(Raw!CW11&gt;0,Raw!CW11,"None")</f>
        <v>0.2935779817</v>
      </c>
      <c r="AX11" s="246">
        <f>if(Raw!CX11&gt;0,Raw!CX11,"None")</f>
        <v>0.4489181252</v>
      </c>
      <c r="AY11" s="255" t="str">
        <f>Raw!CY11</f>
        <v>good</v>
      </c>
      <c r="AZ11" s="255" t="str">
        <f>Raw!CZ11</f>
        <v/>
      </c>
      <c r="BA11" s="255" t="str">
        <f>Raw!DA11</f>
        <v>Viking Age demonstration</v>
      </c>
      <c r="BB11" s="255" t="str">
        <f>Raw!DB11</f>
        <v>develop VA demonstration methods</v>
      </c>
      <c r="BC11" s="257" t="str">
        <f>Raw!DC11</f>
        <v>switch to blower at 2:30 @ 815 LpM</v>
      </c>
      <c r="BD11" s="248"/>
    </row>
    <row r="12">
      <c r="A12" s="249" t="str">
        <f>Raw!A12</f>
        <v>11 / D6</v>
      </c>
      <c r="B12" s="250" t="str">
        <f>Raw!B12</f>
        <v>CanIRON 5</v>
      </c>
      <c r="C12" s="250" t="str">
        <f>Raw!C12</f>
        <v>DARC</v>
      </c>
      <c r="D12" s="250" t="str">
        <f>Raw!D12</f>
        <v>Annapolis Royal NS</v>
      </c>
      <c r="E12" s="251">
        <f>Raw!E12</f>
        <v>38596</v>
      </c>
      <c r="F12" s="250" t="str">
        <f>Raw!F12</f>
        <v>Viking Age</v>
      </c>
      <c r="G12" s="250" t="str">
        <f>Raw!G12</f>
        <v>Y</v>
      </c>
      <c r="H12" s="250" t="str">
        <f>Raw!H12</f>
        <v/>
      </c>
      <c r="I12" s="250" t="str">
        <f>Raw!I12</f>
        <v>boxed short shaft</v>
      </c>
      <c r="J12" s="250" t="str">
        <f>Raw!J12</f>
        <v>straw cobb in stone slabs</v>
      </c>
      <c r="K12" s="250" t="str">
        <f>if(isblank(Raw!K12),"",if(Raw!K12&gt;1,concatenate("Use ",Raw!K12," of Expt ",Raw!L12),"Use 1"))</f>
        <v/>
      </c>
      <c r="L12" s="250" t="str">
        <f>Raw!M12</f>
        <v>Circle</v>
      </c>
      <c r="M12" s="250" t="str">
        <f>Raw!N12</f>
        <v>cylinder</v>
      </c>
      <c r="N12" s="250">
        <f>Raw!O12</f>
        <v>60</v>
      </c>
      <c r="O12" s="250">
        <f>Raw!S12</f>
        <v>46</v>
      </c>
      <c r="P12" s="252">
        <f>Raw!T12</f>
        <v>40</v>
      </c>
      <c r="Q12" s="239">
        <f>if(L12="Rectangle",concatenate(Raw!U12," x ",Raw!V12),if(L12="Oval",concatenate(Raw!U12," by ",Raw!V12),if(isnumber(Raw!V12),concatenate(Raw!U12," to ",Raw!V12),Raw!U12)))</f>
        <v>25</v>
      </c>
      <c r="R12" s="239" t="str">
        <f>if(AND(Raw!Z12="Y",isnumber(Raw!X12)),concatenate(Raw!X12," (E)"),Raw!X12)</f>
        <v/>
      </c>
      <c r="S12" s="241">
        <f>Calcs!B12</f>
        <v>490.9</v>
      </c>
      <c r="T12" s="252">
        <f>Raw!AB12</f>
        <v>7.5</v>
      </c>
      <c r="U12" s="252" t="str">
        <f>Raw!AC12</f>
        <v>10 x 15 E</v>
      </c>
      <c r="V12" s="252" t="str">
        <f>Raw!AD12</f>
        <v>steel pipe</v>
      </c>
      <c r="W12" s="212" t="str">
        <f>concatenate(Raw!AE12,if(Raw!AF12="Y"," (T)",))</f>
        <v>2.5</v>
      </c>
      <c r="X12" s="212" t="str">
        <f>concatenate(Raw!AG12,if(isblank(Raw!AH12),"",concatenate(" ",Raw!AH12)),if(isblank(Raw!AI12),""," (E)"))</f>
        <v>20 Down</v>
      </c>
      <c r="Y12" s="212" t="str">
        <f>concatenate(Raw!AJ12,if(isblank(Raw!AK12),""," (E)"))</f>
        <v>5</v>
      </c>
      <c r="Z12" s="252" t="str">
        <f>Raw!AL12</f>
        <v>charcoal fines</v>
      </c>
      <c r="AA12" s="212" t="str">
        <f>concatenate(Raw!AO12,if(Raw!AP12="Y"," (E)",))</f>
        <v>15</v>
      </c>
      <c r="AB12" s="252" t="str">
        <f>Raw!AQ12</f>
        <v>Ubber Bellows</v>
      </c>
      <c r="AC12" s="212" t="str">
        <f>concatenate(ifs(istext(Raw!AT12),Raw!AT12,AND(Raw!AT12&gt;0,isblank(Raw!AS12)),concatenate(Raw!AT12," (A)"),AND(Raw!AR12&gt;0,Raw!AS12&gt;0),concatenate(Raw!AR12," to ",Raw!AS12),1,Raw!AS12),ifs(Raw!AU12="Y-","- (E)",Raw!AU12="Y"," (E)",1,))</f>
        <v>600 (E)</v>
      </c>
      <c r="AD12" s="253">
        <f>Raw!AW12</f>
        <v>589.08</v>
      </c>
      <c r="AE12" s="239" t="str">
        <f>concatenate(Raw!AX12,if(isblank(Raw!AZ12),"",concatenate("/",Raw!AZ12)),if(isblank(Raw!BB12),"",concatenate("/",Raw!BB12)),if(isblank(Raw!BD12),"",concatenate("/",Raw!BD12)),if(isblank(Raw!BF12),"",concatenate("/",Raw!BF12)),if(Raw!BK12&gt;0,if(isblank(Raw!AX12),"Gromps","/Gromps"),))</f>
        <v>Stelco Taconite S</v>
      </c>
      <c r="AF12" s="239" t="str">
        <f>concatenate(round(Raw!AY12,1),if(isblank(Raw!AZ12),"",concatenate("/",round(Raw!BA12,1))),if(isblank(Raw!BB12),"",concatenate("/",round(Raw!BC12,1))),if(isblank(Raw!BD12),"",concatenate("/",round(Raw!BE12,1))),if(isblank(Raw!BF12),"",concatenate("/",round(Raw!BG12,1))),if(isblank(Raw!BK12),,concatenate("/",if(isnumber(Raw!BK12),round(Raw!BK12,1),Raw!BK12))))</f>
        <v>13.3</v>
      </c>
      <c r="AG12" s="241">
        <f>Raw!BL12</f>
        <v>13.3</v>
      </c>
      <c r="AH12" s="254">
        <f>Raw!BI12</f>
        <v>0.5359585417</v>
      </c>
      <c r="AI12" s="255" t="str">
        <f>Raw!BJ12</f>
        <v>roasted</v>
      </c>
      <c r="AJ12" s="255" t="str">
        <f>Raw!BM12</f>
        <v/>
      </c>
      <c r="AK12" s="255" t="str">
        <f>Raw!BO12</f>
        <v>1 to 5</v>
      </c>
      <c r="AL12" s="256">
        <f>Raw!BV12</f>
        <v>11.25384615</v>
      </c>
      <c r="AM12" s="244" t="str">
        <f>if(ISNUMBER(Raw!BW12),concatenate(floor(Raw!BW12/60,1),":",MOD(Raw!BW12,60)),Raw!BW12)</f>
        <v>1:20</v>
      </c>
      <c r="AN12" s="256">
        <f>Raw!BX12</f>
        <v>47.27272727</v>
      </c>
      <c r="AO12" s="256">
        <f>Raw!BZ12</f>
        <v>19.14285714</v>
      </c>
      <c r="AP12" s="256">
        <f>Raw!CA12</f>
        <v>10.52857143</v>
      </c>
      <c r="AQ12" s="255" t="str">
        <f>Raw!CB12</f>
        <v>oak - hickory</v>
      </c>
      <c r="AR12" s="255" t="str">
        <f>Raw!CC12</f>
        <v>Royal Oak</v>
      </c>
      <c r="AS12" s="244" t="str">
        <f>concatenate(floor(Raw!CE12/60,1),":",text(MOD(Raw!CE12,60),"00"),ifs(Raw!CF12="Y"," (E)", Raw!CF12="Y+"," +", isblank(Raw!CF12),""))</f>
        <v>6:42</v>
      </c>
      <c r="AT12" s="255" t="str">
        <f>Raw!CR12</f>
        <v>top</v>
      </c>
      <c r="AU12" s="256">
        <f>Raw!CS12</f>
        <v>2.3</v>
      </c>
      <c r="AV12" s="255" t="str">
        <f>Raw!CT12</f>
        <v>small</v>
      </c>
      <c r="AW12" s="246">
        <f>if(Raw!CW12&gt;0,Raw!CW12,"None")</f>
        <v>0.1729323308</v>
      </c>
      <c r="AX12" s="246">
        <f>if(Raw!CX12&gt;0,Raw!CX12,"None")</f>
        <v>0.3226599025</v>
      </c>
      <c r="AY12" s="255" t="str">
        <f>Raw!CY12</f>
        <v>limited</v>
      </c>
      <c r="AZ12" s="255" t="str">
        <f>Raw!CZ12</f>
        <v/>
      </c>
      <c r="BA12" s="255" t="str">
        <f>Raw!DA12</f>
        <v>Viking Age demonstration</v>
      </c>
      <c r="BB12" s="255" t="str">
        <f>Raw!DB12</f>
        <v>CANIRON 4  - historic demonstration</v>
      </c>
      <c r="BC12" s="257" t="str">
        <f>Raw!DC12</f>
        <v>switch to blower at 6:40 (no volume)</v>
      </c>
      <c r="BD12" s="248"/>
    </row>
    <row r="13">
      <c r="A13" s="249">
        <f>Raw!A13</f>
        <v>12</v>
      </c>
      <c r="B13" s="250" t="str">
        <f>Raw!B13</f>
        <v>Early Iron 2</v>
      </c>
      <c r="C13" s="250" t="str">
        <f>Raw!C13</f>
        <v>recover from Hendrix</v>
      </c>
      <c r="D13" s="250" t="str">
        <f>Raw!D13</f>
        <v>Cooperstown NY</v>
      </c>
      <c r="E13" s="251">
        <f>Raw!E13</f>
        <v>38626</v>
      </c>
      <c r="F13" s="250" t="str">
        <f>Raw!F13</f>
        <v>modern</v>
      </c>
      <c r="G13" s="250" t="str">
        <f>Raw!G13</f>
        <v>N</v>
      </c>
      <c r="H13" s="250" t="str">
        <f>Raw!H13</f>
        <v>Teaching</v>
      </c>
      <c r="I13" s="250" t="str">
        <f>Raw!I13</f>
        <v>Flue Tyle</v>
      </c>
      <c r="J13" s="250" t="str">
        <f>Raw!J13</f>
        <v>reinforced tile</v>
      </c>
      <c r="K13" s="250" t="str">
        <f>if(isblank(Raw!K13),"",if(Raw!K13&gt;1,concatenate("Use ",Raw!K13," of Expt ",Raw!L13),"Use 1"))</f>
        <v/>
      </c>
      <c r="L13" s="250" t="str">
        <f>Raw!M13</f>
        <v>Rectangle</v>
      </c>
      <c r="M13" s="250" t="str">
        <f>Raw!N13</f>
        <v>box</v>
      </c>
      <c r="N13" s="250">
        <f>Raw!O13</f>
        <v>60</v>
      </c>
      <c r="O13" s="250">
        <f>Raw!S13</f>
        <v>40</v>
      </c>
      <c r="P13" s="252" t="str">
        <f>Raw!T13</f>
        <v>30 x 30</v>
      </c>
      <c r="Q13" s="239" t="str">
        <f>if(L13="Rectangle",concatenate(Raw!U13," x ",Raw!V13),if(L13="Oval",concatenate(Raw!U13," by ",Raw!V13),if(isnumber(Raw!V13),concatenate(Raw!U13," to ",Raw!V13),Raw!U13)))</f>
        <v>25 x 25</v>
      </c>
      <c r="R13" s="239" t="str">
        <f>if(AND(Raw!Z13="Y",isnumber(Raw!X13)),concatenate(Raw!X13," (E)"),Raw!X13)</f>
        <v/>
      </c>
      <c r="S13" s="241">
        <f>Calcs!B13</f>
        <v>625</v>
      </c>
      <c r="T13" s="252">
        <f>Raw!AB13</f>
        <v>2.5</v>
      </c>
      <c r="U13" s="252" t="str">
        <f>Raw!AC13</f>
        <v>10 x 15 E</v>
      </c>
      <c r="V13" s="252" t="str">
        <f>Raw!AD13</f>
        <v>forged copper</v>
      </c>
      <c r="W13" s="212" t="str">
        <f>concatenate(Raw!AE13,if(Raw!AF13="Y"," (T)",))</f>
        <v>2.5 (T)</v>
      </c>
      <c r="X13" s="212" t="str">
        <f>concatenate(Raw!AG13,if(isblank(Raw!AH13),"",concatenate(" ",Raw!AH13)),if(isblank(Raw!AI13),""," (E)"))</f>
        <v>20 Down</v>
      </c>
      <c r="Y13" s="212" t="str">
        <f>concatenate(Raw!AJ13,if(isblank(Raw!AK13),""," (E)"))</f>
        <v>5</v>
      </c>
      <c r="Z13" s="252" t="str">
        <f>Raw!AL13</f>
        <v>charcoal fines</v>
      </c>
      <c r="AA13" s="212" t="str">
        <f>concatenate(Raw!AO13,if(Raw!AP13="Y"," (E)",))</f>
        <v>NR</v>
      </c>
      <c r="AB13" s="252" t="str">
        <f>Raw!AQ13</f>
        <v>electric blower</v>
      </c>
      <c r="AC13" s="212" t="str">
        <f>concatenate(ifs(istext(Raw!AT13),Raw!AT13,AND(Raw!AT13&gt;0,isblank(Raw!AS13)),concatenate(Raw!AT13," (A)"),AND(Raw!AR13&gt;0,Raw!AS13&gt;0),concatenate(Raw!AR13," to ",Raw!AS13),1,Raw!AS13),ifs(Raw!AU13="Y-","- (E)",Raw!AU13="Y"," (E)",1,))</f>
        <v>1000 (E)</v>
      </c>
      <c r="AD13" s="253">
        <f>Raw!AW13</f>
        <v>750</v>
      </c>
      <c r="AE13" s="239" t="str">
        <f>concatenate(Raw!AX13,if(isblank(Raw!AZ13),"",concatenate("/",Raw!AZ13)),if(isblank(Raw!BB13),"",concatenate("/",Raw!BB13)),if(isblank(Raw!BD13),"",concatenate("/",Raw!BD13)),if(isblank(Raw!BF13),"",concatenate("/",Raw!BF13)),if(Raw!BK13&gt;0,if(isblank(Raw!AX13),"Gromps","/Gromps"),))</f>
        <v>Guy's Run Goethite</v>
      </c>
      <c r="AF13" s="239" t="str">
        <f>concatenate(round(Raw!AY13,1),if(isblank(Raw!AZ13),"",concatenate("/",round(Raw!BA13,1))),if(isblank(Raw!BB13),"",concatenate("/",round(Raw!BC13,1))),if(isblank(Raw!BD13),"",concatenate("/",round(Raw!BE13,1))),if(isblank(Raw!BF13),"",concatenate("/",round(Raw!BG13,1))),if(isblank(Raw!BK13),,concatenate("/",if(isnumber(Raw!BK13),round(Raw!BK13,1),Raw!BK13))))</f>
        <v>15.9</v>
      </c>
      <c r="AG13" s="241">
        <f>Raw!BL13</f>
        <v>15.9</v>
      </c>
      <c r="AH13" s="254">
        <f>Raw!BI13</f>
        <v>0.58</v>
      </c>
      <c r="AI13" s="255" t="str">
        <f>Raw!BJ13</f>
        <v>roasted</v>
      </c>
      <c r="AJ13" s="255" t="str">
        <f>Raw!BM13</f>
        <v/>
      </c>
      <c r="AK13" s="255" t="str">
        <f>Raw!BO13</f>
        <v>1 to 5</v>
      </c>
      <c r="AL13" s="256" t="str">
        <f>Raw!BV13</f>
        <v>NR</v>
      </c>
      <c r="AM13" s="245" t="str">
        <f>if(ISNUMBER(Raw!BW13),concatenate(floor(Raw!BW13/60,1),":",MOD(Raw!BW13,60)),Raw!BW13)</f>
        <v>NR</v>
      </c>
      <c r="AN13" s="256">
        <f>Raw!BX13</f>
        <v>67.72727273</v>
      </c>
      <c r="AO13" s="256">
        <f>Raw!BZ13</f>
        <v>13.21568627</v>
      </c>
      <c r="AP13" s="256">
        <f>Raw!CA13</f>
        <v>6.801834862</v>
      </c>
      <c r="AQ13" s="255" t="str">
        <f>Raw!CB13</f>
        <v>oak rail ties</v>
      </c>
      <c r="AR13" s="255" t="str">
        <f>Raw!CC13</f>
        <v>Cowboy</v>
      </c>
      <c r="AS13" s="244" t="str">
        <f>concatenate(floor(Raw!CE13/60,1),":",text(MOD(Raw!CE13,60),"00"),ifs(Raw!CF13="Y"," (E)", Raw!CF13="Y+"," +", isblank(Raw!CF13),""))</f>
        <v>5:37</v>
      </c>
      <c r="AT13" s="255" t="str">
        <f>Raw!CR13</f>
        <v>bottom</v>
      </c>
      <c r="AU13" s="256">
        <f>Raw!CS13</f>
        <v>3.4</v>
      </c>
      <c r="AV13" s="255" t="str">
        <f>Raw!CT13</f>
        <v>workable</v>
      </c>
      <c r="AW13" s="246">
        <f>if(Raw!CW13&gt;0,Raw!CW13,"None")</f>
        <v>0.213836478</v>
      </c>
      <c r="AX13" s="246">
        <f>if(Raw!CX13&gt;0,Raw!CX13,"None")</f>
        <v>0.3686835827</v>
      </c>
      <c r="AY13" s="255" t="str">
        <f>Raw!CY13</f>
        <v>good</v>
      </c>
      <c r="AZ13" s="255" t="str">
        <f>Raw!CZ13</f>
        <v/>
      </c>
      <c r="BA13" s="255" t="str">
        <f>Raw!DA13</f>
        <v>teaching</v>
      </c>
      <c r="BB13" s="255" t="str">
        <f>Raw!DB13</f>
        <v>teaching</v>
      </c>
      <c r="BC13" s="257" t="str">
        <f>Raw!DC13</f>
        <v>second 'Rescue' bloom only</v>
      </c>
      <c r="BD13" s="248"/>
    </row>
    <row r="14">
      <c r="A14" s="249" t="str">
        <f>Raw!A14</f>
        <v>13 / D7</v>
      </c>
      <c r="B14" s="250" t="str">
        <f>Raw!B14</f>
        <v>Short Shaft</v>
      </c>
      <c r="C14" s="250" t="str">
        <f>Raw!C14</f>
        <v>DARC</v>
      </c>
      <c r="D14" s="250" t="str">
        <f>Raw!D14</f>
        <v>Wareham ON</v>
      </c>
      <c r="E14" s="251">
        <f>Raw!E14</f>
        <v>38668</v>
      </c>
      <c r="F14" s="250" t="str">
        <f>Raw!F14</f>
        <v>Viking Age</v>
      </c>
      <c r="G14" s="250" t="str">
        <f>Raw!G14</f>
        <v>N</v>
      </c>
      <c r="H14" s="250" t="str">
        <f>Raw!H14</f>
        <v/>
      </c>
      <c r="I14" s="250" t="str">
        <f>Raw!I14</f>
        <v>boxed short shaft</v>
      </c>
      <c r="J14" s="250" t="str">
        <f>Raw!J14</f>
        <v>straw cobb in stone slabs</v>
      </c>
      <c r="K14" s="250" t="str">
        <f>if(isblank(Raw!K14),"",if(Raw!K14&gt;1,concatenate("Use ",Raw!K14," of Expt ",Raw!L14),"Use 1"))</f>
        <v/>
      </c>
      <c r="L14" s="250" t="str">
        <f>Raw!M14</f>
        <v>Circle</v>
      </c>
      <c r="M14" s="250" t="str">
        <f>Raw!N14</f>
        <v>cylinder</v>
      </c>
      <c r="N14" s="250">
        <f>Raw!O14</f>
        <v>60</v>
      </c>
      <c r="O14" s="250">
        <f>Raw!S14</f>
        <v>42</v>
      </c>
      <c r="P14" s="252">
        <f>Raw!T14</f>
        <v>40</v>
      </c>
      <c r="Q14" s="239">
        <f>if(L14="Rectangle",concatenate(Raw!U14," x ",Raw!V14),if(L14="Oval",concatenate(Raw!U14," by ",Raw!V14),if(isnumber(Raw!V14),concatenate(Raw!U14," to ",Raw!V14),Raw!U14)))</f>
        <v>25</v>
      </c>
      <c r="R14" s="239" t="str">
        <f>if(AND(Raw!Z14="Y",isnumber(Raw!X14)),concatenate(Raw!X14," (E)"),Raw!X14)</f>
        <v/>
      </c>
      <c r="S14" s="241">
        <f>Calcs!B14</f>
        <v>490.9</v>
      </c>
      <c r="T14" s="252">
        <f>Raw!AB14</f>
        <v>7.5</v>
      </c>
      <c r="U14" s="252" t="str">
        <f>Raw!AC14</f>
        <v>10 x 15</v>
      </c>
      <c r="V14" s="252" t="str">
        <f>Raw!AD14</f>
        <v>ceramic tube</v>
      </c>
      <c r="W14" s="212" t="str">
        <f>concatenate(Raw!AE14,if(Raw!AF14="Y"," (T)",))</f>
        <v>2.5</v>
      </c>
      <c r="X14" s="212" t="str">
        <f>concatenate(Raw!AG14,if(isblank(Raw!AH14),"",concatenate(" ",Raw!AH14)),if(isblank(Raw!AI14),""," (E)"))</f>
        <v>20 Down</v>
      </c>
      <c r="Y14" s="212" t="str">
        <f>concatenate(Raw!AJ14,if(isblank(Raw!AK14),""," (E)"))</f>
        <v>5</v>
      </c>
      <c r="Z14" s="252" t="str">
        <f>Raw!AL14</f>
        <v>charcoal fines</v>
      </c>
      <c r="AA14" s="212" t="str">
        <f>concatenate(Raw!AO14,if(Raw!AP14="Y"," (E)",))</f>
        <v>16</v>
      </c>
      <c r="AB14" s="252" t="str">
        <f>Raw!AQ14</f>
        <v>vacuum blower</v>
      </c>
      <c r="AC14" s="212" t="str">
        <f>concatenate(ifs(istext(Raw!AT14),Raw!AT14,AND(Raw!AT14&gt;0,isblank(Raw!AS14)),concatenate(Raw!AT14," (A)"),AND(Raw!AR14&gt;0,Raw!AS14&gt;0),concatenate(Raw!AR14," to ",Raw!AS14),1,Raw!AS14),ifs(Raw!AU14="Y-","- (E)",Raw!AU14="Y"," (E)",1,))</f>
        <v>600 (E)</v>
      </c>
      <c r="AD14" s="253">
        <f>Raw!AW14</f>
        <v>589.08</v>
      </c>
      <c r="AE14" s="239" t="str">
        <f>concatenate(Raw!AX14,if(isblank(Raw!AZ14),"",concatenate("/",Raw!AZ14)),if(isblank(Raw!BB14),"",concatenate("/",Raw!BB14)),if(isblank(Raw!BD14),"",concatenate("/",Raw!BD14)),if(isblank(Raw!BF14),"",concatenate("/",Raw!BF14)),if(Raw!BK14&gt;0,if(isblank(Raw!AX14),"Gromps","/Gromps"),))</f>
        <v>Stelco Taconite/Guy's Run Goethite/Gromps</v>
      </c>
      <c r="AF14" s="239" t="str">
        <f>concatenate(round(Raw!AY14,1),if(isblank(Raw!AZ14),"",concatenate("/",round(Raw!BA14,1))),if(isblank(Raw!BB14),"",concatenate("/",round(Raw!BC14,1))),if(isblank(Raw!BD14),"",concatenate("/",round(Raw!BE14,1))),if(isblank(Raw!BF14),"",concatenate("/",round(Raw!BG14,1))),if(isblank(Raw!BK14),,concatenate("/",if(isnumber(Raw!BK14),round(Raw!BK14,1),Raw!BK14))))</f>
        <v>10.5/9.3/1.1</v>
      </c>
      <c r="AG14" s="241">
        <f>Raw!BL14</f>
        <v>20.9</v>
      </c>
      <c r="AH14" s="254" t="str">
        <f>Raw!BI14</f>
        <v>?</v>
      </c>
      <c r="AI14" s="255" t="str">
        <f>Raw!BJ14</f>
        <v>roasted</v>
      </c>
      <c r="AJ14" s="255" t="str">
        <f>Raw!BM14</f>
        <v/>
      </c>
      <c r="AK14" s="255" t="str">
        <f>Raw!BO14</f>
        <v>1 to 5</v>
      </c>
      <c r="AL14" s="256">
        <f>Raw!BV14</f>
        <v>4.211428571</v>
      </c>
      <c r="AM14" s="245" t="str">
        <f>if(ISNUMBER(Raw!BW14),concatenate(floor(Raw!BW14/60,1),":",MOD(Raw!BW14,60)),Raw!BW14)</f>
        <v>NR</v>
      </c>
      <c r="AN14" s="256">
        <f>Raw!BX14</f>
        <v>79.54545455</v>
      </c>
      <c r="AO14" s="256">
        <f>Raw!BZ14</f>
        <v>7.689655172</v>
      </c>
      <c r="AP14" s="256">
        <f>Raw!CA14</f>
        <v>3.383448276</v>
      </c>
      <c r="AQ14" s="255" t="str">
        <f>Raw!CB14</f>
        <v>oak - hickory</v>
      </c>
      <c r="AR14" s="255" t="str">
        <f>Raw!CC14</f>
        <v>Royal Oak</v>
      </c>
      <c r="AS14" s="244" t="str">
        <f>concatenate(floor(Raw!CE14/60,1),":",text(MOD(Raw!CE14,60),"00"),ifs(Raw!CF14="Y"," (E)", Raw!CF14="Y+"," +", isblank(Raw!CF14),""))</f>
        <v>3:43</v>
      </c>
      <c r="AT14" s="255" t="str">
        <f>Raw!CR14</f>
        <v>top</v>
      </c>
      <c r="AU14" s="256">
        <f>Raw!CS14</f>
        <v>4.3</v>
      </c>
      <c r="AV14" s="255" t="str">
        <f>Raw!CT14</f>
        <v>workable</v>
      </c>
      <c r="AW14" s="246">
        <f>if(Raw!CW14&gt;0,Raw!CW14,"None")</f>
        <v>0.2057416268</v>
      </c>
      <c r="AX14" s="246" t="str">
        <f>if(Raw!CX14&gt;0,Raw!CX14,"None")</f>
        <v>?</v>
      </c>
      <c r="AY14" s="255" t="str">
        <f>Raw!CY14</f>
        <v>considerable silca</v>
      </c>
      <c r="AZ14" s="255" t="str">
        <f>Raw!CZ14</f>
        <v/>
      </c>
      <c r="BA14" s="255" t="str">
        <f>Raw!DA14</f>
        <v>established design</v>
      </c>
      <c r="BB14" s="255" t="str">
        <f>Raw!DB14</f>
        <v>establish repeatable methods</v>
      </c>
      <c r="BC14" s="257" t="str">
        <f>Raw!DC14</f>
        <v>general control and understanding</v>
      </c>
      <c r="BD14" s="248"/>
    </row>
    <row r="15">
      <c r="A15" s="249">
        <f>Raw!A15</f>
        <v>14</v>
      </c>
      <c r="B15" s="250" t="str">
        <f>Raw!B15</f>
        <v>Black Rock demo</v>
      </c>
      <c r="C15" s="250" t="str">
        <f>Raw!C15</f>
        <v>Michigan blacksmiths</v>
      </c>
      <c r="D15" s="250" t="str">
        <f>Raw!D15</f>
        <v>Traverse City MN</v>
      </c>
      <c r="E15" s="251">
        <f>Raw!E15</f>
        <v>38766</v>
      </c>
      <c r="F15" s="250" t="str">
        <f>Raw!F15</f>
        <v>modern</v>
      </c>
      <c r="G15" s="250" t="str">
        <f>Raw!G15</f>
        <v>Y</v>
      </c>
      <c r="H15" s="250" t="str">
        <f>Raw!H15</f>
        <v/>
      </c>
      <c r="I15" s="250" t="str">
        <f>Raw!I15</f>
        <v>Econo Norse</v>
      </c>
      <c r="J15" s="250" t="str">
        <f>Raw!J15</f>
        <v>fire brick in sheet</v>
      </c>
      <c r="K15" s="250" t="str">
        <f>if(isblank(Raw!K15),"",if(Raw!K15&gt;1,concatenate("Use ",Raw!K15," of Expt ",Raw!L15),"Use 1"))</f>
        <v/>
      </c>
      <c r="L15" s="250" t="str">
        <f>Raw!M15</f>
        <v>Octagon</v>
      </c>
      <c r="M15" s="250" t="str">
        <f>Raw!N15</f>
        <v>cylinder</v>
      </c>
      <c r="N15" s="250">
        <f>Raw!O15</f>
        <v>60</v>
      </c>
      <c r="O15" s="250">
        <f>Raw!S15</f>
        <v>40</v>
      </c>
      <c r="P15" s="252">
        <f>Raw!T15</f>
        <v>50</v>
      </c>
      <c r="Q15" s="239">
        <f>if(L15="Rectangle",concatenate(Raw!U15," x ",Raw!V15),if(L15="Oval",concatenate(Raw!U15," by ",Raw!V15),if(isnumber(Raw!V15),concatenate(Raw!U15," to ",Raw!V15),Raw!U15)))</f>
        <v>25</v>
      </c>
      <c r="R15" s="239" t="str">
        <f>if(AND(Raw!Z15="Y",isnumber(Raw!X15)),concatenate(Raw!X15," (E)"),Raw!X15)</f>
        <v/>
      </c>
      <c r="S15" s="241">
        <f>Calcs!B15</f>
        <v>517.8</v>
      </c>
      <c r="T15" s="252" t="str">
        <f>Raw!AB15</f>
        <v>7.5 +</v>
      </c>
      <c r="U15" s="252" t="str">
        <f>Raw!AC15</f>
        <v>15 x 10</v>
      </c>
      <c r="V15" s="252" t="str">
        <f>Raw!AD15</f>
        <v>ceramic tube</v>
      </c>
      <c r="W15" s="212" t="str">
        <f>concatenate(Raw!AE15,if(Raw!AF15="Y"," (T)",))</f>
        <v>2.5</v>
      </c>
      <c r="X15" s="212" t="str">
        <f>concatenate(Raw!AG15,if(isblank(Raw!AH15),"",concatenate(" ",Raw!AH15)),if(isblank(Raw!AI15),""," (E)"))</f>
        <v>20 Down</v>
      </c>
      <c r="Y15" s="212" t="str">
        <f>concatenate(Raw!AJ15,if(isblank(Raw!AK15),""," (E)"))</f>
        <v>5</v>
      </c>
      <c r="Z15" s="252" t="str">
        <f>Raw!AL15</f>
        <v>charcoal fines</v>
      </c>
      <c r="AA15" s="212" t="str">
        <f>concatenate(Raw!AO15,if(Raw!AP15="Y"," (E)",))</f>
        <v>20</v>
      </c>
      <c r="AB15" s="252" t="str">
        <f>Raw!AQ15</f>
        <v>vacuum blower</v>
      </c>
      <c r="AC15" s="212" t="str">
        <f>concatenate(ifs(istext(Raw!AT15),Raw!AT15,AND(Raw!AT15&gt;0,isblank(Raw!AS15)),concatenate(Raw!AT15," (A)"),AND(Raw!AR15&gt;0,Raw!AS15&gt;0),concatenate(Raw!AR15," to ",Raw!AS15),1,Raw!AS15),ifs(Raw!AU15="Y-","- (E)",Raw!AU15="Y"," (E)",1,))</f>
        <v>800 (E)</v>
      </c>
      <c r="AD15" s="253">
        <f>Raw!AW15</f>
        <v>621.36</v>
      </c>
      <c r="AE15" s="239" t="str">
        <f>concatenate(Raw!AX15,if(isblank(Raw!AZ15),"",concatenate("/",Raw!AZ15)),if(isblank(Raw!BB15),"",concatenate("/",Raw!BB15)),if(isblank(Raw!BD15),"",concatenate("/",Raw!BD15)),if(isblank(Raw!BF15),"",concatenate("/",Raw!BF15)),if(Raw!BK15&gt;0,if(isblank(Raw!AX15),"Gromps","/Gromps"),))</f>
        <v>Michigan Taconite/Gromps</v>
      </c>
      <c r="AF15" s="239" t="str">
        <f>concatenate(round(Raw!AY15,1),if(isblank(Raw!AZ15),"",concatenate("/",round(Raw!BA15,1))),if(isblank(Raw!BB15),"",concatenate("/",round(Raw!BC15,1))),if(isblank(Raw!BD15),"",concatenate("/",round(Raw!BE15,1))),if(isblank(Raw!BF15),"",concatenate("/",round(Raw!BG15,1))),if(isblank(Raw!BK15),,concatenate("/",if(isnumber(Raw!BK15),round(Raw!BK15,1),Raw!BK15))))</f>
        <v>30/1.4</v>
      </c>
      <c r="AG15" s="241">
        <f>Raw!BL15</f>
        <v>31.4</v>
      </c>
      <c r="AH15" s="254">
        <f>Raw!BI15</f>
        <v>0.65</v>
      </c>
      <c r="AI15" s="255" t="str">
        <f>Raw!BJ15</f>
        <v>roasted</v>
      </c>
      <c r="AJ15" s="255" t="str">
        <f>Raw!BM15</f>
        <v/>
      </c>
      <c r="AK15" s="255" t="str">
        <f>Raw!BO15</f>
        <v>1 to 5</v>
      </c>
      <c r="AL15" s="256">
        <f>Raw!BV15</f>
        <v>4.074766355</v>
      </c>
      <c r="AM15" s="244" t="str">
        <f>if(ISNUMBER(Raw!BW15),concatenate(floor(Raw!BW15/60,1),":",MOD(Raw!BW15,60)),Raw!BW15)</f>
        <v>0:50</v>
      </c>
      <c r="AN15" s="255">
        <f>Raw!BX15</f>
        <v>107</v>
      </c>
      <c r="AO15" s="256">
        <f>Raw!BZ15</f>
        <v>8.891891892</v>
      </c>
      <c r="AP15" s="256">
        <f>Raw!CA15</f>
        <v>3.912432432</v>
      </c>
      <c r="AQ15" s="255" t="str">
        <f>Raw!CB15</f>
        <v>oak - hickory</v>
      </c>
      <c r="AR15" s="255" t="str">
        <f>Raw!CC15</f>
        <v>NR</v>
      </c>
      <c r="AS15" s="244" t="str">
        <f>concatenate(floor(Raw!CE15/60,1),":",text(MOD(Raw!CE15,60),"00"),ifs(Raw!CF15="Y"," (E)", Raw!CF15="Y+"," +", isblank(Raw!CF15),""))</f>
        <v>5:29</v>
      </c>
      <c r="AT15" s="255" t="str">
        <f>Raw!CR15</f>
        <v>dismantled</v>
      </c>
      <c r="AU15" s="256">
        <f>Raw!CS15</f>
        <v>13.5</v>
      </c>
      <c r="AV15" s="255" t="str">
        <f>Raw!CT15</f>
        <v>workable</v>
      </c>
      <c r="AW15" s="246">
        <f>if(Raw!CW15&gt;0,Raw!CW15,"None")</f>
        <v>0.4299363057</v>
      </c>
      <c r="AX15" s="246">
        <f>if(Raw!CX15&gt;0,Raw!CX15,"None")</f>
        <v>0.6923076923</v>
      </c>
      <c r="AY15" s="255" t="str">
        <f>Raw!CY15</f>
        <v>good</v>
      </c>
      <c r="AZ15" s="255" t="str">
        <f>Raw!CZ15</f>
        <v/>
      </c>
      <c r="BA15" s="255" t="str">
        <f>Raw!DA15</f>
        <v>demonstration</v>
      </c>
      <c r="BB15" s="255" t="str">
        <f>Raw!DB15</f>
        <v>teaching</v>
      </c>
      <c r="BC15" s="257" t="str">
        <f>Raw!DC15</f>
        <v>environment temperature of limited effect </v>
      </c>
      <c r="BD15" s="248"/>
    </row>
    <row r="16">
      <c r="A16" s="249">
        <f>Raw!A16</f>
        <v>15</v>
      </c>
      <c r="B16" s="250" t="str">
        <f>Raw!B16</f>
        <v>Smeltfest 06</v>
      </c>
      <c r="C16" s="250" t="str">
        <f>Raw!C16</f>
        <v>Sargent</v>
      </c>
      <c r="D16" s="250" t="str">
        <f>Raw!D16</f>
        <v>Lexington VA</v>
      </c>
      <c r="E16" s="251">
        <f>Raw!E16</f>
        <v>38784</v>
      </c>
      <c r="F16" s="250" t="str">
        <f>Raw!F16</f>
        <v>Viking Age</v>
      </c>
      <c r="G16" s="250" t="str">
        <f>Raw!G16</f>
        <v>N</v>
      </c>
      <c r="H16" s="250" t="str">
        <f>Raw!H16</f>
        <v/>
      </c>
      <c r="I16" s="250" t="str">
        <f>Raw!I16</f>
        <v>medium shaft on block</v>
      </c>
      <c r="J16" s="250" t="str">
        <f>Raw!J16</f>
        <v>straw cobb</v>
      </c>
      <c r="K16" s="250" t="str">
        <f>if(isblank(Raw!K16),"",if(Raw!K16&gt;1,concatenate("Use ",Raw!K16," of Expt ",Raw!L16),"Use 1"))</f>
        <v>Use 1</v>
      </c>
      <c r="L16" s="250" t="str">
        <f>Raw!M16</f>
        <v>Circle</v>
      </c>
      <c r="M16" s="250" t="str">
        <f>Raw!N16</f>
        <v>conical</v>
      </c>
      <c r="N16" s="250">
        <f>Raw!O16</f>
        <v>85</v>
      </c>
      <c r="O16" s="250">
        <f>Raw!S16</f>
        <v>60</v>
      </c>
      <c r="P16" s="252" t="str">
        <f>Raw!T16</f>
        <v>46 to 40</v>
      </c>
      <c r="Q16" s="239" t="str">
        <f>if(L16="Rectangle",concatenate(Raw!U16," x ",Raw!V16),if(L16="Oval",concatenate(Raw!U16," by ",Raw!V16),if(isnumber(Raw!V16),concatenate(Raw!U16," to ",Raw!V16),Raw!U16)))</f>
        <v>40 to 30</v>
      </c>
      <c r="R16" s="239" t="str">
        <f>if(AND(Raw!Z16="Y",isnumber(Raw!X16)),concatenate(Raw!X16," (E)"),Raw!X16)</f>
        <v>35 (E)</v>
      </c>
      <c r="S16" s="241" t="str">
        <f>Calcs!B16</f>
        <v>962.1 (E)</v>
      </c>
      <c r="T16" s="252" t="str">
        <f>Raw!AB16</f>
        <v>9 to 5</v>
      </c>
      <c r="U16" s="252" t="str">
        <f>Raw!AC16</f>
        <v>12 x 18</v>
      </c>
      <c r="V16" s="252" t="str">
        <f>Raw!AD16</f>
        <v>ceramic tube</v>
      </c>
      <c r="W16" s="212" t="str">
        <f>concatenate(Raw!AE16,if(Raw!AF16="Y"," (T)",))</f>
        <v>2.5</v>
      </c>
      <c r="X16" s="212" t="str">
        <f>concatenate(Raw!AG16,if(isblank(Raw!AH16),"",concatenate(" ",Raw!AH16)),if(isblank(Raw!AI16),""," (E)"))</f>
        <v>22 Down</v>
      </c>
      <c r="Y16" s="212" t="str">
        <f>concatenate(Raw!AJ16,if(isblank(Raw!AK16),""," (E)"))</f>
        <v>6</v>
      </c>
      <c r="Z16" s="252" t="str">
        <f>Raw!AL16</f>
        <v>charcoal fines</v>
      </c>
      <c r="AA16" s="212" t="str">
        <f>concatenate(Raw!AO16,if(Raw!AP16="Y"," (E)",))</f>
        <v>19</v>
      </c>
      <c r="AB16" s="252" t="str">
        <f>Raw!AQ16</f>
        <v>vacuum blower</v>
      </c>
      <c r="AC16" s="212" t="str">
        <f>concatenate(ifs(istext(Raw!AT16),Raw!AT16,AND(Raw!AT16&gt;0,isblank(Raw!AS16)),concatenate(Raw!AT16," (A)"),AND(Raw!AR16&gt;0,Raw!AS16&gt;0),concatenate(Raw!AR16," to ",Raw!AS16),1,Raw!AS16),ifs(Raw!AU16="Y-","- (E)",Raw!AU16="Y"," (E)",1,))</f>
        <v>970</v>
      </c>
      <c r="AD16" s="253">
        <f>Raw!AW16</f>
        <v>1154.52</v>
      </c>
      <c r="AE16" s="239" t="str">
        <f>concatenate(Raw!AX16,if(isblank(Raw!AZ16),"",concatenate("/",Raw!AZ16)),if(isblank(Raw!BB16),"",concatenate("/",Raw!BB16)),if(isblank(Raw!BD16),"",concatenate("/",Raw!BD16)),if(isblank(Raw!BF16),"",concatenate("/",Raw!BF16)),if(Raw!BK16&gt;0,if(isblank(Raw!AX16),"Gromps","/Gromps"),))</f>
        <v>Opta Hematite</v>
      </c>
      <c r="AF16" s="239" t="str">
        <f>concatenate(round(Raw!AY16,1),if(isblank(Raw!AZ16),"",concatenate("/",round(Raw!BA16,1))),if(isblank(Raw!BB16),"",concatenate("/",round(Raw!BC16,1))),if(isblank(Raw!BD16),"",concatenate("/",round(Raw!BE16,1))),if(isblank(Raw!BF16),"",concatenate("/",round(Raw!BG16,1))),if(isblank(Raw!BK16),,concatenate("/",if(isnumber(Raw!BK16),round(Raw!BK16,1),Raw!BK16))))</f>
        <v>45.5</v>
      </c>
      <c r="AG16" s="241">
        <f>Raw!BL16</f>
        <v>45.5</v>
      </c>
      <c r="AH16" s="254">
        <f>Raw!BI16</f>
        <v>0.6867011216</v>
      </c>
      <c r="AI16" s="255" t="str">
        <f>Raw!BJ16</f>
        <v>raw</v>
      </c>
      <c r="AJ16" s="255" t="str">
        <f>Raw!BM16</f>
        <v/>
      </c>
      <c r="AK16" s="255">
        <f>Raw!BO16</f>
        <v>1</v>
      </c>
      <c r="AL16" s="256">
        <f>Raw!BV16</f>
        <v>3.255813953</v>
      </c>
      <c r="AM16" s="244" t="str">
        <f>if(ISNUMBER(Raw!BW16),concatenate(floor(Raw!BW16/60,1),":",MOD(Raw!BW16,60)),Raw!BW16)</f>
        <v>0:45</v>
      </c>
      <c r="AN16" s="255">
        <f>Raw!BX16</f>
        <v>86</v>
      </c>
      <c r="AO16" s="256">
        <f>Raw!BZ16</f>
        <v>6.655172414</v>
      </c>
      <c r="AP16" s="256">
        <f>Raw!CA16</f>
        <v>2.928275862</v>
      </c>
      <c r="AQ16" s="255" t="str">
        <f>Raw!CB16</f>
        <v>mixed hardwood</v>
      </c>
      <c r="AR16" s="255" t="str">
        <f>Raw!CC16</f>
        <v>home made</v>
      </c>
      <c r="AS16" s="244" t="str">
        <f>concatenate(floor(Raw!CE16/60,1),":",text(MOD(Raw!CE16,60),"00"),ifs(Raw!CF16="Y"," (E)", Raw!CF16="Y+"," +", isblank(Raw!CF16),""))</f>
        <v>3:13</v>
      </c>
      <c r="AT16" s="255" t="str">
        <f>Raw!CR16</f>
        <v>bottom</v>
      </c>
      <c r="AU16" s="256">
        <f>Raw!CS16</f>
        <v>21.8</v>
      </c>
      <c r="AV16" s="255" t="str">
        <f>Raw!CT16</f>
        <v>lacy</v>
      </c>
      <c r="AW16" s="246">
        <f>if(Raw!CW16&gt;0,Raw!CW16,"None")</f>
        <v>0.4791208791</v>
      </c>
      <c r="AX16" s="246">
        <f>if(Raw!CX16&gt;0,Raw!CX16,"None")</f>
        <v>0.6977138439</v>
      </c>
      <c r="AY16" s="255" t="str">
        <f>Raw!CY16</f>
        <v>good</v>
      </c>
      <c r="AZ16" s="255" t="str">
        <f>Raw!CZ16</f>
        <v/>
      </c>
      <c r="BA16" s="255" t="str">
        <f>Raw!DA16</f>
        <v>development</v>
      </c>
      <c r="BB16" s="255" t="str">
        <f>Raw!DB16</f>
        <v>use of hematite, modifications to furnace</v>
      </c>
      <c r="BC16" s="257" t="str">
        <f>Raw!DC16</f>
        <v>flask shaped with use of hematite</v>
      </c>
      <c r="BD16" s="248"/>
    </row>
    <row r="17">
      <c r="A17" s="249">
        <f>Raw!A17</f>
        <v>16</v>
      </c>
      <c r="B17" s="250" t="str">
        <f>Raw!B17</f>
        <v>Smeltfest 06</v>
      </c>
      <c r="C17" s="250" t="str">
        <f>Raw!C17</f>
        <v>Sargent</v>
      </c>
      <c r="D17" s="250" t="str">
        <f>Raw!D17</f>
        <v>Lexington VA</v>
      </c>
      <c r="E17" s="251">
        <f>Raw!E17</f>
        <v>38786</v>
      </c>
      <c r="F17" s="250" t="str">
        <f>Raw!F17</f>
        <v>Viking Age</v>
      </c>
      <c r="G17" s="250" t="str">
        <f>Raw!G17</f>
        <v>N</v>
      </c>
      <c r="H17" s="250" t="str">
        <f>Raw!H17</f>
        <v/>
      </c>
      <c r="I17" s="250" t="str">
        <f>Raw!I17</f>
        <v>short shaft on block</v>
      </c>
      <c r="J17" s="250" t="str">
        <f>Raw!J17</f>
        <v>straw cobb</v>
      </c>
      <c r="K17" s="250" t="str">
        <f>if(isblank(Raw!K17),"",if(Raw!K17&gt;1,concatenate("Use ",Raw!K17," of Expt ",Raw!L17),"Use 1"))</f>
        <v>Use 2 of Expt 15</v>
      </c>
      <c r="L17" s="250" t="str">
        <f>Raw!M17</f>
        <v>Circle</v>
      </c>
      <c r="M17" s="250" t="str">
        <f>Raw!N17</f>
        <v>conical</v>
      </c>
      <c r="N17" s="250">
        <f>Raw!O17</f>
        <v>60</v>
      </c>
      <c r="O17" s="250">
        <f>Raw!S17</f>
        <v>40</v>
      </c>
      <c r="P17" s="252" t="str">
        <f>Raw!T17</f>
        <v>46 to 40</v>
      </c>
      <c r="Q17" s="239" t="str">
        <f>if(L17="Rectangle",concatenate(Raw!U17," x ",Raw!V17),if(L17="Oval",concatenate(Raw!U17," by ",Raw!V17),if(isnumber(Raw!V17),concatenate(Raw!U17," to ",Raw!V17),Raw!U17)))</f>
        <v>40 to 28</v>
      </c>
      <c r="R17" s="239" t="str">
        <f>if(AND(Raw!Z17="Y",isnumber(Raw!X17)),concatenate(Raw!X17," (E)"),Raw!X17)</f>
        <v>35 (E)</v>
      </c>
      <c r="S17" s="241" t="str">
        <f>Calcs!B17</f>
        <v>962.1 (E)</v>
      </c>
      <c r="T17" s="252" t="str">
        <f>Raw!AB17</f>
        <v>9 to 6</v>
      </c>
      <c r="U17" s="252" t="str">
        <f>Raw!AC17</f>
        <v>12 x 18</v>
      </c>
      <c r="V17" s="252" t="str">
        <f>Raw!AD17</f>
        <v>ceramic tube</v>
      </c>
      <c r="W17" s="212" t="str">
        <f>concatenate(Raw!AE17,if(Raw!AF17="Y"," (T)",))</f>
        <v>2.5</v>
      </c>
      <c r="X17" s="212" t="str">
        <f>concatenate(Raw!AG17,if(isblank(Raw!AH17),"",concatenate(" ",Raw!AH17)),if(isblank(Raw!AI17),""," (E)"))</f>
        <v>22 Down</v>
      </c>
      <c r="Y17" s="212" t="str">
        <f>concatenate(Raw!AJ17,if(isblank(Raw!AK17),""," (E)"))</f>
        <v>6</v>
      </c>
      <c r="Z17" s="252" t="str">
        <f>Raw!AL17</f>
        <v>charcoal fines</v>
      </c>
      <c r="AA17" s="212" t="str">
        <f>concatenate(Raw!AO17,if(Raw!AP17="Y"," (E)",))</f>
        <v>14</v>
      </c>
      <c r="AB17" s="252" t="str">
        <f>Raw!AQ17</f>
        <v>vacuum blower</v>
      </c>
      <c r="AC17" s="212" t="str">
        <f>concatenate(ifs(istext(Raw!AT17),Raw!AT17,AND(Raw!AT17&gt;0,isblank(Raw!AS17)),concatenate(Raw!AT17," (A)"),AND(Raw!AR17&gt;0,Raw!AS17&gt;0),concatenate(Raw!AR17," to ",Raw!AS17),1,Raw!AS17),ifs(Raw!AU17="Y-","- (E)",Raw!AU17="Y"," (E)",1,))</f>
        <v>970</v>
      </c>
      <c r="AD17" s="253">
        <f>Raw!AW17</f>
        <v>1154.52</v>
      </c>
      <c r="AE17" s="239" t="str">
        <f>concatenate(Raw!AX17,if(isblank(Raw!AZ17),"",concatenate("/",Raw!AZ17)),if(isblank(Raw!BB17),"",concatenate("/",Raw!BB17)),if(isblank(Raw!BD17),"",concatenate("/",Raw!BD17)),if(isblank(Raw!BF17),"",concatenate("/",Raw!BF17)),if(Raw!BK17&gt;0,if(isblank(Raw!AX17),"Gromps","/Gromps"),))</f>
        <v>Opta Hematite</v>
      </c>
      <c r="AF17" s="239" t="str">
        <f>concatenate(round(Raw!AY17,1),if(isblank(Raw!AZ17),"",concatenate("/",round(Raw!BA17,1))),if(isblank(Raw!BB17),"",concatenate("/",round(Raw!BC17,1))),if(isblank(Raw!BD17),"",concatenate("/",round(Raw!BE17,1))),if(isblank(Raw!BF17),"",concatenate("/",round(Raw!BG17,1))),if(isblank(Raw!BK17),,concatenate("/",if(isnumber(Raw!BK17),round(Raw!BK17,1),Raw!BK17))))</f>
        <v>45.5</v>
      </c>
      <c r="AG17" s="241">
        <f>Raw!BL17</f>
        <v>45.5</v>
      </c>
      <c r="AH17" s="254">
        <f>Raw!BI17</f>
        <v>0.6867011216</v>
      </c>
      <c r="AI17" s="255" t="str">
        <f>Raw!BJ17</f>
        <v>raw</v>
      </c>
      <c r="AJ17" s="255" t="str">
        <f>Raw!BM17</f>
        <v/>
      </c>
      <c r="AK17" s="255">
        <f>Raw!BO17</f>
        <v>1</v>
      </c>
      <c r="AL17" s="256">
        <f>Raw!BV17</f>
        <v>3.529411765</v>
      </c>
      <c r="AM17" s="244" t="str">
        <f>if(ISNUMBER(Raw!BW17),concatenate(floor(Raw!BW17/60,1),":",MOD(Raw!BW17,60)),Raw!BW17)</f>
        <v>0:45</v>
      </c>
      <c r="AN17" s="255">
        <f>Raw!BX17</f>
        <v>68</v>
      </c>
      <c r="AO17" s="256">
        <f>Raw!BZ17</f>
        <v>7.24137931</v>
      </c>
      <c r="AP17" s="256">
        <f>Raw!CA17</f>
        <v>3.186206897</v>
      </c>
      <c r="AQ17" s="255" t="str">
        <f>Raw!CB17</f>
        <v>mixed hardwood</v>
      </c>
      <c r="AR17" s="255" t="str">
        <f>Raw!CC17</f>
        <v>home made</v>
      </c>
      <c r="AS17" s="244" t="str">
        <f>concatenate(floor(Raw!CE17/60,1),":",text(MOD(Raw!CE17,60),"00"),ifs(Raw!CF17="Y"," (E)", Raw!CF17="Y+"," +", isblank(Raw!CF17),""))</f>
        <v>3:30</v>
      </c>
      <c r="AT17" s="255" t="str">
        <f>Raw!CR17</f>
        <v>bottom</v>
      </c>
      <c r="AU17" s="256">
        <f>Raw!CS17</f>
        <v>20</v>
      </c>
      <c r="AV17" s="255" t="str">
        <f>Raw!CT17</f>
        <v>lacy</v>
      </c>
      <c r="AW17" s="246">
        <f>if(Raw!CW17&gt;0,Raw!CW17,"None")</f>
        <v>0.4395604396</v>
      </c>
      <c r="AX17" s="246">
        <f>if(Raw!CX17&gt;0,Raw!CX17,"None")</f>
        <v>0.6401044439</v>
      </c>
      <c r="AY17" s="255" t="str">
        <f>Raw!CY17</f>
        <v>a bit dry</v>
      </c>
      <c r="AZ17" s="255" t="str">
        <f>Raw!CZ17</f>
        <v/>
      </c>
      <c r="BA17" s="255" t="str">
        <f>Raw!DA17</f>
        <v>development</v>
      </c>
      <c r="BB17" s="255" t="str">
        <f>Raw!DB17</f>
        <v>repeat above</v>
      </c>
      <c r="BC17" s="257" t="str">
        <f>Raw!DC17</f>
        <v>re-use of smelter # 15</v>
      </c>
      <c r="BD17" s="248"/>
    </row>
    <row r="18">
      <c r="A18" s="249" t="str">
        <f>Raw!A18</f>
        <v>17 / D8</v>
      </c>
      <c r="B18" s="250" t="str">
        <f>Raw!B18</f>
        <v>Spring Smelt</v>
      </c>
      <c r="C18" s="250" t="str">
        <f>Raw!C18</f>
        <v>DARC</v>
      </c>
      <c r="D18" s="250" t="str">
        <f>Raw!D18</f>
        <v>Wareham ON</v>
      </c>
      <c r="E18" s="251">
        <f>Raw!E18</f>
        <v>38878</v>
      </c>
      <c r="F18" s="250" t="str">
        <f>Raw!F18</f>
        <v>Viking Age</v>
      </c>
      <c r="G18" s="250" t="str">
        <f>Raw!G18</f>
        <v>N</v>
      </c>
      <c r="H18" s="250" t="str">
        <f>Raw!H18</f>
        <v/>
      </c>
      <c r="I18" s="250" t="str">
        <f>Raw!I18</f>
        <v>half banked short shaft</v>
      </c>
      <c r="J18" s="250" t="str">
        <f>Raw!J18</f>
        <v>straw cobb</v>
      </c>
      <c r="K18" s="250" t="str">
        <f>if(isblank(Raw!K18),"",if(Raw!K18&gt;1,concatenate("Use ",Raw!K18," of Expt ",Raw!L18),"Use 1"))</f>
        <v/>
      </c>
      <c r="L18" s="250" t="str">
        <f>Raw!M18</f>
        <v>Circle</v>
      </c>
      <c r="M18" s="250" t="str">
        <f>Raw!N18</f>
        <v>cylinder</v>
      </c>
      <c r="N18" s="250">
        <f>Raw!O18</f>
        <v>65</v>
      </c>
      <c r="O18" s="250">
        <f>Raw!S18</f>
        <v>45</v>
      </c>
      <c r="P18" s="252">
        <f>Raw!T18</f>
        <v>38</v>
      </c>
      <c r="Q18" s="239">
        <f>if(L18="Rectangle",concatenate(Raw!U18," x ",Raw!V18),if(L18="Oval",concatenate(Raw!U18," by ",Raw!V18),if(isnumber(Raw!V18),concatenate(Raw!U18," to ",Raw!V18),Raw!U18)))</f>
        <v>23</v>
      </c>
      <c r="R18" s="239" t="str">
        <f>if(AND(Raw!Z18="Y",isnumber(Raw!X18)),concatenate(Raw!X18," (E)"),Raw!X18)</f>
        <v/>
      </c>
      <c r="S18" s="241">
        <f>Calcs!B18</f>
        <v>415.5</v>
      </c>
      <c r="T18" s="252">
        <f>Raw!AB18</f>
        <v>7.5</v>
      </c>
      <c r="U18" s="252" t="str">
        <f>Raw!AC18</f>
        <v>13 x 20</v>
      </c>
      <c r="V18" s="252" t="str">
        <f>Raw!AD18</f>
        <v>ceramic tube</v>
      </c>
      <c r="W18" s="212" t="str">
        <f>concatenate(Raw!AE18,if(Raw!AF18="Y"," (T)",))</f>
        <v>2.5</v>
      </c>
      <c r="X18" s="212" t="str">
        <f>concatenate(Raw!AG18,if(isblank(Raw!AH18),"",concatenate(" ",Raw!AH18)),if(isblank(Raw!AI18),""," (E)"))</f>
        <v>20 Down</v>
      </c>
      <c r="Y18" s="212" t="str">
        <f>concatenate(Raw!AJ18,if(isblank(Raw!AK18),""," (E)"))</f>
        <v>5</v>
      </c>
      <c r="Z18" s="252" t="str">
        <f>Raw!AL18</f>
        <v>charcoal fines</v>
      </c>
      <c r="AA18" s="212" t="str">
        <f>concatenate(Raw!AO18,if(Raw!AP18="Y"," (E)",))</f>
        <v>7</v>
      </c>
      <c r="AB18" s="252" t="str">
        <f>Raw!AQ18</f>
        <v>vacuum blower</v>
      </c>
      <c r="AC18" s="212" t="str">
        <f>concatenate(ifs(istext(Raw!AT18),Raw!AT18,AND(Raw!AT18&gt;0,isblank(Raw!AS18)),concatenate(Raw!AT18," (A)"),AND(Raw!AR18&gt;0,Raw!AS18&gt;0),concatenate(Raw!AR18," to ",Raw!AS18),1,Raw!AS18),ifs(Raw!AU18="Y-","- (E)",Raw!AU18="Y"," (E)",1,))</f>
        <v>1060</v>
      </c>
      <c r="AD18" s="253">
        <f>Raw!AW18</f>
        <v>498.6</v>
      </c>
      <c r="AE18" s="239" t="str">
        <f>concatenate(Raw!AX18,if(isblank(Raw!AZ18),"",concatenate("/",Raw!AZ18)),if(isblank(Raw!BB18),"",concatenate("/",Raw!BB18)),if(isblank(Raw!BD18),"",concatenate("/",Raw!BD18)),if(isblank(Raw!BF18),"",concatenate("/",Raw!BF18)),if(Raw!BK18&gt;0,if(isblank(Raw!AX18),"Gromps","/Gromps"),))</f>
        <v>Bratton's Run Goethite/Gromps</v>
      </c>
      <c r="AF18" s="239" t="str">
        <f>concatenate(round(Raw!AY18,1),if(isblank(Raw!AZ18),"",concatenate("/",round(Raw!BA18,1))),if(isblank(Raw!BB18),"",concatenate("/",round(Raw!BC18,1))),if(isblank(Raw!BD18),"",concatenate("/",round(Raw!BE18,1))),if(isblank(Raw!BF18),"",concatenate("/",round(Raw!BG18,1))),if(isblank(Raw!BK18),,concatenate("/",if(isnumber(Raw!BK18),round(Raw!BK18,1),Raw!BK18))))</f>
        <v>18/1.7</v>
      </c>
      <c r="AG18" s="241">
        <f>Raw!BL18</f>
        <v>19.7</v>
      </c>
      <c r="AH18" s="254">
        <f>Raw!BI18</f>
        <v>0.454</v>
      </c>
      <c r="AI18" s="255" t="str">
        <f>Raw!BJ18</f>
        <v>roasted</v>
      </c>
      <c r="AJ18" s="255" t="str">
        <f>Raw!BM18</f>
        <v/>
      </c>
      <c r="AK18" s="255" t="str">
        <f>Raw!BO18</f>
        <v>1 to 5</v>
      </c>
      <c r="AL18" s="256">
        <f>Raw!BV18</f>
        <v>5.522916667</v>
      </c>
      <c r="AM18" s="244" t="str">
        <f>if(ISNUMBER(Raw!BW18),concatenate(floor(Raw!BW18/60,1),":",MOD(Raw!BW18,60)),Raw!BW18)</f>
        <v>1:30</v>
      </c>
      <c r="AN18" s="256">
        <f>Raw!BX18</f>
        <v>87.27272727</v>
      </c>
      <c r="AO18" s="256">
        <f>Raw!BZ18</f>
        <v>9.071428571</v>
      </c>
      <c r="AP18" s="256">
        <f>Raw!CA18</f>
        <v>4.989285714</v>
      </c>
      <c r="AQ18" s="255" t="str">
        <f>Raw!CB18</f>
        <v>oak - hickory</v>
      </c>
      <c r="AR18" s="255" t="str">
        <f>Raw!CC18</f>
        <v>Royal Oak</v>
      </c>
      <c r="AS18" s="244" t="str">
        <f>concatenate(floor(Raw!CE18/60,1),":",text(MOD(Raw!CE18,60),"00"),ifs(Raw!CF18="Y"," (E)", Raw!CF18="Y+"," +", isblank(Raw!CF18),""))</f>
        <v>6:21</v>
      </c>
      <c r="AT18" s="255" t="str">
        <f>Raw!CR18</f>
        <v>top</v>
      </c>
      <c r="AU18" s="256">
        <f>Raw!CS18</f>
        <v>2.8</v>
      </c>
      <c r="AV18" s="255" t="str">
        <f>Raw!CT18</f>
        <v>none</v>
      </c>
      <c r="AW18" s="246">
        <f>if(Raw!CW18&gt;0,Raw!CW18,"None")</f>
        <v>0.1421319797</v>
      </c>
      <c r="AX18" s="246">
        <f>if(Raw!CX18&gt;0,Raw!CX18,"None")</f>
        <v>0.3426333823</v>
      </c>
      <c r="AY18" s="255" t="str">
        <f>Raw!CY18</f>
        <v>good</v>
      </c>
      <c r="AZ18" s="255" t="str">
        <f>Raw!CZ18</f>
        <v/>
      </c>
      <c r="BA18" s="255" t="str">
        <f>Raw!DA18</f>
        <v>development</v>
      </c>
      <c r="BB18" s="255" t="str">
        <f>Raw!DB18</f>
        <v>use of half banked furnace construction</v>
      </c>
      <c r="BC18" s="257" t="str">
        <f>Raw!DC18</f>
        <v>all coverted to cast iron or high iron slag</v>
      </c>
      <c r="BD18" s="248"/>
    </row>
    <row r="19">
      <c r="A19" s="249" t="str">
        <f>Raw!A19</f>
        <v>18 / D9</v>
      </c>
      <c r="B19" s="250" t="str">
        <f>Raw!B19</f>
        <v>SCA Bonfield demo</v>
      </c>
      <c r="C19" s="250" t="str">
        <f>Raw!C19</f>
        <v>DARC</v>
      </c>
      <c r="D19" s="250" t="str">
        <f>Raw!D19</f>
        <v>Bonfield ON</v>
      </c>
      <c r="E19" s="251">
        <f>Raw!E19</f>
        <v>38962</v>
      </c>
      <c r="F19" s="250" t="str">
        <f>Raw!F19</f>
        <v>Viking Age</v>
      </c>
      <c r="G19" s="250" t="str">
        <f>Raw!G19</f>
        <v>N</v>
      </c>
      <c r="H19" s="250" t="str">
        <f>Raw!H19</f>
        <v>Air</v>
      </c>
      <c r="I19" s="250" t="str">
        <f>Raw!I19</f>
        <v>boxed short shaft</v>
      </c>
      <c r="J19" s="250" t="str">
        <f>Raw!J19</f>
        <v>straw cobb in stone slabs</v>
      </c>
      <c r="K19" s="250" t="str">
        <f>if(isblank(Raw!K19),"",if(Raw!K19&gt;1,concatenate("Use ",Raw!K19," of Expt ",Raw!L19),"Use 1"))</f>
        <v/>
      </c>
      <c r="L19" s="250" t="str">
        <f>Raw!M19</f>
        <v>Circle</v>
      </c>
      <c r="M19" s="250" t="str">
        <f>Raw!N19</f>
        <v>conical</v>
      </c>
      <c r="N19" s="250">
        <f>Raw!O19</f>
        <v>60</v>
      </c>
      <c r="O19" s="250">
        <f>Raw!S19</f>
        <v>35</v>
      </c>
      <c r="P19" s="252" t="str">
        <f>Raw!T19</f>
        <v>40 E</v>
      </c>
      <c r="Q19" s="239" t="str">
        <f>if(L19="Rectangle",concatenate(Raw!U19," x ",Raw!V19),if(L19="Oval",concatenate(Raw!U19," by ",Raw!V19),if(isnumber(Raw!V19),concatenate(Raw!U19," to ",Raw!V19),Raw!U19)))</f>
        <v>25 to 22</v>
      </c>
      <c r="R19" s="239" t="str">
        <f>if(AND(Raw!Z19="Y",isnumber(Raw!X19)),concatenate(Raw!X19," (E)"),Raw!X19)</f>
        <v>21.5 (E)</v>
      </c>
      <c r="S19" s="241" t="str">
        <f>Calcs!B19</f>
        <v>363.1 (E)</v>
      </c>
      <c r="T19" s="252" t="str">
        <f>Raw!AB19</f>
        <v>7.5 E</v>
      </c>
      <c r="U19" s="252" t="str">
        <f>Raw!AC19</f>
        <v>10 X 15 E</v>
      </c>
      <c r="V19" s="252" t="str">
        <f>Raw!AD19</f>
        <v>ceramic tube</v>
      </c>
      <c r="W19" s="212" t="str">
        <f>concatenate(Raw!AE19,if(Raw!AF19="Y"," (T)",))</f>
        <v>2.5</v>
      </c>
      <c r="X19" s="212" t="str">
        <f>concatenate(Raw!AG19,if(isblank(Raw!AH19),"",concatenate(" ",Raw!AH19)),if(isblank(Raw!AI19),""," (E)"))</f>
        <v>20 Down (E)</v>
      </c>
      <c r="Y19" s="212" t="str">
        <f>concatenate(Raw!AJ19,if(isblank(Raw!AK19),""," (E)"))</f>
        <v>5 (E)</v>
      </c>
      <c r="Z19" s="252" t="str">
        <f>Raw!AL19</f>
        <v>charcoal fines</v>
      </c>
      <c r="AA19" s="212" t="str">
        <f>concatenate(Raw!AO19,if(Raw!AP19="Y"," (E)",))</f>
        <v>15</v>
      </c>
      <c r="AB19" s="252" t="str">
        <f>Raw!AQ19</f>
        <v>Ubber Bellows</v>
      </c>
      <c r="AC19" s="212" t="str">
        <f>concatenate(ifs(istext(Raw!AT19),Raw!AT19,AND(Raw!AT19&gt;0,isblank(Raw!AS19)),concatenate(Raw!AT19," (A)"),AND(Raw!AR19&gt;0,Raw!AS19&gt;0),concatenate(Raw!AR19," to ",Raw!AS19),1,Raw!AS19),ifs(Raw!AU19="Y-","- (E)",Raw!AU19="Y"," (E)",1,))</f>
        <v>600 (E)</v>
      </c>
      <c r="AD19" s="253">
        <f>Raw!AW19</f>
        <v>435.72</v>
      </c>
      <c r="AE19" s="239" t="str">
        <f>concatenate(Raw!AX19,if(isblank(Raw!AZ19),"",concatenate("/",Raw!AZ19)),if(isblank(Raw!BB19),"",concatenate("/",Raw!BB19)),if(isblank(Raw!BD19),"",concatenate("/",Raw!BD19)),if(isblank(Raw!BF19),"",concatenate("/",Raw!BF19)),if(Raw!BK19&gt;0,if(isblank(Raw!AX19),"Gromps","/Gromps"),))</f>
        <v>Guy's Run Goethite</v>
      </c>
      <c r="AF19" s="239" t="str">
        <f>concatenate(round(Raw!AY19,1),if(isblank(Raw!AZ19),"",concatenate("/",round(Raw!BA19,1))),if(isblank(Raw!BB19),"",concatenate("/",round(Raw!BC19,1))),if(isblank(Raw!BD19),"",concatenate("/",round(Raw!BE19,1))),if(isblank(Raw!BF19),"",concatenate("/",round(Raw!BG19,1))),if(isblank(Raw!BK19),,concatenate("/",if(isnumber(Raw!BK19),round(Raw!BK19,1),Raw!BK19))))</f>
        <v>10.5</v>
      </c>
      <c r="AG19" s="241">
        <f>Raw!BL19</f>
        <v>10.5</v>
      </c>
      <c r="AH19" s="254">
        <f>Raw!BI19</f>
        <v>0.58</v>
      </c>
      <c r="AI19" s="255" t="str">
        <f>Raw!BJ19</f>
        <v>roasted</v>
      </c>
      <c r="AJ19" s="255" t="str">
        <f>Raw!BM19</f>
        <v/>
      </c>
      <c r="AK19" s="255" t="str">
        <f>Raw!BO19</f>
        <v>1 to 5</v>
      </c>
      <c r="AL19" s="256" t="str">
        <f>Raw!BV19</f>
        <v>NR</v>
      </c>
      <c r="AM19" s="244" t="str">
        <f>if(ISNUMBER(Raw!BW19),concatenate(floor(Raw!BW19/60,1),":",MOD(Raw!BW19,60)),Raw!BW19)</f>
        <v>2:8</v>
      </c>
      <c r="AN19" s="255">
        <f>Raw!BX19</f>
        <v>57</v>
      </c>
      <c r="AO19" s="256">
        <f>Raw!BZ19</f>
        <v>21.58823529</v>
      </c>
      <c r="AP19" s="256">
        <f>Raw!CA19</f>
        <v>9.498823529</v>
      </c>
      <c r="AQ19" s="255" t="str">
        <f>Raw!CB19</f>
        <v>oak - hickory</v>
      </c>
      <c r="AR19" s="255" t="str">
        <f>Raw!CC19</f>
        <v>Royal Oak</v>
      </c>
      <c r="AS19" s="244" t="str">
        <f>concatenate(floor(Raw!CE19/60,1),":",text(MOD(Raw!CE19,60),"00"),ifs(Raw!CF19="Y"," (E)", Raw!CF19="Y+"," +", isblank(Raw!CF19),""))</f>
        <v>6:07</v>
      </c>
      <c r="AT19" s="255" t="str">
        <f>Raw!CR19</f>
        <v>top</v>
      </c>
      <c r="AU19" s="256">
        <f>Raw!CS19</f>
        <v>1.5</v>
      </c>
      <c r="AV19" s="255" t="str">
        <f>Raw!CU19</f>
        <v/>
      </c>
      <c r="AW19" s="246">
        <f>if(Raw!CW19&gt;0,Raw!CW19,"None")</f>
        <v>0.1428571429</v>
      </c>
      <c r="AX19" s="246">
        <f>if(Raw!CX19&gt;0,Raw!CX19,"None")</f>
        <v>0.2463054187</v>
      </c>
      <c r="AY19" s="255" t="str">
        <f>Raw!CY19</f>
        <v>small masses only</v>
      </c>
      <c r="AZ19" s="255" t="str">
        <f>Raw!CZ19</f>
        <v/>
      </c>
      <c r="BA19" s="255" t="str">
        <f>Raw!DA19</f>
        <v>L'Anse aux Meadows</v>
      </c>
      <c r="BB19" s="255" t="str">
        <f>Raw!DB19</f>
        <v>layout based on LAM - use of Ubber Bellows</v>
      </c>
      <c r="BC19" s="257" t="str">
        <f>Raw!DC19</f>
        <v>problems with bellows design and labour</v>
      </c>
      <c r="BD19" s="248"/>
    </row>
    <row r="20">
      <c r="A20" s="249">
        <f>Raw!A20</f>
        <v>19</v>
      </c>
      <c r="B20" s="250" t="str">
        <f>Raw!B20</f>
        <v>Loki' / Minden</v>
      </c>
      <c r="C20" s="250" t="str">
        <f>Raw!C20</f>
        <v>Early Iron 3</v>
      </c>
      <c r="D20" s="250" t="str">
        <f>Raw!D20</f>
        <v>Peters Valley NJ</v>
      </c>
      <c r="E20" s="251">
        <f>Raw!E20</f>
        <v>38997</v>
      </c>
      <c r="F20" s="250" t="str">
        <f>Raw!F20</f>
        <v>Viking Age</v>
      </c>
      <c r="G20" s="250" t="str">
        <f>Raw!G20</f>
        <v>N</v>
      </c>
      <c r="H20" s="250" t="str">
        <f>Raw!H20</f>
        <v/>
      </c>
      <c r="I20" s="250" t="str">
        <f>Raw!I20</f>
        <v>short shaft</v>
      </c>
      <c r="J20" s="250" t="str">
        <f>Raw!J20</f>
        <v>straw cobb</v>
      </c>
      <c r="K20" s="250" t="str">
        <f>if(isblank(Raw!K20),"",if(Raw!K20&gt;1,concatenate("Use ",Raw!K20," of Expt ",Raw!L20),"Use 1"))</f>
        <v>Use 1</v>
      </c>
      <c r="L20" s="250" t="str">
        <f>Raw!M20</f>
        <v>Circle</v>
      </c>
      <c r="M20" s="250" t="str">
        <f>Raw!N20</f>
        <v>cylinder</v>
      </c>
      <c r="N20" s="250">
        <f>Raw!O20</f>
        <v>66</v>
      </c>
      <c r="O20" s="250">
        <f>Raw!S20</f>
        <v>50</v>
      </c>
      <c r="P20" s="252">
        <f>Raw!T20</f>
        <v>30</v>
      </c>
      <c r="Q20" s="239">
        <f>if(L20="Rectangle",concatenate(Raw!U20," x ",Raw!V20),if(L20="Oval",concatenate(Raw!U20," by ",Raw!V20),if(isnumber(Raw!V20),concatenate(Raw!U20," to ",Raw!V20),Raw!U20)))</f>
        <v>20</v>
      </c>
      <c r="R20" s="239" t="str">
        <f>if(AND(Raw!Z20="Y",isnumber(Raw!X20)),concatenate(Raw!X20," (E)"),Raw!X20)</f>
        <v/>
      </c>
      <c r="S20" s="241">
        <f>Calcs!B20</f>
        <v>314.2</v>
      </c>
      <c r="T20" s="252">
        <f>Raw!AB20</f>
        <v>5</v>
      </c>
      <c r="U20" s="252" t="str">
        <f>Raw!AC20</f>
        <v>11 x 20</v>
      </c>
      <c r="V20" s="252" t="str">
        <f>Raw!AD20</f>
        <v>ceramic tube</v>
      </c>
      <c r="W20" s="212" t="str">
        <f>concatenate(Raw!AE20,if(Raw!AF20="Y"," (T)",))</f>
        <v>2.5</v>
      </c>
      <c r="X20" s="212" t="str">
        <f>concatenate(Raw!AG20,if(isblank(Raw!AH20),"",concatenate(" ",Raw!AH20)),if(isblank(Raw!AI20),""," (E)"))</f>
        <v>20 Down</v>
      </c>
      <c r="Y20" s="212" t="str">
        <f>concatenate(Raw!AJ20,if(isblank(Raw!AK20),""," (E)"))</f>
        <v>5</v>
      </c>
      <c r="Z20" s="252" t="str">
        <f>Raw!AL20</f>
        <v>charcoal fines</v>
      </c>
      <c r="AA20" s="212" t="str">
        <f>concatenate(Raw!AO20,if(Raw!AP20="Y"," (E)",))</f>
        <v>13</v>
      </c>
      <c r="AB20" s="252" t="str">
        <f>Raw!AQ20</f>
        <v>vacuum blower</v>
      </c>
      <c r="AC20" s="212" t="str">
        <f>concatenate(ifs(istext(Raw!AT20),Raw!AT20,AND(Raw!AT20&gt;0,isblank(Raw!AS20)),concatenate(Raw!AT20," (A)"),AND(Raw!AR20&gt;0,Raw!AS20&gt;0),concatenate(Raw!AR20," to ",Raw!AS20),1,Raw!AS20),ifs(Raw!AU20="Y-","- (E)",Raw!AU20="Y"," (E)",1,))</f>
        <v>700</v>
      </c>
      <c r="AD20" s="253">
        <f>Raw!AW20</f>
        <v>377.04</v>
      </c>
      <c r="AE20" s="239" t="str">
        <f>concatenate(Raw!AX20,if(isblank(Raw!AZ20),"",concatenate("/",Raw!AZ20)),if(isblank(Raw!BB20),"",concatenate("/",Raw!BB20)),if(isblank(Raw!BD20),"",concatenate("/",Raw!BD20)),if(isblank(Raw!BF20),"",concatenate("/",Raw!BF20)),if(Raw!BK20&gt;0,if(isblank(Raw!AX20),"Gromps","/Gromps"),))</f>
        <v>Minden Red Ochre</v>
      </c>
      <c r="AF20" s="239" t="str">
        <f>concatenate(round(Raw!AY20,1),if(isblank(Raw!AZ20),"",concatenate("/",round(Raw!BA20,1))),if(isblank(Raw!BB20),"",concatenate("/",round(Raw!BC20,1))),if(isblank(Raw!BD20),"",concatenate("/",round(Raw!BE20,1))),if(isblank(Raw!BF20),"",concatenate("/",round(Raw!BG20,1))),if(isblank(Raw!BK20),,concatenate("/",if(isnumber(Raw!BK20),round(Raw!BK20,1),Raw!BK20))))</f>
        <v>8.8</v>
      </c>
      <c r="AG20" s="241">
        <f>Raw!BL20</f>
        <v>8.8</v>
      </c>
      <c r="AH20" s="254">
        <f>Raw!BI20</f>
        <v>0.4257435045</v>
      </c>
      <c r="AI20" s="255" t="str">
        <f>Raw!BJ20</f>
        <v/>
      </c>
      <c r="AJ20" s="255" t="str">
        <f>Raw!BM20</f>
        <v/>
      </c>
      <c r="AK20" s="255" t="str">
        <f>Raw!BO20</f>
        <v>small to dust</v>
      </c>
      <c r="AL20" s="256" t="str">
        <f>Raw!BV20</f>
        <v>NR</v>
      </c>
      <c r="AM20" s="244" t="str">
        <f>if(ISNUMBER(Raw!BW20),concatenate(floor(Raw!BW20/60,1),":",MOD(Raw!BW20,60)),Raw!BW20)</f>
        <v>0:35</v>
      </c>
      <c r="AN20" s="255">
        <f>Raw!BX20</f>
        <v>40.9</v>
      </c>
      <c r="AO20" s="256">
        <f>Raw!BZ20</f>
        <v>16</v>
      </c>
      <c r="AP20" s="256">
        <f>Raw!CA20</f>
        <v>7.04</v>
      </c>
      <c r="AQ20" s="255" t="str">
        <f>Raw!CB20</f>
        <v>tropical</v>
      </c>
      <c r="AR20" s="255" t="str">
        <f>Raw!CC20</f>
        <v>NR</v>
      </c>
      <c r="AS20" s="244" t="str">
        <f>concatenate(floor(Raw!CE20/60,1),":",text(MOD(Raw!CE20,60),"00"),ifs(Raw!CF20="Y"," (E)", Raw!CF20="Y+"," +", isblank(Raw!CF20),""))</f>
        <v>2:56</v>
      </c>
      <c r="AT20" s="255" t="str">
        <f>Raw!CR20</f>
        <v>dismantled</v>
      </c>
      <c r="AU20" s="256">
        <f>Raw!CS20</f>
        <v>0.7</v>
      </c>
      <c r="AV20" s="255" t="str">
        <f>Raw!CT20</f>
        <v>nodules</v>
      </c>
      <c r="AW20" s="246">
        <f>if(Raw!CW20&gt;0,Raw!CW20,"None")</f>
        <v>0.07954545455</v>
      </c>
      <c r="AX20" s="246">
        <f>if(Raw!CX20&gt;0,Raw!CX20,"None")</f>
        <v>0.1868389152</v>
      </c>
      <c r="AY20" s="255" t="str">
        <f>Raw!CY20</f>
        <v>good</v>
      </c>
      <c r="AZ20" s="255" t="str">
        <f>Raw!CZ20</f>
        <v/>
      </c>
      <c r="BA20" s="255" t="str">
        <f>Raw!DA20</f>
        <v>established design</v>
      </c>
      <c r="BB20" s="255" t="str">
        <f>Raw!DB20</f>
        <v>test of ore body</v>
      </c>
      <c r="BC20" s="257" t="str">
        <f>Raw!DC20</f>
        <v>assumed low iron content demonstrated</v>
      </c>
      <c r="BD20" s="248"/>
    </row>
    <row r="21">
      <c r="A21" s="249">
        <f>Raw!A21</f>
        <v>20</v>
      </c>
      <c r="B21" s="250" t="str">
        <f>Raw!B21</f>
        <v>Early Iron 3</v>
      </c>
      <c r="C21" s="250" t="str">
        <f>Raw!C21</f>
        <v>Sargent</v>
      </c>
      <c r="D21" s="250" t="str">
        <f>Raw!D21</f>
        <v>Peters Valley NJ</v>
      </c>
      <c r="E21" s="251">
        <f>Raw!E21</f>
        <v>38999</v>
      </c>
      <c r="F21" s="250" t="str">
        <f>Raw!F21</f>
        <v>modern</v>
      </c>
      <c r="G21" s="250" t="str">
        <f>Raw!G21</f>
        <v>N</v>
      </c>
      <c r="H21" s="250" t="str">
        <f>Raw!H21</f>
        <v/>
      </c>
      <c r="I21" s="250" t="str">
        <f>Raw!I21</f>
        <v>Flue Tyle</v>
      </c>
      <c r="J21" s="250" t="str">
        <f>Raw!J21</f>
        <v>reinforced tile</v>
      </c>
      <c r="K21" s="250" t="str">
        <f>if(isblank(Raw!K21),"",if(Raw!K21&gt;1,concatenate("Use ",Raw!K21," of Expt ",Raw!L21),"Use 1"))</f>
        <v/>
      </c>
      <c r="L21" s="250" t="str">
        <f>Raw!M21</f>
        <v>Rectangle</v>
      </c>
      <c r="M21" s="250" t="str">
        <f>Raw!N21</f>
        <v>box</v>
      </c>
      <c r="N21" s="250">
        <f>Raw!O21</f>
        <v>60</v>
      </c>
      <c r="O21" s="250">
        <f>Raw!S21</f>
        <v>40</v>
      </c>
      <c r="P21" s="252" t="str">
        <f>Raw!T21</f>
        <v>30 x 30</v>
      </c>
      <c r="Q21" s="239" t="str">
        <f>if(L21="Rectangle",concatenate(Raw!U21," x ",Raw!V21),if(L21="Oval",concatenate(Raw!U21," by ",Raw!V21),if(isnumber(Raw!V21),concatenate(Raw!U21," to ",Raw!V21),Raw!U21)))</f>
        <v>25 x 25</v>
      </c>
      <c r="R21" s="239" t="str">
        <f>if(AND(Raw!Z21="Y",isnumber(Raw!X21)),concatenate(Raw!X21," (E)"),Raw!X21)</f>
        <v/>
      </c>
      <c r="S21" s="241">
        <f>Calcs!B21</f>
        <v>625</v>
      </c>
      <c r="T21" s="252">
        <f>Raw!AB21</f>
        <v>2.5</v>
      </c>
      <c r="U21" s="252" t="str">
        <f>Raw!AC21</f>
        <v>10 x 15 E</v>
      </c>
      <c r="V21" s="252" t="str">
        <f>Raw!AD21</f>
        <v>forged copper</v>
      </c>
      <c r="W21" s="212" t="str">
        <f>concatenate(Raw!AE21,if(Raw!AF21="Y"," (T)",))</f>
        <v>2.5 (T)</v>
      </c>
      <c r="X21" s="212" t="str">
        <f>concatenate(Raw!AG21,if(isblank(Raw!AH21),"",concatenate(" ",Raw!AH21)),if(isblank(Raw!AI21),""," (E)"))</f>
        <v>20 Down (E)</v>
      </c>
      <c r="Y21" s="212" t="str">
        <f>concatenate(Raw!AJ21,if(isblank(Raw!AK21),""," (E)"))</f>
        <v>5 (E)</v>
      </c>
      <c r="Z21" s="252" t="str">
        <f>Raw!AL21</f>
        <v>charcoal fines</v>
      </c>
      <c r="AA21" s="212" t="str">
        <f>concatenate(Raw!AO21,if(Raw!AP21="Y"," (E)",))</f>
        <v>15 (E)</v>
      </c>
      <c r="AB21" s="252" t="str">
        <f>Raw!AQ21</f>
        <v>electric blower</v>
      </c>
      <c r="AC21" s="212" t="str">
        <f>concatenate(ifs(istext(Raw!AT21),Raw!AT21,AND(Raw!AT21&gt;0,isblank(Raw!AS21)),concatenate(Raw!AT21," (A)"),AND(Raw!AR21&gt;0,Raw!AS21&gt;0),concatenate(Raw!AR21," to ",Raw!AS21),1,Raw!AS21),ifs(Raw!AU21="Y-","- (E)",Raw!AU21="Y"," (E)",1,))</f>
        <v>1000 (E)</v>
      </c>
      <c r="AD21" s="253">
        <f>Raw!AW21</f>
        <v>750</v>
      </c>
      <c r="AE21" s="239" t="str">
        <f>concatenate(Raw!AX21,if(isblank(Raw!AZ21),"",concatenate("/",Raw!AZ21)),if(isblank(Raw!BB21),"",concatenate("/",Raw!BB21)),if(isblank(Raw!BD21),"",concatenate("/",Raw!BD21)),if(isblank(Raw!BF21),"",concatenate("/",Raw!BF21)),if(Raw!BK21&gt;0,if(isblank(Raw!AX21),"Gromps","/Gromps"),))</f>
        <v>Guy's Run Goethite</v>
      </c>
      <c r="AF21" s="239" t="str">
        <f>concatenate(round(Raw!AY21,1),if(isblank(Raw!AZ21),"",concatenate("/",round(Raw!BA21,1))),if(isblank(Raw!BB21),"",concatenate("/",round(Raw!BC21,1))),if(isblank(Raw!BD21),"",concatenate("/",round(Raw!BE21,1))),if(isblank(Raw!BF21),"",concatenate("/",round(Raw!BG21,1))),if(isblank(Raw!BK21),,concatenate("/",if(isnumber(Raw!BK21),round(Raw!BK21,1),Raw!BK21))))</f>
        <v>45.5</v>
      </c>
      <c r="AG21" s="241">
        <f>Raw!BL21</f>
        <v>45.5</v>
      </c>
      <c r="AH21" s="254">
        <f>Raw!BI21</f>
        <v>0.58</v>
      </c>
      <c r="AI21" s="255" t="str">
        <f>Raw!BJ21</f>
        <v>roasted</v>
      </c>
      <c r="AJ21" s="255" t="str">
        <f>Raw!BM21</f>
        <v/>
      </c>
      <c r="AK21" s="255" t="str">
        <f>Raw!BO21</f>
        <v>1 to 5</v>
      </c>
      <c r="AL21" s="256" t="str">
        <f>Raw!BV21</f>
        <v>NR</v>
      </c>
      <c r="AM21" s="244" t="str">
        <f>if(ISNUMBER(Raw!BW21),concatenate(floor(Raw!BW21/60,1),":",MOD(Raw!BW21,60)),Raw!BW21)</f>
        <v>0:35</v>
      </c>
      <c r="AN21" s="256">
        <f>Raw!BX21</f>
        <v>58.18</v>
      </c>
      <c r="AO21" s="256">
        <f>Raw!BZ21</f>
        <v>8.909090909</v>
      </c>
      <c r="AP21" s="256">
        <f>Raw!CA21</f>
        <v>4.9</v>
      </c>
      <c r="AQ21" s="255" t="str">
        <f>Raw!CB21</f>
        <v>tropical</v>
      </c>
      <c r="AR21" s="255" t="str">
        <f>Raw!CC21</f>
        <v>NR</v>
      </c>
      <c r="AS21" s="244" t="str">
        <f>concatenate(floor(Raw!CE21/60,1),":",text(MOD(Raw!CE21,60),"00"),ifs(Raw!CF21="Y"," (E)", Raw!CF21="Y+"," +", isblank(Raw!CF21),""))</f>
        <v>3:16</v>
      </c>
      <c r="AT21" s="255" t="str">
        <f>Raw!CR21</f>
        <v>bottom</v>
      </c>
      <c r="AU21" s="256" t="str">
        <f>Raw!CS21</f>
        <v>NR</v>
      </c>
      <c r="AV21" s="255" t="str">
        <f>Raw!CT21</f>
        <v>workable</v>
      </c>
      <c r="AW21" s="246" t="str">
        <f>if(Raw!CW21&gt;0,Raw!CW21,"None")</f>
        <v>NR</v>
      </c>
      <c r="AX21" s="246" t="str">
        <f>if(Raw!CX21&gt;0,Raw!CX21,"None")</f>
        <v>NR</v>
      </c>
      <c r="AY21" s="255" t="str">
        <f>Raw!CY21</f>
        <v>good</v>
      </c>
      <c r="AZ21" s="255" t="str">
        <f>Raw!CZ21</f>
        <v/>
      </c>
      <c r="BA21" s="255" t="str">
        <f>Raw!DA21</f>
        <v>established design</v>
      </c>
      <c r="BB21" s="255" t="str">
        <f>Raw!DB21</f>
        <v>none specifically</v>
      </c>
      <c r="BC21" s="257" t="str">
        <f>Raw!DC21</f>
        <v>1.9 kg reproduction VA anvil from portion.</v>
      </c>
      <c r="BD21" s="248"/>
    </row>
    <row r="22">
      <c r="A22" s="249" t="str">
        <f>Raw!A22</f>
        <v>21 / D10</v>
      </c>
      <c r="B22" s="250" t="str">
        <f>Raw!B22</f>
        <v>Fall Smelt</v>
      </c>
      <c r="C22" s="250" t="str">
        <f>Raw!C22</f>
        <v>DARC</v>
      </c>
      <c r="D22" s="250" t="str">
        <f>Raw!D22</f>
        <v>Wareham ON</v>
      </c>
      <c r="E22" s="251">
        <f>Raw!E22</f>
        <v>39026</v>
      </c>
      <c r="F22" s="250" t="str">
        <f>Raw!F22</f>
        <v>Viking Age</v>
      </c>
      <c r="G22" s="250" t="str">
        <f>Raw!G22</f>
        <v>N</v>
      </c>
      <c r="H22" s="250" t="str">
        <f>Raw!H22</f>
        <v/>
      </c>
      <c r="I22" s="250" t="str">
        <f>Raw!I22</f>
        <v>half banked short shaft</v>
      </c>
      <c r="J22" s="250" t="str">
        <f>Raw!J22</f>
        <v>straw cobb</v>
      </c>
      <c r="K22" s="250" t="str">
        <f>if(isblank(Raw!K22),"",if(Raw!K22&gt;1,concatenate("Use ",Raw!K22," of Expt ",Raw!L22),"Use 1"))</f>
        <v>Use 2 of Expt 19</v>
      </c>
      <c r="L22" s="250" t="str">
        <f>Raw!M22</f>
        <v>Circle</v>
      </c>
      <c r="M22" s="250" t="str">
        <f>Raw!N22</f>
        <v>cylinder</v>
      </c>
      <c r="N22" s="250">
        <f>Raw!O22</f>
        <v>90</v>
      </c>
      <c r="O22" s="250">
        <f>Raw!S22</f>
        <v>75</v>
      </c>
      <c r="P22" s="252">
        <f>Raw!T22</f>
        <v>50</v>
      </c>
      <c r="Q22" s="239">
        <f>if(L22="Rectangle",concatenate(Raw!U22," x ",Raw!V22),if(L22="Oval",concatenate(Raw!U22," by ",Raw!V22),if(isnumber(Raw!V22),concatenate(Raw!U22," to ",Raw!V22),Raw!U22)))</f>
        <v>23</v>
      </c>
      <c r="R22" s="239" t="str">
        <f>if(AND(Raw!Z22="Y",isnumber(Raw!X22)),concatenate(Raw!X22," (E)"),Raw!X22)</f>
        <v/>
      </c>
      <c r="S22" s="241">
        <f>Calcs!B22</f>
        <v>415.5</v>
      </c>
      <c r="T22" s="252">
        <f>Raw!AB22</f>
        <v>7.5</v>
      </c>
      <c r="U22" s="252" t="str">
        <f>Raw!AC22</f>
        <v>13 x 20</v>
      </c>
      <c r="V22" s="252" t="str">
        <f>Raw!AD22</f>
        <v>ceramic tube</v>
      </c>
      <c r="W22" s="212" t="str">
        <f>concatenate(Raw!AE22,if(Raw!AF22="Y"," (T)",))</f>
        <v>2.5</v>
      </c>
      <c r="X22" s="212" t="str">
        <f>concatenate(Raw!AG22,if(isblank(Raw!AH22),"",concatenate(" ",Raw!AH22)),if(isblank(Raw!AI22),""," (E)"))</f>
        <v>20 Down</v>
      </c>
      <c r="Y22" s="212" t="str">
        <f>concatenate(Raw!AJ22,if(isblank(Raw!AK22),""," (E)"))</f>
        <v>5</v>
      </c>
      <c r="Z22" s="252" t="str">
        <f>Raw!AL22</f>
        <v>natural</v>
      </c>
      <c r="AA22" s="212" t="str">
        <f>concatenate(Raw!AO22,if(Raw!AP22="Y"," (E)",))</f>
        <v>10</v>
      </c>
      <c r="AB22" s="252" t="str">
        <f>Raw!AQ22</f>
        <v>vacuum blower</v>
      </c>
      <c r="AC22" s="212" t="str">
        <f>concatenate(ifs(istext(Raw!AT22),Raw!AT22,AND(Raw!AT22&gt;0,isblank(Raw!AS22)),concatenate(Raw!AT22," (A)"),AND(Raw!AR22&gt;0,Raw!AS22&gt;0),concatenate(Raw!AR22," to ",Raw!AS22),1,Raw!AS22),ifs(Raw!AU22="Y-","- (E)",Raw!AU22="Y"," (E)",1,))</f>
        <v>1060</v>
      </c>
      <c r="AD22" s="253">
        <f>Raw!AW22</f>
        <v>498.6</v>
      </c>
      <c r="AE22" s="239" t="str">
        <f>concatenate(Raw!AX22,if(isblank(Raw!AZ22),"",concatenate("/",Raw!AZ22)),if(isblank(Raw!BB22),"",concatenate("/",Raw!BB22)),if(isblank(Raw!BD22),"",concatenate("/",Raw!BD22)),if(isblank(Raw!BF22),"",concatenate("/",Raw!BF22)),if(Raw!BK22&gt;0,if(isblank(Raw!AX22),"Gromps","/Gromps"),))</f>
        <v>Guy's Run Goethite</v>
      </c>
      <c r="AF22" s="239" t="str">
        <f>concatenate(round(Raw!AY22,1),if(isblank(Raw!AZ22),"",concatenate("/",round(Raw!BA22,1))),if(isblank(Raw!BB22),"",concatenate("/",round(Raw!BC22,1))),if(isblank(Raw!BD22),"",concatenate("/",round(Raw!BE22,1))),if(isblank(Raw!BF22),"",concatenate("/",round(Raw!BG22,1))),if(isblank(Raw!BK22),,concatenate("/",if(isnumber(Raw!BK22),round(Raw!BK22,1),Raw!BK22))))</f>
        <v>23.5</v>
      </c>
      <c r="AG22" s="241">
        <f>Raw!BL22</f>
        <v>23.5</v>
      </c>
      <c r="AH22" s="254">
        <f>Raw!BI22</f>
        <v>0.58</v>
      </c>
      <c r="AI22" s="255" t="str">
        <f>Raw!BJ22</f>
        <v>roasted</v>
      </c>
      <c r="AJ22" s="255" t="str">
        <f>Raw!BM22</f>
        <v/>
      </c>
      <c r="AK22" s="255" t="str">
        <f>Raw!BO22</f>
        <v>1 to 5</v>
      </c>
      <c r="AL22" s="256">
        <f>Raw!BV22</f>
        <v>8.368421053</v>
      </c>
      <c r="AM22" s="244" t="str">
        <f>if(ISNUMBER(Raw!BW22),concatenate(floor(Raw!BW22/60,1),":",MOD(Raw!BW22,60)),Raw!BW22)</f>
        <v>0:40</v>
      </c>
      <c r="AN22" s="255">
        <f>Raw!BX22</f>
        <v>19</v>
      </c>
      <c r="AO22" s="256">
        <f>Raw!BZ22</f>
        <v>6.363636364</v>
      </c>
      <c r="AP22" s="256">
        <f>Raw!CA22</f>
        <v>6.363636364</v>
      </c>
      <c r="AQ22" s="255" t="str">
        <f>Raw!CB22</f>
        <v>oak - hickory</v>
      </c>
      <c r="AR22" s="255" t="str">
        <f>Raw!CC22</f>
        <v>Royal Oak</v>
      </c>
      <c r="AS22" s="244" t="str">
        <f>concatenate(floor(Raw!CE22/60,1),":",text(MOD(Raw!CE22,60),"00"),ifs(Raw!CF22="Y"," (E)", Raw!CF22="Y+"," +", isblank(Raw!CF22),""))</f>
        <v>1:10</v>
      </c>
      <c r="AT22" s="255" t="str">
        <f>Raw!CR22</f>
        <v>top</v>
      </c>
      <c r="AU22" s="256">
        <f>Raw!CS22</f>
        <v>0</v>
      </c>
      <c r="AV22" s="255" t="str">
        <f>Raw!CT22</f>
        <v>iron rich slag only</v>
      </c>
      <c r="AW22" s="246" t="str">
        <f>if(Raw!CW22&gt;0,Raw!CW22,"None")</f>
        <v>na</v>
      </c>
      <c r="AX22" s="246" t="str">
        <f>if(Raw!CX22&gt;0,Raw!CX22,"None")</f>
        <v>na</v>
      </c>
      <c r="AY22" s="255" t="str">
        <f>Raw!CY22</f>
        <v>good</v>
      </c>
      <c r="AZ22" s="255" t="str">
        <f>Raw!CZ22</f>
        <v/>
      </c>
      <c r="BA22" s="255" t="str">
        <f>Raw!DA22</f>
        <v>established design</v>
      </c>
      <c r="BB22" s="255" t="str">
        <f>Raw!DB22</f>
        <v>none specifically</v>
      </c>
      <c r="BC22" s="257" t="str">
        <f>Raw!DC22</f>
        <v>3rd reuse of furnace - why this result?</v>
      </c>
      <c r="BD22" s="248"/>
    </row>
    <row r="23">
      <c r="A23" s="249">
        <f>Raw!A23</f>
        <v>22</v>
      </c>
      <c r="B23" s="250" t="str">
        <f>Raw!B23</f>
        <v>Redemption'</v>
      </c>
      <c r="C23" s="250" t="str">
        <f>Raw!C23</f>
        <v/>
      </c>
      <c r="D23" s="250" t="str">
        <f>Raw!D23</f>
        <v>Wareham ON</v>
      </c>
      <c r="E23" s="251">
        <f>Raw!E23</f>
        <v>39027</v>
      </c>
      <c r="F23" s="250" t="str">
        <f>Raw!F23</f>
        <v>Viking Age</v>
      </c>
      <c r="G23" s="250" t="str">
        <f>Raw!G23</f>
        <v>N</v>
      </c>
      <c r="H23" s="250" t="str">
        <f>Raw!H23</f>
        <v/>
      </c>
      <c r="I23" s="250" t="str">
        <f>Raw!I23</f>
        <v>half banked short shaft</v>
      </c>
      <c r="J23" s="250" t="str">
        <f>Raw!J23</f>
        <v>straw cobb</v>
      </c>
      <c r="K23" s="250" t="str">
        <f>if(isblank(Raw!K23),"",if(Raw!K23&gt;1,concatenate("Use ",Raw!K23," of Expt ",Raw!L23),"Use 1"))</f>
        <v>Use 3 of Expt 19</v>
      </c>
      <c r="L23" s="250" t="str">
        <f>Raw!M23</f>
        <v>Circle</v>
      </c>
      <c r="M23" s="250" t="str">
        <f>Raw!N23</f>
        <v>cylinder</v>
      </c>
      <c r="N23" s="250">
        <f>Raw!O23</f>
        <v>90</v>
      </c>
      <c r="O23" s="250">
        <f>Raw!S23</f>
        <v>75</v>
      </c>
      <c r="P23" s="252">
        <f>Raw!T23</f>
        <v>50</v>
      </c>
      <c r="Q23" s="239">
        <f>if(L23="Rectangle",concatenate(Raw!U23," x ",Raw!V23),if(L23="Oval",concatenate(Raw!U23," by ",Raw!V23),if(isnumber(Raw!V23),concatenate(Raw!U23," to ",Raw!V23),Raw!U23)))</f>
        <v>23</v>
      </c>
      <c r="R23" s="239" t="str">
        <f>if(AND(Raw!Z23="Y",isnumber(Raw!X23)),concatenate(Raw!X23," (E)"),Raw!X23)</f>
        <v/>
      </c>
      <c r="S23" s="241">
        <f>Calcs!B23</f>
        <v>415.5</v>
      </c>
      <c r="T23" s="252">
        <f>Raw!AB23</f>
        <v>7.5</v>
      </c>
      <c r="U23" s="252" t="str">
        <f>Raw!AC23</f>
        <v>13 x 20</v>
      </c>
      <c r="V23" s="252" t="str">
        <f>Raw!AD23</f>
        <v>ceramic tube</v>
      </c>
      <c r="W23" s="212" t="str">
        <f>concatenate(Raw!AE23,if(Raw!AF23="Y"," (T)",))</f>
        <v>2.5</v>
      </c>
      <c r="X23" s="212" t="str">
        <f>concatenate(Raw!AG23,if(isblank(Raw!AH23),"",concatenate(" ",Raw!AH23)),if(isblank(Raw!AI23),""," (E)"))</f>
        <v>20 Down</v>
      </c>
      <c r="Y23" s="212" t="str">
        <f>concatenate(Raw!AJ23,if(isblank(Raw!AK23),""," (E)"))</f>
        <v>5</v>
      </c>
      <c r="Z23" s="252" t="str">
        <f>Raw!AL23</f>
        <v>natural</v>
      </c>
      <c r="AA23" s="212" t="str">
        <f>concatenate(Raw!AO23,if(Raw!AP23="Y"," (E)",))</f>
        <v>10</v>
      </c>
      <c r="AB23" s="252" t="str">
        <f>Raw!AQ23</f>
        <v>vacuum blower</v>
      </c>
      <c r="AC23" s="212" t="str">
        <f>concatenate(ifs(istext(Raw!AT23),Raw!AT23,AND(Raw!AT23&gt;0,isblank(Raw!AS23)),concatenate(Raw!AT23," (A)"),AND(Raw!AR23&gt;0,Raw!AS23&gt;0),concatenate(Raw!AR23," to ",Raw!AS23),1,Raw!AS23),ifs(Raw!AU23="Y-","- (E)",Raw!AU23="Y"," (E)",1,))</f>
        <v>1060</v>
      </c>
      <c r="AD23" s="253">
        <f>Raw!AW23</f>
        <v>498.6</v>
      </c>
      <c r="AE23" s="239" t="str">
        <f>concatenate(Raw!AX23,if(isblank(Raw!AZ23),"",concatenate("/",Raw!AZ23)),if(isblank(Raw!BB23),"",concatenate("/",Raw!BB23)),if(isblank(Raw!BD23),"",concatenate("/",Raw!BD23)),if(isblank(Raw!BF23),"",concatenate("/",Raw!BF23)),if(Raw!BK23&gt;0,if(isblank(Raw!AX23),"Gromps","/Gromps"),))</f>
        <v>Bratton's Run Goethite/Gromps</v>
      </c>
      <c r="AF23" s="239" t="str">
        <f>concatenate(round(Raw!AY23,1),if(isblank(Raw!AZ23),"",concatenate("/",round(Raw!BA23,1))),if(isblank(Raw!BB23),"",concatenate("/",round(Raw!BC23,1))),if(isblank(Raw!BD23),"",concatenate("/",round(Raw!BE23,1))),if(isblank(Raw!BF23),"",concatenate("/",round(Raw!BG23,1))),if(isblank(Raw!BK23),,concatenate("/",if(isnumber(Raw!BK23),round(Raw!BK23,1),Raw!BK23))))</f>
        <v>8.9/10.2</v>
      </c>
      <c r="AG23" s="241">
        <f>Raw!BL23</f>
        <v>19.1</v>
      </c>
      <c r="AH23" s="254" t="str">
        <f>Raw!BI23</f>
        <v>?</v>
      </c>
      <c r="AI23" s="255" t="str">
        <f>Raw!BJ23</f>
        <v>roasted</v>
      </c>
      <c r="AJ23" s="255" t="str">
        <f>Raw!BM23</f>
        <v/>
      </c>
      <c r="AK23" s="255" t="str">
        <f>Raw!BO23</f>
        <v>1 to 5 / walnut</v>
      </c>
      <c r="AL23" s="256">
        <f>Raw!BV23</f>
        <v>4.007858546</v>
      </c>
      <c r="AM23" s="244" t="str">
        <f>if(ISNUMBER(Raw!BW23),concatenate(floor(Raw!BW23/60,1),":",MOD(Raw!BW23,60)),Raw!BW23)</f>
        <v>0:45</v>
      </c>
      <c r="AN23" s="255">
        <f>Raw!BX23</f>
        <v>50.9</v>
      </c>
      <c r="AO23" s="256">
        <f>Raw!BZ23</f>
        <v>6.578947368</v>
      </c>
      <c r="AP23" s="256">
        <f>Raw!CA23</f>
        <v>3.618421053</v>
      </c>
      <c r="AQ23" s="255" t="str">
        <f>Raw!CB23</f>
        <v>oak - hickory</v>
      </c>
      <c r="AR23" s="255" t="str">
        <f>Raw!CC23</f>
        <v>Black Diamond</v>
      </c>
      <c r="AS23" s="244" t="str">
        <f>concatenate(floor(Raw!CE23/60,1),":",text(MOD(Raw!CE23,60),"00"),ifs(Raw!CF23="Y"," (E)", Raw!CF23="Y+"," +", isblank(Raw!CF23),""))</f>
        <v>2:05</v>
      </c>
      <c r="AT23" s="255" t="str">
        <f>Raw!CR23</f>
        <v>top</v>
      </c>
      <c r="AU23" s="256">
        <f>Raw!CS23</f>
        <v>6.8</v>
      </c>
      <c r="AV23" s="255" t="str">
        <f>Raw!CT23</f>
        <v>workable</v>
      </c>
      <c r="AW23" s="246">
        <f>if(Raw!CW23&gt;0,Raw!CW23,"None")</f>
        <v>0.3560209424</v>
      </c>
      <c r="AX23" s="244" t="str">
        <f>if(Raw!CX23&gt;0,Raw!CX23,"None")</f>
        <v>?</v>
      </c>
      <c r="AY23" s="255" t="str">
        <f>Raw!CY23</f>
        <v>good</v>
      </c>
      <c r="AZ23" s="255" t="str">
        <f>Raw!CZ23</f>
        <v/>
      </c>
      <c r="BA23" s="255" t="str">
        <f>Raw!DA23</f>
        <v>established design</v>
      </c>
      <c r="BB23" s="255" t="str">
        <f>Raw!DB23</f>
        <v>Reserection' for # 21</v>
      </c>
      <c r="BC23" s="257" t="str">
        <f>Raw!DC23</f>
        <v>self proof of ability</v>
      </c>
      <c r="BD23" s="248"/>
    </row>
    <row r="24">
      <c r="A24" s="249">
        <f>Raw!A24</f>
        <v>23</v>
      </c>
      <c r="B24" s="250" t="str">
        <f>Raw!B24</f>
        <v>Intro Smelting</v>
      </c>
      <c r="C24" s="250" t="str">
        <f>Raw!C24</f>
        <v>Mikaff, Paddon</v>
      </c>
      <c r="D24" s="250" t="str">
        <f>Raw!D24</f>
        <v>Wareham ON</v>
      </c>
      <c r="E24" s="251">
        <f>Raw!E24</f>
        <v>39235</v>
      </c>
      <c r="F24" s="250" t="str">
        <f>Raw!F24</f>
        <v>modern</v>
      </c>
      <c r="G24" s="250" t="str">
        <f>Raw!G24</f>
        <v>N</v>
      </c>
      <c r="H24" s="250" t="str">
        <f>Raw!H24</f>
        <v>Teaching</v>
      </c>
      <c r="I24" s="250" t="str">
        <f>Raw!I24</f>
        <v>Econo Norse</v>
      </c>
      <c r="J24" s="250" t="str">
        <f>Raw!J24</f>
        <v>fire brick in sheet</v>
      </c>
      <c r="K24" s="250" t="str">
        <f>if(isblank(Raw!K24),"",if(Raw!K24&gt;1,concatenate("Use ",Raw!K24," of Expt ",Raw!L24),"Use 1"))</f>
        <v/>
      </c>
      <c r="L24" s="250" t="str">
        <f>Raw!M24</f>
        <v>Hexagon</v>
      </c>
      <c r="M24" s="250" t="str">
        <f>Raw!N24</f>
        <v>cylinder</v>
      </c>
      <c r="N24" s="250">
        <f>Raw!O24</f>
        <v>60</v>
      </c>
      <c r="O24" s="250">
        <f>Raw!S24</f>
        <v>40</v>
      </c>
      <c r="P24" s="252">
        <f>Raw!T24</f>
        <v>50</v>
      </c>
      <c r="Q24" s="239">
        <f>if(L24="Rectangle",concatenate(Raw!U24," x ",Raw!V24),if(L24="Oval",concatenate(Raw!U24," by ",Raw!V24),if(isnumber(Raw!V24),concatenate(Raw!U24," to ",Raw!V24),Raw!U24)))</f>
        <v>25</v>
      </c>
      <c r="R24" s="239" t="str">
        <f>if(AND(Raw!Z24="Y",isnumber(Raw!X24)),concatenate(Raw!X24," (E)"),Raw!X24)</f>
        <v/>
      </c>
      <c r="S24" s="241">
        <f>Calcs!B24</f>
        <v>541.3</v>
      </c>
      <c r="T24" s="252" t="str">
        <f>Raw!AB24</f>
        <v>7.5 +</v>
      </c>
      <c r="U24" s="252" t="str">
        <f>Raw!AC24</f>
        <v>15 x 10</v>
      </c>
      <c r="V24" s="252" t="str">
        <f>Raw!AD24</f>
        <v>ceramic tube</v>
      </c>
      <c r="W24" s="212" t="str">
        <f>concatenate(Raw!AE24,if(Raw!AF24="Y"," (T)",))</f>
        <v>2.5</v>
      </c>
      <c r="X24" s="212" t="str">
        <f>concatenate(Raw!AG24,if(isblank(Raw!AH24),"",concatenate(" ",Raw!AH24)),if(isblank(Raw!AI24),""," (E)"))</f>
        <v>20 Down</v>
      </c>
      <c r="Y24" s="212" t="str">
        <f>concatenate(Raw!AJ24,if(isblank(Raw!AK24),""," (E)"))</f>
        <v>5</v>
      </c>
      <c r="Z24" s="252" t="str">
        <f>Raw!AL24</f>
        <v>charcoal fines</v>
      </c>
      <c r="AA24" s="212" t="str">
        <f>concatenate(Raw!AO24,if(Raw!AP24="Y"," (E)",))</f>
        <v>15 (E)</v>
      </c>
      <c r="AB24" s="252" t="str">
        <f>Raw!AQ24</f>
        <v>vacuum blower</v>
      </c>
      <c r="AC24" s="212" t="str">
        <f>concatenate(ifs(istext(Raw!AT24),Raw!AT24,AND(Raw!AT24&gt;0,isblank(Raw!AS24)),concatenate(Raw!AT24," (A)"),AND(Raw!AR24&gt;0,Raw!AS24&gt;0),concatenate(Raw!AR24," to ",Raw!AS24),1,Raw!AS24),ifs(Raw!AU24="Y-","- (E)",Raw!AU24="Y"," (E)",1,))</f>
        <v>800</v>
      </c>
      <c r="AD24" s="253">
        <f>Raw!AW24</f>
        <v>649.56</v>
      </c>
      <c r="AE24" s="239" t="str">
        <f>concatenate(Raw!AX24,if(isblank(Raw!AZ24),"",concatenate("/",Raw!AZ24)),if(isblank(Raw!BB24),"",concatenate("/",Raw!BB24)),if(isblank(Raw!BD24),"",concatenate("/",Raw!BD24)),if(isblank(Raw!BF24),"",concatenate("/",Raw!BF24)),if(Raw!BK24&gt;0,if(isblank(Raw!AX24),"Gromps","/Gromps"),))</f>
        <v>Opta Hematite</v>
      </c>
      <c r="AF24" s="239" t="str">
        <f>concatenate(round(Raw!AY24,1),if(isblank(Raw!AZ24),"",concatenate("/",round(Raw!BA24,1))),if(isblank(Raw!BB24),"",concatenate("/",round(Raw!BC24,1))),if(isblank(Raw!BD24),"",concatenate("/",round(Raw!BE24,1))),if(isblank(Raw!BF24),"",concatenate("/",round(Raw!BG24,1))),if(isblank(Raw!BK24),,concatenate("/",if(isnumber(Raw!BK24),round(Raw!BK24,1),Raw!BK24))))</f>
        <v>22.3</v>
      </c>
      <c r="AG24" s="241">
        <f>Raw!BL24</f>
        <v>22.3</v>
      </c>
      <c r="AH24" s="254">
        <f>Raw!BI24</f>
        <v>0.6867011216</v>
      </c>
      <c r="AI24" s="255" t="str">
        <f>Raw!BJ24</f>
        <v>raw</v>
      </c>
      <c r="AJ24" s="255" t="str">
        <f>Raw!BM24</f>
        <v/>
      </c>
      <c r="AK24" s="255">
        <f>Raw!BO24</f>
        <v>1</v>
      </c>
      <c r="AL24" s="256" t="str">
        <f>Raw!BV24</f>
        <v>NR</v>
      </c>
      <c r="AM24" s="244" t="str">
        <f>if(ISNUMBER(Raw!BW24),concatenate(floor(Raw!BW24/60,1),":",MOD(Raw!BW24,60)),Raw!BW24)</f>
        <v>0:55</v>
      </c>
      <c r="AN24" s="256">
        <f>Raw!BX24</f>
        <v>54.54545455</v>
      </c>
      <c r="AO24" s="256">
        <f>Raw!BZ24</f>
        <v>8.086956522</v>
      </c>
      <c r="AP24" s="256">
        <f>Raw!CA24</f>
        <v>4.447826087</v>
      </c>
      <c r="AQ24" s="255" t="str">
        <f>Raw!CB24</f>
        <v>oak - hickory</v>
      </c>
      <c r="AR24" s="255" t="str">
        <f>Raw!CC24</f>
        <v>Black Diamond</v>
      </c>
      <c r="AS24" s="244" t="str">
        <f>concatenate(floor(Raw!CE24/60,1),":",text(MOD(Raw!CE24,60),"00"),ifs(Raw!CF24="Y"," (E)", Raw!CF24="Y+"," +", isblank(Raw!CF24),""))</f>
        <v>3:06</v>
      </c>
      <c r="AT24" s="255" t="str">
        <f>Raw!CR24</f>
        <v>dismantled</v>
      </c>
      <c r="AU24" s="256">
        <f>Raw!CS24</f>
        <v>12.7</v>
      </c>
      <c r="AV24" s="255" t="str">
        <f>Raw!CT24</f>
        <v>workable</v>
      </c>
      <c r="AW24" s="246">
        <f>if(Raw!CW24&gt;0,Raw!CW24,"None")</f>
        <v>0.5695067265</v>
      </c>
      <c r="AX24" s="246">
        <f>if(Raw!CX24&gt;0,Raw!CX24,"None")</f>
        <v>0.8293371142</v>
      </c>
      <c r="AY24" s="255" t="str">
        <f>Raw!CY24</f>
        <v>good</v>
      </c>
      <c r="AZ24" s="255" t="str">
        <f>Raw!CZ24</f>
        <v/>
      </c>
      <c r="BA24" s="255" t="str">
        <f>Raw!DA24</f>
        <v>established design</v>
      </c>
      <c r="BB24" s="255" t="str">
        <f>Raw!DB24</f>
        <v>course</v>
      </c>
      <c r="BC24" s="257" t="str">
        <f>Raw!DC24</f>
        <v>excellent student results</v>
      </c>
      <c r="BD24" s="248"/>
    </row>
    <row r="25">
      <c r="A25" s="249" t="str">
        <f>Raw!A25</f>
        <v>24 / D11</v>
      </c>
      <c r="B25" s="250" t="str">
        <f>Raw!B25</f>
        <v>Hot Swap</v>
      </c>
      <c r="C25" s="250" t="str">
        <f>Raw!C25</f>
        <v>DARC</v>
      </c>
      <c r="D25" s="250" t="str">
        <f>Raw!D25</f>
        <v>Wareham ON</v>
      </c>
      <c r="E25" s="251">
        <f>Raw!E25</f>
        <v>39242</v>
      </c>
      <c r="F25" s="250" t="str">
        <f>Raw!F25</f>
        <v>Viking Age</v>
      </c>
      <c r="G25" s="250" t="str">
        <f>Raw!G25</f>
        <v>N</v>
      </c>
      <c r="H25" s="250" t="str">
        <f>Raw!H25</f>
        <v/>
      </c>
      <c r="I25" s="250" t="str">
        <f>Raw!I25</f>
        <v>half banked short shaft</v>
      </c>
      <c r="J25" s="250" t="str">
        <f>Raw!J25</f>
        <v>straw cobb</v>
      </c>
      <c r="K25" s="250" t="str">
        <f>if(isblank(Raw!K25),"",if(Raw!K25&gt;1,concatenate("Use ",Raw!K25," of Expt ",Raw!L25),"Use 1"))</f>
        <v>Use 4 of Expt 19</v>
      </c>
      <c r="L25" s="250" t="str">
        <f>Raw!M25</f>
        <v>Circle</v>
      </c>
      <c r="M25" s="250" t="str">
        <f>Raw!N25</f>
        <v>cylinder</v>
      </c>
      <c r="N25" s="250">
        <f>Raw!O25</f>
        <v>90</v>
      </c>
      <c r="O25" s="250">
        <f>Raw!S25</f>
        <v>75</v>
      </c>
      <c r="P25" s="252">
        <f>Raw!T25</f>
        <v>40</v>
      </c>
      <c r="Q25" s="239">
        <f>if(L25="Rectangle",concatenate(Raw!U25," x ",Raw!V25),if(L25="Oval",concatenate(Raw!U25," by ",Raw!V25),if(isnumber(Raw!V25),concatenate(Raw!U25," to ",Raw!V25),Raw!U25)))</f>
        <v>23</v>
      </c>
      <c r="R25" s="239" t="str">
        <f>if(AND(Raw!Z25="Y",isnumber(Raw!X25)),concatenate(Raw!X25," (E)"),Raw!X25)</f>
        <v/>
      </c>
      <c r="S25" s="241">
        <f>Calcs!B25</f>
        <v>415.5</v>
      </c>
      <c r="T25" s="252">
        <f>Raw!AB25</f>
        <v>7.5</v>
      </c>
      <c r="U25" s="252" t="str">
        <f>Raw!AC25</f>
        <v>13 x 20</v>
      </c>
      <c r="V25" s="252" t="str">
        <f>Raw!AD25</f>
        <v>ceramic tube</v>
      </c>
      <c r="W25" s="212" t="str">
        <f>concatenate(Raw!AE25,if(Raw!AF25="Y"," (T)",))</f>
        <v>2.5</v>
      </c>
      <c r="X25" s="212" t="str">
        <f>concatenate(Raw!AG25,if(isblank(Raw!AH25),"",concatenate(" ",Raw!AH25)),if(isblank(Raw!AI25),""," (E)"))</f>
        <v>15 Down</v>
      </c>
      <c r="Y25" s="212" t="str">
        <f>concatenate(Raw!AJ25,if(isblank(Raw!AK25),""," (E)"))</f>
        <v>5</v>
      </c>
      <c r="Z25" s="252" t="str">
        <f>Raw!AL25</f>
        <v>charcoal fines</v>
      </c>
      <c r="AA25" s="212" t="str">
        <f>concatenate(Raw!AO25,if(Raw!AP25="Y"," (E)",))</f>
        <v>14</v>
      </c>
      <c r="AB25" s="252" t="str">
        <f>Raw!AQ25</f>
        <v>vacuum blower</v>
      </c>
      <c r="AC25" s="212" t="str">
        <f>concatenate(ifs(istext(Raw!AT25),Raw!AT25,AND(Raw!AT25&gt;0,isblank(Raw!AS25)),concatenate(Raw!AT25," (A)"),AND(Raw!AR25&gt;0,Raw!AS25&gt;0),concatenate(Raw!AR25," to ",Raw!AS25),1,Raw!AS25),ifs(Raw!AU25="Y-","- (E)",Raw!AU25="Y"," (E)",1,))</f>
        <v>900</v>
      </c>
      <c r="AD25" s="253">
        <f>Raw!AW25</f>
        <v>498.6</v>
      </c>
      <c r="AE25" s="239" t="str">
        <f>concatenate(Raw!AX25,if(isblank(Raw!AZ25),"",concatenate("/",Raw!AZ25)),if(isblank(Raw!BB25),"",concatenate("/",Raw!BB25)),if(isblank(Raw!BD25),"",concatenate("/",Raw!BD25)),if(isblank(Raw!BF25),"",concatenate("/",Raw!BF25)),if(Raw!BK25&gt;0,if(isblank(Raw!AX25),"Gromps","/Gromps"),))</f>
        <v>Bratton's Run Goethite</v>
      </c>
      <c r="AF25" s="239" t="str">
        <f>concatenate(round(Raw!AY25,1),if(isblank(Raw!AZ25),"",concatenate("/",round(Raw!BA25,1))),if(isblank(Raw!BB25),"",concatenate("/",round(Raw!BC25,1))),if(isblank(Raw!BD25),"",concatenate("/",round(Raw!BE25,1))),if(isblank(Raw!BF25),"",concatenate("/",round(Raw!BG25,1))),if(isblank(Raw!BK25),,concatenate("/",if(isnumber(Raw!BK25),round(Raw!BK25,1),Raw!BK25))))</f>
        <v>20</v>
      </c>
      <c r="AG25" s="241">
        <f>Raw!BL25</f>
        <v>20</v>
      </c>
      <c r="AH25" s="254">
        <f>Raw!BI25</f>
        <v>0.4535109057</v>
      </c>
      <c r="AI25" s="255" t="str">
        <f>Raw!BJ25</f>
        <v>roasted</v>
      </c>
      <c r="AJ25" s="255" t="str">
        <f>Raw!BM25</f>
        <v/>
      </c>
      <c r="AK25" s="255" t="str">
        <f>Raw!BO25</f>
        <v>1 to 5</v>
      </c>
      <c r="AL25" s="256">
        <f>Raw!BV25</f>
        <v>5.559633028</v>
      </c>
      <c r="AM25" s="244" t="str">
        <f>if(ISNUMBER(Raw!BW25),concatenate(floor(Raw!BW25/60,1),":",MOD(Raw!BW25,60)),Raw!BW25)</f>
        <v>0:43</v>
      </c>
      <c r="AN25" s="255">
        <f>Raw!BX25</f>
        <v>54.5</v>
      </c>
      <c r="AO25" s="256">
        <f>Raw!BZ25</f>
        <v>9.541666667</v>
      </c>
      <c r="AP25" s="256">
        <f>Raw!CA25</f>
        <v>5.247916667</v>
      </c>
      <c r="AQ25" s="255" t="str">
        <f>Raw!CB25</f>
        <v>oak - hickory</v>
      </c>
      <c r="AR25" s="255" t="str">
        <f>Raw!CC25</f>
        <v>Royal Oak</v>
      </c>
      <c r="AS25" s="244" t="str">
        <f>concatenate(floor(Raw!CE25/60,1),":",text(MOD(Raw!CE25,60),"00"),ifs(Raw!CF25="Y"," (E)", Raw!CF25="Y+"," +", isblank(Raw!CF25),""))</f>
        <v>3:49</v>
      </c>
      <c r="AT25" s="255" t="str">
        <f>Raw!CR25</f>
        <v>top</v>
      </c>
      <c r="AU25" s="256">
        <f>Raw!CS25</f>
        <v>0.9</v>
      </c>
      <c r="AV25" s="255" t="str">
        <f>Raw!CT25</f>
        <v>workable</v>
      </c>
      <c r="AW25" s="246">
        <f>if(Raw!CW25&gt;0,Raw!CW25,"None")</f>
        <v>0.045</v>
      </c>
      <c r="AX25" s="246">
        <f>if(Raw!CX25&gt;0,Raw!CX25,"None")</f>
        <v>0.09922583875</v>
      </c>
      <c r="AY25" s="255" t="str">
        <f>Raw!CY25</f>
        <v>good</v>
      </c>
      <c r="AZ25" s="255" t="str">
        <f>Raw!CZ25</f>
        <v/>
      </c>
      <c r="BA25" s="255" t="str">
        <f>Raw!DA25</f>
        <v>established design</v>
      </c>
      <c r="BB25" s="255" t="str">
        <f>Raw!DB25</f>
        <v>hot swap' doouble smelt</v>
      </c>
      <c r="BC25" s="257" t="str">
        <f>Raw!DC25</f>
        <v>4th use / expected low return from poor ore</v>
      </c>
      <c r="BD25" s="248"/>
    </row>
    <row r="26">
      <c r="A26" s="249" t="str">
        <f>Raw!A26</f>
        <v>25 / D12</v>
      </c>
      <c r="B26" s="250" t="str">
        <f>Raw!B26</f>
        <v>Hot Swap</v>
      </c>
      <c r="C26" s="250" t="str">
        <f>Raw!C26</f>
        <v>DARC</v>
      </c>
      <c r="D26" s="250" t="str">
        <f>Raw!D26</f>
        <v>Wareham ON</v>
      </c>
      <c r="E26" s="251">
        <f>Raw!E26</f>
        <v>39242</v>
      </c>
      <c r="F26" s="250" t="str">
        <f>Raw!F26</f>
        <v>Viking Age</v>
      </c>
      <c r="G26" s="250" t="str">
        <f>Raw!G26</f>
        <v>N</v>
      </c>
      <c r="H26" s="250" t="str">
        <f>Raw!H26</f>
        <v/>
      </c>
      <c r="I26" s="250" t="str">
        <f>Raw!I26</f>
        <v>half banked short shaft</v>
      </c>
      <c r="J26" s="250" t="str">
        <f>Raw!J26</f>
        <v>straw cobb</v>
      </c>
      <c r="K26" s="250" t="str">
        <f>if(isblank(Raw!K26),"",if(Raw!K26&gt;1,concatenate("Use ",Raw!K26," of Expt ",Raw!L26),"Use 1"))</f>
        <v>Use 5 of Expt 19</v>
      </c>
      <c r="L26" s="250" t="str">
        <f>Raw!M26</f>
        <v>Circle</v>
      </c>
      <c r="M26" s="250" t="str">
        <f>Raw!N26</f>
        <v>cylinder</v>
      </c>
      <c r="N26" s="250">
        <f>Raw!O26</f>
        <v>90</v>
      </c>
      <c r="O26" s="250">
        <f>Raw!S26</f>
        <v>75</v>
      </c>
      <c r="P26" s="252">
        <f>Raw!T26</f>
        <v>40</v>
      </c>
      <c r="Q26" s="239">
        <f>if(L26="Rectangle",concatenate(Raw!U26," x ",Raw!V26),if(L26="Oval",concatenate(Raw!U26," by ",Raw!V26),if(isnumber(Raw!V26),concatenate(Raw!U26," to ",Raw!V26),Raw!U26)))</f>
        <v>23</v>
      </c>
      <c r="R26" s="239" t="str">
        <f>if(AND(Raw!Z26="Y",isnumber(Raw!X26)),concatenate(Raw!X26," (E)"),Raw!X26)</f>
        <v/>
      </c>
      <c r="S26" s="241">
        <f>Calcs!B26</f>
        <v>415.5</v>
      </c>
      <c r="T26" s="252">
        <f>Raw!AB26</f>
        <v>7.5</v>
      </c>
      <c r="U26" s="252" t="str">
        <f>Raw!AC26</f>
        <v>13 x 20</v>
      </c>
      <c r="V26" s="252" t="str">
        <f>Raw!AD26</f>
        <v>ceramic tube</v>
      </c>
      <c r="W26" s="212" t="str">
        <f>concatenate(Raw!AE26,if(Raw!AF26="Y"," (T)",))</f>
        <v>2.5</v>
      </c>
      <c r="X26" s="212" t="str">
        <f>concatenate(Raw!AG26,if(isblank(Raw!AH26),"",concatenate(" ",Raw!AH26)),if(isblank(Raw!AI26),""," (E)"))</f>
        <v>15 Down</v>
      </c>
      <c r="Y26" s="212" t="str">
        <f>concatenate(Raw!AJ26,if(isblank(Raw!AK26),""," (E)"))</f>
        <v>?</v>
      </c>
      <c r="Z26" s="252" t="str">
        <f>Raw!AL26</f>
        <v>hot slag bowl</v>
      </c>
      <c r="AA26" s="212" t="str">
        <f>concatenate(Raw!AO26,if(Raw!AP26="Y"," (E)",))</f>
        <v>NR</v>
      </c>
      <c r="AB26" s="252" t="str">
        <f>Raw!AQ26</f>
        <v>vacuum blower</v>
      </c>
      <c r="AC26" s="212" t="str">
        <f>concatenate(ifs(istext(Raw!AT26),Raw!AT26,AND(Raw!AT26&gt;0,isblank(Raw!AS26)),concatenate(Raw!AT26," (A)"),AND(Raw!AR26&gt;0,Raw!AS26&gt;0),concatenate(Raw!AR26," to ",Raw!AS26),1,Raw!AS26),ifs(Raw!AU26="Y-","- (E)",Raw!AU26="Y"," (E)",1,))</f>
        <v>900</v>
      </c>
      <c r="AD26" s="253">
        <f>Raw!AW26</f>
        <v>498.6</v>
      </c>
      <c r="AE26" s="239" t="str">
        <f>concatenate(Raw!AX26,if(isblank(Raw!AZ26),"",concatenate("/",Raw!AZ26)),if(isblank(Raw!BB26),"",concatenate("/",Raw!BB26)),if(isblank(Raw!BD26),"",concatenate("/",Raw!BD26)),if(isblank(Raw!BF26),"",concatenate("/",Raw!BF26)),if(Raw!BK26&gt;0,if(isblank(Raw!AX26),"Gromps","/Gromps"),))</f>
        <v>Bratton's Run Goethite/Opta Hematite/Gromps</v>
      </c>
      <c r="AF26" s="239" t="str">
        <f>concatenate(round(Raw!AY26,1),if(isblank(Raw!AZ26),"",concatenate("/",round(Raw!BA26,1))),if(isblank(Raw!BB26),"",concatenate("/",round(Raw!BC26,1))),if(isblank(Raw!BD26),"",concatenate("/",round(Raw!BE26,1))),if(isblank(Raw!BF26),"",concatenate("/",round(Raw!BG26,1))),if(isblank(Raw!BK26),,concatenate("/",if(isnumber(Raw!BK26),round(Raw!BK26,1),Raw!BK26))))</f>
        <v>12/11.9/NR</v>
      </c>
      <c r="AG26" s="241" t="str">
        <f>Raw!BL26</f>
        <v>NR</v>
      </c>
      <c r="AH26" s="254">
        <f>Raw!BI26</f>
        <v>0.57</v>
      </c>
      <c r="AI26" s="255" t="str">
        <f>Raw!BJ26</f>
        <v>roasted</v>
      </c>
      <c r="AJ26" s="255" t="str">
        <f>Raw!BM26</f>
        <v/>
      </c>
      <c r="AK26" s="255" t="str">
        <f>Raw!BO26</f>
        <v>1 to 5 / 1</v>
      </c>
      <c r="AL26" s="256" t="str">
        <f>Raw!BV26</f>
        <v>NR</v>
      </c>
      <c r="AM26" s="244" t="str">
        <f>if(ISNUMBER(Raw!BW26),concatenate(floor(Raw!BW26/60,1),":",MOD(Raw!BW26,60)),Raw!BW26)</f>
        <v>0:0</v>
      </c>
      <c r="AN26" s="255">
        <f>Raw!BX26</f>
        <v>41.8</v>
      </c>
      <c r="AO26" s="256">
        <f>Raw!BZ26</f>
        <v>7.421052632</v>
      </c>
      <c r="AP26" s="256">
        <f>Raw!CA26</f>
        <v>4.308333333</v>
      </c>
      <c r="AQ26" s="255" t="str">
        <f>Raw!CB26</f>
        <v>oak - hickory</v>
      </c>
      <c r="AR26" s="255" t="str">
        <f>Raw!CC26</f>
        <v>Royal Oak</v>
      </c>
      <c r="AS26" s="244" t="str">
        <f>concatenate(floor(Raw!CE26/60,1),":",text(MOD(Raw!CE26,60),"00"),ifs(Raw!CF26="Y"," (E)", Raw!CF26="Y+"," +", isblank(Raw!CF26),""))</f>
        <v>2:21</v>
      </c>
      <c r="AT26" s="255" t="str">
        <f>Raw!CR26</f>
        <v>top</v>
      </c>
      <c r="AU26" s="256">
        <f>Raw!CS26</f>
        <v>3.1</v>
      </c>
      <c r="AV26" s="255" t="str">
        <f>Raw!CT26</f>
        <v>workable</v>
      </c>
      <c r="AW26" s="246" t="str">
        <f>if(Raw!CW26&gt;0,Raw!CW26,"None")</f>
        <v>NR</v>
      </c>
      <c r="AX26" s="246">
        <f>if(Raw!CX26&gt;0,Raw!CX26,"None")</f>
        <v>0.2275563385</v>
      </c>
      <c r="AY26" s="255" t="str">
        <f>Raw!CY26</f>
        <v>excessive silica</v>
      </c>
      <c r="AZ26" s="255" t="str">
        <f>Raw!CZ26</f>
        <v/>
      </c>
      <c r="BA26" s="255" t="str">
        <f>Raw!DA26</f>
        <v>established design</v>
      </c>
      <c r="BB26" s="255" t="str">
        <f>Raw!DB26</f>
        <v>hot swap' double smelt</v>
      </c>
      <c r="BC26" s="257" t="str">
        <f>Raw!DC26</f>
        <v>5th use / expected improvement mixed ore</v>
      </c>
      <c r="BD26" s="248"/>
    </row>
    <row r="27">
      <c r="A27" s="249">
        <f>Raw!A27</f>
        <v>26</v>
      </c>
      <c r="B27" s="250" t="str">
        <f>Raw!B27</f>
        <v>Icelandic 1</v>
      </c>
      <c r="C27" s="250" t="str">
        <f>Raw!C27</f>
        <v>Peterson, Ross</v>
      </c>
      <c r="D27" s="250" t="str">
        <f>Raw!D27</f>
        <v>Wareham ON</v>
      </c>
      <c r="E27" s="251">
        <f>Raw!E27</f>
        <v>39362</v>
      </c>
      <c r="F27" s="250" t="str">
        <f>Raw!F27</f>
        <v>Viking Age Icelandic</v>
      </c>
      <c r="G27" s="250" t="str">
        <f>Raw!G27</f>
        <v>N</v>
      </c>
      <c r="H27" s="250" t="str">
        <f>Raw!H27</f>
        <v>Icelandic</v>
      </c>
      <c r="I27" s="250" t="str">
        <f>Raw!I27</f>
        <v>half banked short shaft</v>
      </c>
      <c r="J27" s="250" t="str">
        <f>Raw!J27</f>
        <v>clay,  stone slab front</v>
      </c>
      <c r="K27" s="250" t="str">
        <f>if(isblank(Raw!K27),"",if(Raw!K27&gt;1,concatenate("Use ",Raw!K27," of Expt ",Raw!L27),"Use 1"))</f>
        <v/>
      </c>
      <c r="L27" s="250" t="str">
        <f>Raw!M27</f>
        <v>Flat Circle</v>
      </c>
      <c r="M27" s="250" t="str">
        <f>Raw!N27</f>
        <v>cylinder</v>
      </c>
      <c r="N27" s="250">
        <f>Raw!O27</f>
        <v>77</v>
      </c>
      <c r="O27" s="250">
        <f>Raw!S27</f>
        <v>53.5</v>
      </c>
      <c r="P27" s="252">
        <f>Raw!T27</f>
        <v>40</v>
      </c>
      <c r="Q27" s="239" t="str">
        <f>if(L27="Rectangle",concatenate(Raw!U27," x ",Raw!V27),if(L27="Oval",concatenate(Raw!U27," by ",Raw!V27),if(isnumber(Raw!V27),concatenate(Raw!U27," to ",Raw!V27),Raw!U27)))</f>
        <v>27 to 23</v>
      </c>
      <c r="R27" s="239" t="str">
        <f>if(AND(Raw!Z27="Y",isnumber(Raw!X27)),concatenate(Raw!X27," (E)"),Raw!X27)</f>
        <v/>
      </c>
      <c r="S27" s="241">
        <f>Calcs!B27</f>
        <v>519.7069702</v>
      </c>
      <c r="T27" s="252" t="str">
        <f>Raw!AB27</f>
        <v>7.5 +</v>
      </c>
      <c r="U27" s="252" t="str">
        <f>Raw!AC27</f>
        <v>15 x 30</v>
      </c>
      <c r="V27" s="252" t="str">
        <f>Raw!AD27</f>
        <v>ceramic tube</v>
      </c>
      <c r="W27" s="212" t="str">
        <f>concatenate(Raw!AE27,if(Raw!AF27="Y"," (T)",))</f>
        <v>2.5</v>
      </c>
      <c r="X27" s="212" t="str">
        <f>concatenate(Raw!AG27,if(isblank(Raw!AH27),"",concatenate(" ",Raw!AH27)),if(isblank(Raw!AI27),""," (E)"))</f>
        <v>20 Down</v>
      </c>
      <c r="Y27" s="212" t="str">
        <f>concatenate(Raw!AJ27,if(isblank(Raw!AK27),""," (E)"))</f>
        <v>0</v>
      </c>
      <c r="Z27" s="252" t="str">
        <f>Raw!AL27</f>
        <v>natural</v>
      </c>
      <c r="AA27" s="212" t="str">
        <f>concatenate(Raw!AO27,if(Raw!AP27="Y"," (E)",))</f>
        <v>10 (E)</v>
      </c>
      <c r="AB27" s="252" t="str">
        <f>Raw!AQ27</f>
        <v>vacuum blower</v>
      </c>
      <c r="AC27" s="212" t="str">
        <f>concatenate(ifs(istext(Raw!AT27),Raw!AT27,AND(Raw!AT27&gt;0,isblank(Raw!AS27)),concatenate(Raw!AT27," (A)"),AND(Raw!AR27&gt;0,Raw!AS27&gt;0),concatenate(Raw!AR27," to ",Raw!AS27),1,Raw!AS27),ifs(Raw!AU27="Y-","- (E)",Raw!AU27="Y"," (E)",1,))</f>
        <v>800</v>
      </c>
      <c r="AD27" s="253">
        <f>Raw!AW27</f>
        <v>623.6483643</v>
      </c>
      <c r="AE27" s="239" t="str">
        <f>concatenate(Raw!AX27,if(isblank(Raw!AZ27),"",concatenate("/",Raw!AZ27)),if(isblank(Raw!BB27),"",concatenate("/",Raw!BB27)),if(isblank(Raw!BD27),"",concatenate("/",Raw!BD27)),if(isblank(Raw!BF27),"",concatenate("/",Raw!BF27)),if(Raw!BK27&gt;0,if(isblank(Raw!AX27),"Gromps","/Gromps"),))</f>
        <v>Opta Hematite</v>
      </c>
      <c r="AF27" s="239" t="str">
        <f>concatenate(round(Raw!AY27,1),if(isblank(Raw!AZ27),"",concatenate("/",round(Raw!BA27,1))),if(isblank(Raw!BB27),"",concatenate("/",round(Raw!BC27,1))),if(isblank(Raw!BD27),"",concatenate("/",round(Raw!BE27,1))),if(isblank(Raw!BF27),"",concatenate("/",round(Raw!BG27,1))),if(isblank(Raw!BK27),,concatenate("/",if(isnumber(Raw!BK27),round(Raw!BK27,1),Raw!BK27))))</f>
        <v>12.3</v>
      </c>
      <c r="AG27" s="241">
        <f>Raw!BL27</f>
        <v>12.3</v>
      </c>
      <c r="AH27" s="254">
        <f>Raw!BI27</f>
        <v>0.6867011216</v>
      </c>
      <c r="AI27" s="255" t="str">
        <f>Raw!BJ27</f>
        <v>roasted</v>
      </c>
      <c r="AJ27" s="255" t="str">
        <f>Raw!BM27</f>
        <v/>
      </c>
      <c r="AK27" s="255" t="str">
        <f>Raw!BO27</f>
        <v>1 to 2.5</v>
      </c>
      <c r="AL27" s="256">
        <f>Raw!BV27</f>
        <v>4.388888889</v>
      </c>
      <c r="AM27" s="244" t="str">
        <f>if(ISNUMBER(Raw!BW27),concatenate(floor(Raw!BW27/60,1),":",MOD(Raw!BW27,60)),Raw!BW27)</f>
        <v>2:15</v>
      </c>
      <c r="AN27" s="255">
        <f>Raw!BX27</f>
        <v>54</v>
      </c>
      <c r="AO27" s="256">
        <f>Raw!BZ27</f>
        <v>7.0625</v>
      </c>
      <c r="AP27" s="256">
        <f>Raw!CA27</f>
        <v>3.85665529</v>
      </c>
      <c r="AQ27" s="255" t="str">
        <f>Raw!CB27</f>
        <v>oak - hickory</v>
      </c>
      <c r="AR27" s="255" t="str">
        <f>Raw!CC27</f>
        <v>Black Diamond</v>
      </c>
      <c r="AS27" s="244" t="str">
        <f>concatenate(floor(Raw!CE27/60,1),":",text(MOD(Raw!CE27,60),"00"),ifs(Raw!CF27="Y"," (E)", Raw!CF27="Y+"," +", isblank(Raw!CF27),""))</f>
        <v>1:53</v>
      </c>
      <c r="AT27" s="255" t="str">
        <f>Raw!CR27</f>
        <v>top</v>
      </c>
      <c r="AU27" s="256">
        <f>Raw!CS27</f>
        <v>6</v>
      </c>
      <c r="AV27" s="255" t="str">
        <f>Raw!CT27</f>
        <v>workable</v>
      </c>
      <c r="AW27" s="246">
        <f>if(Raw!CW27&gt;0,Raw!CW27,"None")</f>
        <v>0.487804878</v>
      </c>
      <c r="AX27" s="246">
        <f>if(Raw!CX27&gt;0,Raw!CX27,"None")</f>
        <v>0.7103598097</v>
      </c>
      <c r="AY27" s="255" t="str">
        <f>Raw!CY27</f>
        <v>good</v>
      </c>
      <c r="AZ27" s="255" t="str">
        <f>Raw!CZ27</f>
        <v/>
      </c>
      <c r="BA27" s="255" t="str">
        <f>Raw!DA27</f>
        <v>L'Anse aux Meadows</v>
      </c>
      <c r="BB27" s="255" t="str">
        <f>Raw!DB27</f>
        <v>use of stone slab above tuyere</v>
      </c>
      <c r="BC27" s="257" t="str">
        <f>Raw!DC27</f>
        <v>intial use of low air, increased half way</v>
      </c>
      <c r="BD27" s="248"/>
    </row>
    <row r="28">
      <c r="A28" s="249" t="str">
        <f>Raw!A28</f>
        <v>27 / D13</v>
      </c>
      <c r="B28" s="250" t="str">
        <f>Raw!B28</f>
        <v> Icelandic 2</v>
      </c>
      <c r="C28" s="250" t="str">
        <f>Raw!C28</f>
        <v>DARC</v>
      </c>
      <c r="D28" s="250" t="str">
        <f>Raw!D28</f>
        <v>Wareham ON</v>
      </c>
      <c r="E28" s="251">
        <f>Raw!E28</f>
        <v>39382</v>
      </c>
      <c r="F28" s="250" t="str">
        <f>Raw!F28</f>
        <v>Viking Age Icelandic</v>
      </c>
      <c r="G28" s="250" t="str">
        <f>Raw!G28</f>
        <v>N</v>
      </c>
      <c r="H28" s="250" t="str">
        <f>Raw!H28</f>
        <v>Icelandic</v>
      </c>
      <c r="I28" s="250" t="str">
        <f>Raw!I28</f>
        <v>half banked short shaft</v>
      </c>
      <c r="J28" s="250" t="str">
        <f>Raw!J28</f>
        <v>stone slabs, clay seal</v>
      </c>
      <c r="K28" s="250" t="str">
        <f>if(isblank(Raw!K28),"",if(Raw!K28&gt;1,concatenate("Use ",Raw!K28," of Expt ",Raw!L28),"Use 1"))</f>
        <v/>
      </c>
      <c r="L28" s="250" t="str">
        <f>Raw!M28</f>
        <v>Rectangle</v>
      </c>
      <c r="M28" s="250" t="str">
        <f>Raw!N28</f>
        <v>angled</v>
      </c>
      <c r="N28" s="250">
        <f>Raw!O28</f>
        <v>70</v>
      </c>
      <c r="O28" s="250">
        <f>Raw!S28</f>
        <v>45</v>
      </c>
      <c r="P28" s="252">
        <f>Raw!T28</f>
        <v>46</v>
      </c>
      <c r="Q28" s="239" t="str">
        <f>if(L28="Rectangle",concatenate(Raw!U28," x ",Raw!V28),if(L28="Oval",concatenate(Raw!U28," by ",Raw!V28),if(isnumber(Raw!V28),concatenate(Raw!U28," to ",Raw!V28),Raw!U28)))</f>
        <v>35 x 25</v>
      </c>
      <c r="R28" s="239">
        <f>if(AND(Raw!Z28="Y",isnumber(Raw!X28)),concatenate(Raw!X28," (E)"),Raw!X28)</f>
        <v>35</v>
      </c>
      <c r="S28" s="241">
        <f>Calcs!B28</f>
        <v>875</v>
      </c>
      <c r="T28" s="260" t="str">
        <f>Raw!AB28</f>
        <v>5 to 10</v>
      </c>
      <c r="U28" s="252" t="str">
        <f>Raw!AC28</f>
        <v>20 x 20</v>
      </c>
      <c r="V28" s="252" t="str">
        <f>Raw!AD28</f>
        <v>ceramic tube</v>
      </c>
      <c r="W28" s="212" t="str">
        <f>concatenate(Raw!AE28,if(Raw!AF28="Y"," (T)",))</f>
        <v>2.5</v>
      </c>
      <c r="X28" s="212" t="str">
        <f>concatenate(Raw!AG28,if(isblank(Raw!AH28),"",concatenate(" ",Raw!AH28)),if(isblank(Raw!AI28),""," (E)"))</f>
        <v>26 Down</v>
      </c>
      <c r="Y28" s="212" t="str">
        <f>concatenate(Raw!AJ28,if(isblank(Raw!AK28),""," (E)"))</f>
        <v>0</v>
      </c>
      <c r="Z28" s="252" t="str">
        <f>Raw!AL28</f>
        <v>charcoal fines</v>
      </c>
      <c r="AA28" s="212" t="str">
        <f>concatenate(Raw!AO28,if(Raw!AP28="Y"," (E)",))</f>
        <v>18</v>
      </c>
      <c r="AB28" s="252" t="str">
        <f>Raw!AQ28</f>
        <v>vacuum blower</v>
      </c>
      <c r="AC28" s="212" t="str">
        <f>concatenate(ifs(istext(Raw!AT28),Raw!AT28,AND(Raw!AT28&gt;0,isblank(Raw!AS28)),concatenate(Raw!AT28," (A)"),AND(Raw!AR28&gt;0,Raw!AS28&gt;0),concatenate(Raw!AR28," to ",Raw!AS28),1,Raw!AS28),ifs(Raw!AU28="Y-","- (E)",Raw!AU28="Y"," (E)",1,))</f>
        <v>410</v>
      </c>
      <c r="AD28" s="253">
        <f>Raw!AW28</f>
        <v>1050</v>
      </c>
      <c r="AE28" s="239" t="str">
        <f>concatenate(Raw!AX28,if(isblank(Raw!AZ28),"",concatenate("/",Raw!AZ28)),if(isblank(Raw!BB28),"",concatenate("/",Raw!BB28)),if(isblank(Raw!BD28),"",concatenate("/",Raw!BD28)),if(isblank(Raw!BF28),"",concatenate("/",Raw!BF28)),if(Raw!BK28&gt;0,if(isblank(Raw!AX28),"Gromps","/Gromps"),))</f>
        <v>Opta Hematite/Bratton's Run Goethite</v>
      </c>
      <c r="AF28" s="239" t="str">
        <f>concatenate(round(Raw!AY28,1),if(isblank(Raw!AZ28),"",concatenate("/",round(Raw!BA28,1))),if(isblank(Raw!BB28),"",concatenate("/",round(Raw!BC28,1))),if(isblank(Raw!BD28),"",concatenate("/",round(Raw!BE28,1))),if(isblank(Raw!BF28),"",concatenate("/",round(Raw!BG28,1))),if(isblank(Raw!BK28),,concatenate("/",if(isnumber(Raw!BK28),round(Raw!BK28,1),Raw!BK28))))</f>
        <v>10/2.3</v>
      </c>
      <c r="AG28" s="241">
        <f>Raw!BL28</f>
        <v>12.3</v>
      </c>
      <c r="AH28" s="254">
        <f>Raw!BI28</f>
        <v>0.6430964471</v>
      </c>
      <c r="AI28" s="255" t="str">
        <f>Raw!BJ28</f>
        <v>raw</v>
      </c>
      <c r="AJ28" s="255" t="str">
        <f>Raw!BM28</f>
        <v/>
      </c>
      <c r="AK28" s="255">
        <f>Raw!BO28</f>
        <v>1</v>
      </c>
      <c r="AL28" s="256" t="str">
        <f>Raw!BV28</f>
        <v>NR</v>
      </c>
      <c r="AM28" s="244" t="str">
        <f>if(ISNUMBER(Raw!BW28),concatenate(floor(Raw!BW28/60,1),":",MOD(Raw!BW28,60)),Raw!BW28)</f>
        <v>1:17</v>
      </c>
      <c r="AN28" s="255">
        <f>Raw!BX28</f>
        <v>34</v>
      </c>
      <c r="AO28" s="256">
        <f>Raw!BZ28</f>
        <v>19.92307692</v>
      </c>
      <c r="AP28" s="256">
        <f>Raw!CA28</f>
        <v>13.16056911</v>
      </c>
      <c r="AQ28" s="255" t="str">
        <f>Raw!CB28</f>
        <v>oak - hickory</v>
      </c>
      <c r="AR28" s="255" t="str">
        <f>Raw!CC28</f>
        <v>Royal Oak</v>
      </c>
      <c r="AS28" s="244" t="str">
        <f>concatenate(floor(Raw!CE28/60,1),":",text(MOD(Raw!CE28,60),"00"),ifs(Raw!CF28="Y"," (E)", Raw!CF28="Y+"," +", isblank(Raw!CF28),""))</f>
        <v>4:19</v>
      </c>
      <c r="AT28" s="255" t="str">
        <f>Raw!CR28</f>
        <v>bottom</v>
      </c>
      <c r="AU28" s="256">
        <f>Raw!CS28</f>
        <v>2</v>
      </c>
      <c r="AV28" s="255" t="str">
        <f>Raw!CT28</f>
        <v>poorly sintered</v>
      </c>
      <c r="AW28" s="246">
        <f>if(Raw!CW28&gt;0,Raw!CW28,"None")</f>
        <v>0.162601626</v>
      </c>
      <c r="AX28" s="246">
        <f>if(Raw!CX28&gt;0,Raw!CX28,"None")</f>
        <v>0.2528417421</v>
      </c>
      <c r="AY28" s="255" t="str">
        <f>Raw!CY28</f>
        <v>minimal</v>
      </c>
      <c r="AZ28" s="255">
        <f>Raw!CZ28</f>
        <v>3.5</v>
      </c>
      <c r="BA28" s="255" t="str">
        <f>Raw!DA28</f>
        <v>L'Anse aux Meadows</v>
      </c>
      <c r="BB28" s="255" t="str">
        <f>Raw!DB28</f>
        <v>all stone slab  - low air</v>
      </c>
      <c r="BC28" s="257" t="str">
        <f>Raw!DC28</f>
        <v>1.8 kg unsintered + 2.3 kg gromps = 4.1 kg</v>
      </c>
      <c r="BD28" s="248"/>
    </row>
    <row r="29">
      <c r="A29" s="249">
        <f>Raw!A29</f>
        <v>28</v>
      </c>
      <c r="B29" s="250" t="str">
        <f>Raw!B29</f>
        <v>Intro Smelting</v>
      </c>
      <c r="C29" s="250" t="str">
        <f>Raw!C29</f>
        <v>Martin Group</v>
      </c>
      <c r="D29" s="250" t="str">
        <f>Raw!D29</f>
        <v>Wareham ON</v>
      </c>
      <c r="E29" s="251">
        <f>Raw!E29</f>
        <v>39411</v>
      </c>
      <c r="F29" s="250" t="str">
        <f>Raw!F29</f>
        <v>Viking Age</v>
      </c>
      <c r="G29" s="250" t="str">
        <f>Raw!G29</f>
        <v>N</v>
      </c>
      <c r="H29" s="250" t="str">
        <f>Raw!H29</f>
        <v>Teaching</v>
      </c>
      <c r="I29" s="250" t="str">
        <f>Raw!I29</f>
        <v>short shaft on brick</v>
      </c>
      <c r="J29" s="250" t="str">
        <f>Raw!J29</f>
        <v>straw cobb</v>
      </c>
      <c r="K29" s="250" t="str">
        <f>if(isblank(Raw!K29),"",if(Raw!K29&gt;1,concatenate("Use ",Raw!K29," of Expt ",Raw!L29),"Use 1"))</f>
        <v/>
      </c>
      <c r="L29" s="250" t="str">
        <f>Raw!M29</f>
        <v>Circle</v>
      </c>
      <c r="M29" s="250" t="str">
        <f>Raw!N29</f>
        <v>cylinder</v>
      </c>
      <c r="N29" s="250">
        <f>Raw!O29</f>
        <v>72</v>
      </c>
      <c r="O29" s="250">
        <f>Raw!S29</f>
        <v>50</v>
      </c>
      <c r="P29" s="252">
        <f>Raw!T29</f>
        <v>40</v>
      </c>
      <c r="Q29" s="239">
        <f>if(L29="Rectangle",concatenate(Raw!U29," x ",Raw!V29),if(L29="Oval",concatenate(Raw!U29," by ",Raw!V29),if(isnumber(Raw!V29),concatenate(Raw!U29," to ",Raw!V29),Raw!U29)))</f>
        <v>25</v>
      </c>
      <c r="R29" s="239" t="str">
        <f>if(AND(Raw!Z29="Y",isnumber(Raw!X29)),concatenate(Raw!X29," (E)"),Raw!X29)</f>
        <v/>
      </c>
      <c r="S29" s="241">
        <f>Calcs!B29</f>
        <v>490.9</v>
      </c>
      <c r="T29" s="260" t="str">
        <f>Raw!AB29</f>
        <v>6 to 8</v>
      </c>
      <c r="U29" s="252" t="str">
        <f>Raw!AC29</f>
        <v>15 x 20</v>
      </c>
      <c r="V29" s="252" t="str">
        <f>Raw!AD29</f>
        <v>ceramic tube</v>
      </c>
      <c r="W29" s="212" t="str">
        <f>concatenate(Raw!AE29,if(Raw!AF29="Y"," (T)",))</f>
        <v>2.5</v>
      </c>
      <c r="X29" s="212" t="str">
        <f>concatenate(Raw!AG29,if(isblank(Raw!AH29),"",concatenate(" ",Raw!AH29)),if(isblank(Raw!AI29),""," (E)"))</f>
        <v>20 Down</v>
      </c>
      <c r="Y29" s="212" t="str">
        <f>concatenate(Raw!AJ29,if(isblank(Raw!AK29),""," (E)"))</f>
        <v>5</v>
      </c>
      <c r="Z29" s="252" t="str">
        <f>Raw!AL29</f>
        <v>charcoal fines</v>
      </c>
      <c r="AA29" s="212" t="str">
        <f>concatenate(Raw!AO29,if(Raw!AP29="Y"," (E)",))</f>
        <v>10</v>
      </c>
      <c r="AB29" s="252" t="str">
        <f>Raw!AQ29</f>
        <v>vacuum blower</v>
      </c>
      <c r="AC29" s="212" t="str">
        <f>concatenate(ifs(istext(Raw!AT29),Raw!AT29,AND(Raw!AT29&gt;0,isblank(Raw!AS29)),concatenate(Raw!AT29," (A)"),AND(Raw!AR29&gt;0,Raw!AS29&gt;0),concatenate(Raw!AR29," to ",Raw!AS29),1,Raw!AS29),ifs(Raw!AU29="Y-","- (E)",Raw!AU29="Y"," (E)",1,))</f>
        <v>770</v>
      </c>
      <c r="AD29" s="253">
        <f>Raw!AW29</f>
        <v>589.08</v>
      </c>
      <c r="AE29" s="239" t="str">
        <f>concatenate(Raw!AX29,if(isblank(Raw!AZ29),"",concatenate("/",Raw!AZ29)),if(isblank(Raw!BB29),"",concatenate("/",Raw!BB29)),if(isblank(Raw!BD29),"",concatenate("/",Raw!BD29)),if(isblank(Raw!BF29),"",concatenate("/",Raw!BF29)),if(Raw!BK29&gt;0,if(isblank(Raw!AX29),"Gromps","/Gromps"),))</f>
        <v>Stelco Taconite/Bratton's Run Goethite</v>
      </c>
      <c r="AF29" s="239" t="str">
        <f>concatenate(round(Raw!AY29,1),if(isblank(Raw!AZ29),"",concatenate("/",round(Raw!BA29,1))),if(isblank(Raw!BB29),"",concatenate("/",round(Raw!BC29,1))),if(isblank(Raw!BD29),"",concatenate("/",round(Raw!BE29,1))),if(isblank(Raw!BF29),"",concatenate("/",round(Raw!BG29,1))),if(isblank(Raw!BK29),,concatenate("/",if(isnumber(Raw!BK29),round(Raw!BK29,1),Raw!BK29))))</f>
        <v>16.2/1.8</v>
      </c>
      <c r="AG29" s="241">
        <f>Raw!BL29</f>
        <v>18</v>
      </c>
      <c r="AH29" s="254">
        <f>Raw!BI29</f>
        <v>0.6339220763</v>
      </c>
      <c r="AI29" s="255" t="str">
        <f>Raw!BJ29</f>
        <v>roasted</v>
      </c>
      <c r="AJ29" s="255" t="str">
        <f>Raw!BM29</f>
        <v/>
      </c>
      <c r="AK29" s="255" t="str">
        <f>Raw!BO29</f>
        <v>1 to 5</v>
      </c>
      <c r="AL29" s="256">
        <f>Raw!BV29</f>
        <v>4.333333333</v>
      </c>
      <c r="AM29" s="244" t="str">
        <f>if(ISNUMBER(Raw!BW29),concatenate(floor(Raw!BW29/60,1),":",MOD(Raw!BW29,60)),Raw!BW29)</f>
        <v>2:0</v>
      </c>
      <c r="AN29" s="255">
        <f>Raw!BX29</f>
        <v>60</v>
      </c>
      <c r="AO29" s="256">
        <f>Raw!BZ29</f>
        <v>7.375</v>
      </c>
      <c r="AP29" s="256">
        <f>Raw!CA29</f>
        <v>4.179166667</v>
      </c>
      <c r="AQ29" s="255" t="str">
        <f>Raw!CB29</f>
        <v>oak - hickory</v>
      </c>
      <c r="AR29" s="255" t="str">
        <f>Raw!CC29</f>
        <v>Black Diamond</v>
      </c>
      <c r="AS29" s="244" t="str">
        <f>concatenate(floor(Raw!CE29/60,1),":",text(MOD(Raw!CE29,60),"00"),ifs(Raw!CF29="Y"," (E)", Raw!CF29="Y+"," +", isblank(Raw!CF29),""))</f>
        <v>2:57</v>
      </c>
      <c r="AT29" s="255" t="str">
        <f>Raw!CR29</f>
        <v>top</v>
      </c>
      <c r="AU29" s="256">
        <f>Raw!CS29</f>
        <v>5.5</v>
      </c>
      <c r="AV29" s="255" t="str">
        <f>Raw!CT29</f>
        <v>workable</v>
      </c>
      <c r="AW29" s="246">
        <f>if(Raw!CW29&gt;0,Raw!CW29,"None")</f>
        <v>0.3055555556</v>
      </c>
      <c r="AX29" s="246">
        <f>if(Raw!CX29&gt;0,Raw!CX29,"None")</f>
        <v>0.4820080685</v>
      </c>
      <c r="AY29" s="255" t="str">
        <f>Raw!CY29</f>
        <v>good</v>
      </c>
      <c r="AZ29" s="255">
        <f>Raw!CZ29</f>
        <v>9</v>
      </c>
      <c r="BA29" s="255" t="str">
        <f>Raw!DA29</f>
        <v>established design</v>
      </c>
      <c r="BB29" s="255" t="str">
        <f>Raw!DB29</f>
        <v>course</v>
      </c>
      <c r="BC29" s="257" t="str">
        <f>Raw!DC29</f>
        <v>excellent student results</v>
      </c>
      <c r="BD29" s="248"/>
    </row>
    <row r="30">
      <c r="A30" s="249">
        <f>Raw!A30</f>
        <v>29</v>
      </c>
      <c r="B30" s="250" t="str">
        <f>Raw!B30</f>
        <v>Bellows Plate </v>
      </c>
      <c r="C30" s="250" t="str">
        <f>Raw!C30</f>
        <v>Williams, Keen</v>
      </c>
      <c r="D30" s="250" t="str">
        <f>Raw!D30</f>
        <v>Lexington VA</v>
      </c>
      <c r="E30" s="251">
        <f>Raw!E30</f>
        <v>39520</v>
      </c>
      <c r="F30" s="250" t="str">
        <f>Raw!F30</f>
        <v>Viking Age</v>
      </c>
      <c r="G30" s="250" t="str">
        <f>Raw!G30</f>
        <v>N</v>
      </c>
      <c r="H30" s="250" t="str">
        <f>Raw!H30</f>
        <v/>
      </c>
      <c r="I30" s="250" t="str">
        <f>Raw!I30</f>
        <v>medium shaft</v>
      </c>
      <c r="J30" s="250" t="str">
        <f>Raw!J30</f>
        <v>clay / sand</v>
      </c>
      <c r="K30" s="250" t="str">
        <f>if(isblank(Raw!K30),"",if(Raw!K30&gt;1,concatenate("Use ",Raw!K30," of Expt ",Raw!L30),"Use 1"))</f>
        <v>Use 1</v>
      </c>
      <c r="L30" s="250" t="str">
        <f>Raw!M30</f>
        <v>Circle</v>
      </c>
      <c r="M30" s="250" t="str">
        <f>Raw!N30</f>
        <v>cylinder</v>
      </c>
      <c r="N30" s="250">
        <f>Raw!O30</f>
        <v>105</v>
      </c>
      <c r="O30" s="250">
        <f>Raw!S30</f>
        <v>60</v>
      </c>
      <c r="P30" s="252" t="str">
        <f>Raw!T30</f>
        <v>60 to 43</v>
      </c>
      <c r="Q30" s="239">
        <f>if(L30="Rectangle",concatenate(Raw!U30," x ",Raw!V30),if(L30="Oval",concatenate(Raw!U30," by ",Raw!V30),if(isnumber(Raw!V30),concatenate(Raw!U30," to ",Raw!V30),Raw!U30)))</f>
        <v>30</v>
      </c>
      <c r="R30" s="239" t="str">
        <f>if(AND(Raw!Z30="Y",isnumber(Raw!X30)),concatenate(Raw!X30," (E)"),Raw!X30)</f>
        <v/>
      </c>
      <c r="S30" s="241">
        <f>Calcs!B30</f>
        <v>706.9</v>
      </c>
      <c r="T30" s="252">
        <f>Raw!AB30</f>
        <v>7</v>
      </c>
      <c r="U30" s="252" t="str">
        <f>Raw!AC30</f>
        <v>9 x 12</v>
      </c>
      <c r="V30" s="252" t="str">
        <f>Raw!AD30</f>
        <v>plate &amp; hole</v>
      </c>
      <c r="W30" s="212" t="str">
        <f>concatenate(Raw!AE30,if(Raw!AF30="Y"," (T)",))</f>
        <v>3</v>
      </c>
      <c r="X30" s="212" t="str">
        <f>concatenate(Raw!AG30,if(isblank(Raw!AH30),"",concatenate(" ",Raw!AH30)),if(isblank(Raw!AI30),""," (E)"))</f>
        <v>22 Down</v>
      </c>
      <c r="Y30" s="212" t="str">
        <f>concatenate(Raw!AJ30,if(isblank(Raw!AK30),""," (E)"))</f>
        <v>-6</v>
      </c>
      <c r="Z30" s="252" t="str">
        <f>Raw!AL30</f>
        <v>charcoal fines</v>
      </c>
      <c r="AA30" s="212" t="str">
        <f>concatenate(Raw!AO30,if(Raw!AP30="Y"," (E)",))</f>
        <v>15</v>
      </c>
      <c r="AB30" s="252" t="str">
        <f>Raw!AQ30</f>
        <v>electric blower</v>
      </c>
      <c r="AC30" s="212" t="str">
        <f>concatenate(ifs(istext(Raw!AT30),Raw!AT30,AND(Raw!AT30&gt;0,isblank(Raw!AS30)),concatenate(Raw!AT30," (A)"),AND(Raw!AR30&gt;0,Raw!AS30&gt;0),concatenate(Raw!AR30," to ",Raw!AS30),1,Raw!AS30),ifs(Raw!AU30="Y-","- (E)",Raw!AU30="Y"," (E)",1,))</f>
        <v>NR</v>
      </c>
      <c r="AD30" s="253">
        <f>Raw!AW30</f>
        <v>848.28</v>
      </c>
      <c r="AE30" s="239" t="str">
        <f>concatenate(Raw!AX30,if(isblank(Raw!AZ30),"",concatenate("/",Raw!AZ30)),if(isblank(Raw!BB30),"",concatenate("/",Raw!BB30)),if(isblank(Raw!BD30),"",concatenate("/",Raw!BD30)),if(isblank(Raw!BF30),"",concatenate("/",Raw!BF30)),if(Raw!BK30&gt;0,if(isblank(Raw!AX30),"Gromps","/Gromps"),))</f>
        <v>Guy's Run Goethite</v>
      </c>
      <c r="AF30" s="239" t="str">
        <f>concatenate(round(Raw!AY30,1),if(isblank(Raw!AZ30),"",concatenate("/",round(Raw!BA30,1))),if(isblank(Raw!BB30),"",concatenate("/",round(Raw!BC30,1))),if(isblank(Raw!BD30),"",concatenate("/",round(Raw!BE30,1))),if(isblank(Raw!BF30),"",concatenate("/",round(Raw!BG30,1))),if(isblank(Raw!BK30),,concatenate("/",if(isnumber(Raw!BK30),round(Raw!BK30,1),Raw!BK30))))</f>
        <v>23</v>
      </c>
      <c r="AG30" s="241">
        <f>Raw!BL30</f>
        <v>23</v>
      </c>
      <c r="AH30" s="254">
        <f>Raw!BI30</f>
        <v>0.58</v>
      </c>
      <c r="AI30" s="255" t="str">
        <f>Raw!BJ30</f>
        <v>roasted</v>
      </c>
      <c r="AJ30" s="255" t="str">
        <f>Raw!BM30</f>
        <v/>
      </c>
      <c r="AK30" s="255" t="str">
        <f>Raw!BO30</f>
        <v>1 to 5</v>
      </c>
      <c r="AL30" s="256">
        <f>Raw!BV30</f>
        <v>6.088888889</v>
      </c>
      <c r="AM30" s="244" t="str">
        <f>if(ISNUMBER(Raw!BW30),concatenate(floor(Raw!BW30/60,1),":",MOD(Raw!BW30,60)),Raw!BW30)</f>
        <v>2:3</v>
      </c>
      <c r="AN30" s="255">
        <f>Raw!BX30</f>
        <v>45</v>
      </c>
      <c r="AO30" s="256">
        <f>Raw!BZ30</f>
        <v>13.21212121</v>
      </c>
      <c r="AP30" s="256">
        <f>Raw!CA30</f>
        <v>7.486868687</v>
      </c>
      <c r="AQ30" s="255" t="str">
        <f>Raw!CB30</f>
        <v>mixed hardwood</v>
      </c>
      <c r="AR30" s="255" t="str">
        <f>Raw!CC30</f>
        <v>home made</v>
      </c>
      <c r="AS30" s="244" t="str">
        <f>concatenate(floor(Raw!CE30/60,1),":",text(MOD(Raw!CE30,60),"00"),ifs(Raw!CF30="Y"," (E)", Raw!CF30="Y+"," +", isblank(Raw!CF30),""))</f>
        <v>3:38</v>
      </c>
      <c r="AT30" s="255" t="str">
        <f>Raw!CR30</f>
        <v>bottom</v>
      </c>
      <c r="AU30" s="256">
        <f>Raw!CS30</f>
        <v>5.5</v>
      </c>
      <c r="AV30" s="255" t="str">
        <f>Raw!CT30</f>
        <v>crescent</v>
      </c>
      <c r="AW30" s="246">
        <f>if(Raw!CW30&gt;0,Raw!CW30,"None")</f>
        <v>0.2391304348</v>
      </c>
      <c r="AX30" s="246">
        <f>if(Raw!CX30&gt;0,Raw!CX30,"None")</f>
        <v>0.4122938531</v>
      </c>
      <c r="AY30" s="255" t="str">
        <f>Raw!CY30</f>
        <v>all</v>
      </c>
      <c r="AZ30" s="255" t="str">
        <f>Raw!CZ30</f>
        <v/>
      </c>
      <c r="BA30" s="255" t="str">
        <f>Raw!DA30</f>
        <v>based on Eindoven</v>
      </c>
      <c r="BB30" s="255" t="str">
        <f>Raw!DB30</f>
        <v>test of plate &amp; blow hole</v>
      </c>
      <c r="BC30" s="257" t="str">
        <f>Raw!DC30</f>
        <v>better yield than expected</v>
      </c>
      <c r="BD30" s="248"/>
    </row>
    <row r="31">
      <c r="A31" s="249">
        <f>Raw!A31</f>
        <v>30</v>
      </c>
      <c r="B31" s="250" t="str">
        <f>Raw!B31</f>
        <v>DARC Dirt 1</v>
      </c>
      <c r="C31" s="250" t="str">
        <f>Raw!C31</f>
        <v>Williams, Keen</v>
      </c>
      <c r="D31" s="250" t="str">
        <f>Raw!D31</f>
        <v>Lexington VA</v>
      </c>
      <c r="E31" s="251">
        <f>Raw!E31</f>
        <v>39523</v>
      </c>
      <c r="F31" s="250" t="str">
        <f>Raw!F31</f>
        <v>Viking Age</v>
      </c>
      <c r="G31" s="250" t="str">
        <f>Raw!G31</f>
        <v>N</v>
      </c>
      <c r="H31" s="250" t="str">
        <f>Raw!H31</f>
        <v/>
      </c>
      <c r="I31" s="250" t="str">
        <f>Raw!I31</f>
        <v>medium shaft</v>
      </c>
      <c r="J31" s="250" t="str">
        <f>Raw!J31</f>
        <v>clay / sand</v>
      </c>
      <c r="K31" s="250" t="str">
        <f>if(isblank(Raw!K31),"",if(Raw!K31&gt;1,concatenate("Use ",Raw!K31," of Expt ",Raw!L31),"Use 1"))</f>
        <v>Use 2 of Expt 29</v>
      </c>
      <c r="L31" s="250" t="str">
        <f>Raw!M31</f>
        <v>Circle</v>
      </c>
      <c r="M31" s="250" t="str">
        <f>Raw!N31</f>
        <v>cylinder</v>
      </c>
      <c r="N31" s="250">
        <f>Raw!O31</f>
        <v>105</v>
      </c>
      <c r="O31" s="250">
        <f>Raw!S31</f>
        <v>60</v>
      </c>
      <c r="P31" s="252" t="str">
        <f>Raw!T31</f>
        <v>60 to 43</v>
      </c>
      <c r="Q31" s="239">
        <f>if(L31="Rectangle",concatenate(Raw!U31," x ",Raw!V31),if(L31="Oval",concatenate(Raw!U31," by ",Raw!V31),if(isnumber(Raw!V31),concatenate(Raw!U31," to ",Raw!V31),Raw!U31)))</f>
        <v>30</v>
      </c>
      <c r="R31" s="239" t="str">
        <f>if(AND(Raw!Z31="Y",isnumber(Raw!X31)),concatenate(Raw!X31," (E)"),Raw!X31)</f>
        <v/>
      </c>
      <c r="S31" s="241">
        <f>Calcs!B31</f>
        <v>706.9</v>
      </c>
      <c r="T31" s="252">
        <f>Raw!AB31</f>
        <v>7</v>
      </c>
      <c r="U31" s="252" t="str">
        <f>Raw!AC31</f>
        <v>above +</v>
      </c>
      <c r="V31" s="252" t="str">
        <f>Raw!AD31</f>
        <v>plate &amp; hole</v>
      </c>
      <c r="W31" s="212" t="str">
        <f>concatenate(Raw!AE31,if(Raw!AF31="Y"," (T)",))</f>
        <v>3</v>
      </c>
      <c r="X31" s="212" t="str">
        <f>concatenate(Raw!AG31,if(isblank(Raw!AH31),"",concatenate(" ",Raw!AH31)),if(isblank(Raw!AI31),""," (E)"))</f>
        <v>22 Down</v>
      </c>
      <c r="Y31" s="212" t="str">
        <f>concatenate(Raw!AJ31,if(isblank(Raw!AK31),""," (E)"))</f>
        <v>-6</v>
      </c>
      <c r="Z31" s="252" t="str">
        <f>Raw!AL31</f>
        <v>charcoal fines</v>
      </c>
      <c r="AA31" s="212" t="str">
        <f>concatenate(Raw!AO31,if(Raw!AP31="Y"," (E)",))</f>
        <v>15</v>
      </c>
      <c r="AB31" s="252" t="str">
        <f>Raw!AQ31</f>
        <v>electric blower</v>
      </c>
      <c r="AC31" s="212" t="str">
        <f>concatenate(ifs(istext(Raw!AT31),Raw!AT31,AND(Raw!AT31&gt;0,isblank(Raw!AS31)),concatenate(Raw!AT31," (A)"),AND(Raw!AR31&gt;0,Raw!AS31&gt;0),concatenate(Raw!AR31," to ",Raw!AS31),1,Raw!AS31),ifs(Raw!AU31="Y-","- (E)",Raw!AU31="Y"," (E)",1,))</f>
        <v>NR</v>
      </c>
      <c r="AD31" s="253">
        <f>Raw!AW31</f>
        <v>848.28</v>
      </c>
      <c r="AE31" s="239" t="str">
        <f>concatenate(Raw!AX31,if(isblank(Raw!AZ31),"",concatenate("/",Raw!AZ31)),if(isblank(Raw!BB31),"",concatenate("/",Raw!BB31)),if(isblank(Raw!BD31),"",concatenate("/",Raw!BD31)),if(isblank(Raw!BF31),"",concatenate("/",Raw!BF31)),if(Raw!BK31&gt;0,if(isblank(Raw!AX31),"Gromps","/Gromps"),))</f>
        <v>DD1S</v>
      </c>
      <c r="AF31" s="239" t="str">
        <f>concatenate(round(Raw!AY31,1),if(isblank(Raw!AZ31),"",concatenate("/",round(Raw!BA31,1))),if(isblank(Raw!BB31),"",concatenate("/",round(Raw!BC31,1))),if(isblank(Raw!BD31),"",concatenate("/",round(Raw!BE31,1))),if(isblank(Raw!BF31),"",concatenate("/",round(Raw!BG31,1))),if(isblank(Raw!BK31),,concatenate("/",if(isnumber(Raw!BK31),round(Raw!BK31,1),Raw!BK31))))</f>
        <v>30.2</v>
      </c>
      <c r="AG31" s="241">
        <f>Raw!BL31</f>
        <v>30.2</v>
      </c>
      <c r="AH31" s="254">
        <f>Raw!BI31</f>
        <v>0.4984213344</v>
      </c>
      <c r="AI31" s="255" t="str">
        <f>Raw!BJ31</f>
        <v/>
      </c>
      <c r="AJ31" s="255" t="str">
        <f>Raw!BM31</f>
        <v/>
      </c>
      <c r="AK31" s="255" t="str">
        <f>Raw!BO31</f>
        <v>all to 25</v>
      </c>
      <c r="AL31" s="256" t="str">
        <f>Raw!BV31</f>
        <v>NR</v>
      </c>
      <c r="AM31" s="244" t="str">
        <f>if(ISNUMBER(Raw!BW31),concatenate(floor(Raw!BW31/60,1),":",MOD(Raw!BW31,60)),Raw!BW31)</f>
        <v>1:10</v>
      </c>
      <c r="AN31" s="256">
        <f>Raw!BX31</f>
        <v>54.54545455</v>
      </c>
      <c r="AO31" s="256">
        <f>Raw!BZ31</f>
        <v>12.54545455</v>
      </c>
      <c r="AP31" s="256">
        <f>Raw!CA31</f>
        <v>6.9</v>
      </c>
      <c r="AQ31" s="255" t="str">
        <f>Raw!CB31</f>
        <v>mixed hardwood</v>
      </c>
      <c r="AR31" s="255" t="str">
        <f>Raw!CC31</f>
        <v>home made</v>
      </c>
      <c r="AS31" s="244" t="str">
        <f>concatenate(floor(Raw!CE31/60,1),":",text(MOD(Raw!CE31,60),"00"),ifs(Raw!CF31="Y"," (E)", Raw!CF31="Y+"," +", isblank(Raw!CF31),""))</f>
        <v>4:36</v>
      </c>
      <c r="AT31" s="255" t="str">
        <f>Raw!CR31</f>
        <v>bottom</v>
      </c>
      <c r="AU31" s="256">
        <f>Raw!CS31</f>
        <v>1.7</v>
      </c>
      <c r="AV31" s="255" t="str">
        <f>Raw!CT31</f>
        <v>small</v>
      </c>
      <c r="AW31" s="246">
        <f>if(Raw!CW31&gt;0,Raw!CW31,"None")</f>
        <v>0.05629139073</v>
      </c>
      <c r="AX31" s="246">
        <f>if(Raw!CX31&gt;0,Raw!CX31,"None")</f>
        <v>0.1129393685</v>
      </c>
      <c r="AY31" s="255" t="str">
        <f>Raw!CY31</f>
        <v/>
      </c>
      <c r="AZ31" s="255" t="str">
        <f>Raw!CZ31</f>
        <v/>
      </c>
      <c r="BA31" s="255" t="str">
        <f>Raw!DA31</f>
        <v>based on Eindoven</v>
      </c>
      <c r="BB31" s="255" t="str">
        <f>Raw!DB31</f>
        <v>test of plate &amp; blow hole</v>
      </c>
      <c r="BC31" s="257" t="str">
        <f>Raw!DC31</f>
        <v>expected lower yield from method</v>
      </c>
      <c r="BD31" s="248"/>
    </row>
    <row r="32">
      <c r="A32" s="249">
        <f>Raw!A32</f>
        <v>31</v>
      </c>
      <c r="B32" s="250" t="str">
        <f>Raw!B32</f>
        <v>Bellows Plate </v>
      </c>
      <c r="C32" s="250" t="str">
        <f>Raw!C32</f>
        <v>Williams, Keen</v>
      </c>
      <c r="D32" s="250" t="str">
        <f>Raw!D32</f>
        <v>Lexington VA</v>
      </c>
      <c r="E32" s="251">
        <f>Raw!E32</f>
        <v>39524</v>
      </c>
      <c r="F32" s="250" t="str">
        <f>Raw!F32</f>
        <v>Viking Age</v>
      </c>
      <c r="G32" s="250" t="str">
        <f>Raw!G32</f>
        <v>N</v>
      </c>
      <c r="H32" s="250" t="str">
        <f>Raw!H32</f>
        <v/>
      </c>
      <c r="I32" s="250" t="str">
        <f>Raw!I32</f>
        <v>medium shaft</v>
      </c>
      <c r="J32" s="250" t="str">
        <f>Raw!J32</f>
        <v>clay / sand</v>
      </c>
      <c r="K32" s="250" t="str">
        <f>if(isblank(Raw!K32),"",if(Raw!K32&gt;1,concatenate("Use ",Raw!K32," of Expt ",Raw!L32),"Use 1"))</f>
        <v>Use 3 of Expt 29</v>
      </c>
      <c r="L32" s="250" t="str">
        <f>Raw!M32</f>
        <v>Circle</v>
      </c>
      <c r="M32" s="250" t="str">
        <f>Raw!N32</f>
        <v>cylinder</v>
      </c>
      <c r="N32" s="250">
        <f>Raw!O32</f>
        <v>105</v>
      </c>
      <c r="O32" s="250">
        <f>Raw!S32</f>
        <v>58</v>
      </c>
      <c r="P32" s="252" t="str">
        <f>Raw!T32</f>
        <v>60 to 43</v>
      </c>
      <c r="Q32" s="239">
        <f>if(L32="Rectangle",concatenate(Raw!U32," x ",Raw!V32),if(L32="Oval",concatenate(Raw!U32," by ",Raw!V32),if(isnumber(Raw!V32),concatenate(Raw!U32," to ",Raw!V32),Raw!U32)))</f>
        <v>30</v>
      </c>
      <c r="R32" s="239" t="str">
        <f>if(AND(Raw!Z32="Y",isnumber(Raw!X32)),concatenate(Raw!X32," (E)"),Raw!X32)</f>
        <v/>
      </c>
      <c r="S32" s="241">
        <f>Calcs!B32</f>
        <v>706.9</v>
      </c>
      <c r="T32" s="252">
        <f>Raw!AB32</f>
        <v>7</v>
      </c>
      <c r="U32" s="252" t="str">
        <f>Raw!AC32</f>
        <v>25 x 28</v>
      </c>
      <c r="V32" s="252" t="str">
        <f>Raw!AD32</f>
        <v>plate &amp; hole</v>
      </c>
      <c r="W32" s="212" t="str">
        <f>concatenate(Raw!AE32,if(Raw!AF32="Y"," (T)",))</f>
        <v>4</v>
      </c>
      <c r="X32" s="212" t="str">
        <f>concatenate(Raw!AG32,if(isblank(Raw!AH32),"",concatenate(" ",Raw!AH32)),if(isblank(Raw!AI32),""," (E)"))</f>
        <v>22 Down</v>
      </c>
      <c r="Y32" s="212" t="str">
        <f>concatenate(Raw!AJ32,if(isblank(Raw!AK32),""," (E)"))</f>
        <v>-13.5</v>
      </c>
      <c r="Z32" s="252" t="str">
        <f>Raw!AL32</f>
        <v>charcoal fines</v>
      </c>
      <c r="AA32" s="212" t="str">
        <f>concatenate(Raw!AO32,if(Raw!AP32="Y"," (E)",))</f>
        <v>10</v>
      </c>
      <c r="AB32" s="252" t="str">
        <f>Raw!AQ32</f>
        <v>electric blower</v>
      </c>
      <c r="AC32" s="212" t="str">
        <f>concatenate(ifs(istext(Raw!AT32),Raw!AT32,AND(Raw!AT32&gt;0,isblank(Raw!AS32)),concatenate(Raw!AT32," (A)"),AND(Raw!AR32&gt;0,Raw!AS32&gt;0),concatenate(Raw!AR32," to ",Raw!AS32),1,Raw!AS32),ifs(Raw!AU32="Y-","- (E)",Raw!AU32="Y"," (E)",1,))</f>
        <v>NR</v>
      </c>
      <c r="AD32" s="253">
        <f>Raw!AW32</f>
        <v>848.28</v>
      </c>
      <c r="AE32" s="239" t="str">
        <f>concatenate(Raw!AX32,if(isblank(Raw!AZ32),"",concatenate("/",Raw!AZ32)),if(isblank(Raw!BB32),"",concatenate("/",Raw!BB32)),if(isblank(Raw!BD32),"",concatenate("/",Raw!BD32)),if(isblank(Raw!BF32),"",concatenate("/",Raw!BF32)),if(Raw!BK32&gt;0,if(isblank(Raw!AX32),"Gromps","/Gromps"),))</f>
        <v>Bratton's Run Goethite</v>
      </c>
      <c r="AF32" s="239" t="str">
        <f>concatenate(round(Raw!AY32,1),if(isblank(Raw!AZ32),"",concatenate("/",round(Raw!BA32,1))),if(isblank(Raw!BB32),"",concatenate("/",round(Raw!BC32,1))),if(isblank(Raw!BD32),"",concatenate("/",round(Raw!BE32,1))),if(isblank(Raw!BF32),"",concatenate("/",round(Raw!BG32,1))),if(isblank(Raw!BK32),,concatenate("/",if(isnumber(Raw!BK32),round(Raw!BK32,1),Raw!BK32))))</f>
        <v>59.5</v>
      </c>
      <c r="AG32" s="241">
        <f>Raw!BL32</f>
        <v>59.5</v>
      </c>
      <c r="AH32" s="254">
        <f>Raw!BI32</f>
        <v>0.4535109057</v>
      </c>
      <c r="AI32" s="255" t="str">
        <f>Raw!BJ32</f>
        <v>roasted</v>
      </c>
      <c r="AJ32" s="255" t="str">
        <f>Raw!BM32</f>
        <v/>
      </c>
      <c r="AK32" s="255" t="str">
        <f>Raw!BO32</f>
        <v>1 to 5</v>
      </c>
      <c r="AL32" s="256">
        <f>Raw!BV32</f>
        <v>5.382666667</v>
      </c>
      <c r="AM32" s="244" t="str">
        <f>if(ISNUMBER(Raw!BW32),concatenate(floor(Raw!BW32/60,1),":",MOD(Raw!BW32,60)),Raw!BW32)</f>
        <v>2:11</v>
      </c>
      <c r="AN32" s="256">
        <f>Raw!BX32</f>
        <v>68.18181818</v>
      </c>
      <c r="AO32" s="256">
        <f>Raw!BZ32</f>
        <v>11.39285714</v>
      </c>
      <c r="AP32" s="256">
        <f>Raw!CA32</f>
        <v>6.015428571</v>
      </c>
      <c r="AQ32" s="255" t="str">
        <f>Raw!CB32</f>
        <v>mixed hardwood</v>
      </c>
      <c r="AR32" s="255" t="str">
        <f>Raw!CC32</f>
        <v>home made</v>
      </c>
      <c r="AS32" s="244" t="str">
        <f>concatenate(floor(Raw!CE32/60,1),":",text(MOD(Raw!CE32,60),"00"),ifs(Raw!CF32="Y"," (E)", Raw!CF32="Y+"," +", isblank(Raw!CF32),""))</f>
        <v>5:19</v>
      </c>
      <c r="AT32" s="255" t="str">
        <f>Raw!CR32</f>
        <v>bottom</v>
      </c>
      <c r="AU32" s="256">
        <f>Raw!CS32</f>
        <v>7.7</v>
      </c>
      <c r="AV32" s="255" t="str">
        <f>Raw!CT32</f>
        <v>column</v>
      </c>
      <c r="AW32" s="246">
        <f>if(Raw!CW32&gt;0,Raw!CW32,"None")</f>
        <v>0.1294117647</v>
      </c>
      <c r="AX32" s="246">
        <f>if(Raw!CX32&gt;0,Raw!CX32,"None")</f>
        <v>0.2853553533</v>
      </c>
      <c r="AY32" s="255" t="str">
        <f>Raw!CY32</f>
        <v/>
      </c>
      <c r="AZ32" s="255" t="str">
        <f>Raw!CZ32</f>
        <v/>
      </c>
      <c r="BA32" s="255" t="str">
        <f>Raw!DA32</f>
        <v>based on Eindoven</v>
      </c>
      <c r="BB32" s="255" t="str">
        <f>Raw!DB32</f>
        <v>test of plate &amp; blow hole</v>
      </c>
      <c r="BC32" s="257" t="str">
        <f>Raw!DC32</f>
        <v>moving hole position</v>
      </c>
      <c r="BD32" s="248"/>
    </row>
    <row r="33">
      <c r="A33" s="249" t="str">
        <f>Raw!A33</f>
        <v>32 / D14</v>
      </c>
      <c r="B33" s="250" t="str">
        <f>Raw!B33</f>
        <v>DARC Dirt 2</v>
      </c>
      <c r="C33" s="250" t="str">
        <f>Raw!C33</f>
        <v>DARC</v>
      </c>
      <c r="D33" s="250" t="str">
        <f>Raw!D33</f>
        <v>Wareham ON</v>
      </c>
      <c r="E33" s="251">
        <f>Raw!E33</f>
        <v>39551</v>
      </c>
      <c r="F33" s="250" t="str">
        <f>Raw!F33</f>
        <v>modern</v>
      </c>
      <c r="G33" s="250" t="str">
        <f>Raw!G33</f>
        <v>N</v>
      </c>
      <c r="H33" s="250" t="str">
        <f>Raw!H33</f>
        <v/>
      </c>
      <c r="I33" s="250" t="str">
        <f>Raw!I33</f>
        <v>Econo Norse</v>
      </c>
      <c r="J33" s="250" t="str">
        <f>Raw!J33</f>
        <v>fire brick in can</v>
      </c>
      <c r="K33" s="250" t="str">
        <f>if(isblank(Raw!K33),"",if(Raw!K33&gt;1,concatenate("Use ",Raw!K33," of Expt ",Raw!L33),"Use 1"))</f>
        <v/>
      </c>
      <c r="L33" s="250" t="str">
        <f>Raw!M33</f>
        <v>Hexagon</v>
      </c>
      <c r="M33" s="250" t="str">
        <f>Raw!N33</f>
        <v>cylinder</v>
      </c>
      <c r="N33" s="250">
        <f>Raw!O33</f>
        <v>70</v>
      </c>
      <c r="O33" s="250">
        <f>Raw!S33</f>
        <v>45</v>
      </c>
      <c r="P33" s="252">
        <f>Raw!T33</f>
        <v>35</v>
      </c>
      <c r="Q33" s="239">
        <f>if(L33="Rectangle",concatenate(Raw!U33," x ",Raw!V33),if(L33="Oval",concatenate(Raw!U33," by ",Raw!V33),if(isnumber(Raw!V33),concatenate(Raw!U33," to ",Raw!V33),Raw!U33)))</f>
        <v>20</v>
      </c>
      <c r="R33" s="239" t="str">
        <f>if(AND(Raw!Z33="Y",isnumber(Raw!X33)),concatenate(Raw!X33," (E)"),Raw!X33)</f>
        <v/>
      </c>
      <c r="S33" s="241">
        <f>Calcs!B33</f>
        <v>346.4</v>
      </c>
      <c r="T33" s="252" t="str">
        <f>Raw!AB33</f>
        <v>7.5 hexigon</v>
      </c>
      <c r="U33" s="252" t="str">
        <f>Raw!AC33</f>
        <v>23 x 20</v>
      </c>
      <c r="V33" s="252" t="str">
        <f>Raw!AD33</f>
        <v>ceramic tube</v>
      </c>
      <c r="W33" s="212" t="str">
        <f>concatenate(Raw!AE33,if(Raw!AF33="Y"," (T)",))</f>
        <v>2.5</v>
      </c>
      <c r="X33" s="212" t="str">
        <f>concatenate(Raw!AG33,if(isblank(Raw!AH33),"",concatenate(" ",Raw!AH33)),if(isblank(Raw!AI33),""," (E)"))</f>
        <v>20 Down</v>
      </c>
      <c r="Y33" s="212" t="str">
        <f>concatenate(Raw!AJ33,if(isblank(Raw!AK33),""," (E)"))</f>
        <v>5</v>
      </c>
      <c r="Z33" s="252" t="str">
        <f>Raw!AL33</f>
        <v>charcoal fines</v>
      </c>
      <c r="AA33" s="212" t="str">
        <f>concatenate(Raw!AO33,if(Raw!AP33="Y"," (E)",))</f>
        <v>15</v>
      </c>
      <c r="AB33" s="252" t="str">
        <f>Raw!AQ33</f>
        <v>electric blower</v>
      </c>
      <c r="AC33" s="212" t="str">
        <f>concatenate(ifs(istext(Raw!AT33),Raw!AT33,AND(Raw!AT33&gt;0,isblank(Raw!AS33)),concatenate(Raw!AT33," (A)"),AND(Raw!AR33&gt;0,Raw!AS33&gt;0),concatenate(Raw!AR33," to ",Raw!AS33),1,Raw!AS33),ifs(Raw!AU33="Y-","- (E)",Raw!AU33="Y"," (E)",1,))</f>
        <v>365 to 450</v>
      </c>
      <c r="AD33" s="253">
        <f>Raw!AW33</f>
        <v>415.68</v>
      </c>
      <c r="AE33" s="239" t="str">
        <f>concatenate(Raw!AX33,if(isblank(Raw!AZ33),"",concatenate("/",Raw!AZ33)),if(isblank(Raw!BB33),"",concatenate("/",Raw!BB33)),if(isblank(Raw!BD33),"",concatenate("/",Raw!BD33)),if(isblank(Raw!BF33),"",concatenate("/",Raw!BF33)),if(Raw!BK33&gt;0,if(isblank(Raw!AX33),"Gromps","/Gromps"),))</f>
        <v>DD1S</v>
      </c>
      <c r="AF33" s="239" t="str">
        <f>concatenate(round(Raw!AY33,1),if(isblank(Raw!AZ33),"",concatenate("/",round(Raw!BA33,1))),if(isblank(Raw!BB33),"",concatenate("/",round(Raw!BC33,1))),if(isblank(Raw!BD33),"",concatenate("/",round(Raw!BE33,1))),if(isblank(Raw!BF33),"",concatenate("/",round(Raw!BG33,1))),if(isblank(Raw!BK33),,concatenate("/",if(isnumber(Raw!BK33),round(Raw!BK33,1),Raw!BK33))))</f>
        <v>18</v>
      </c>
      <c r="AG33" s="241">
        <f>Raw!BL33</f>
        <v>18</v>
      </c>
      <c r="AH33" s="254">
        <f>Raw!BI33</f>
        <v>0.4984213344</v>
      </c>
      <c r="AI33" s="255" t="str">
        <f>Raw!BJ33</f>
        <v/>
      </c>
      <c r="AJ33" s="255" t="str">
        <f>Raw!BM33</f>
        <v/>
      </c>
      <c r="AK33" s="255" t="str">
        <f>Raw!BO33</f>
        <v>all to 25</v>
      </c>
      <c r="AL33" s="256">
        <f>Raw!BV33</f>
        <v>8.088235294</v>
      </c>
      <c r="AM33" s="244" t="str">
        <f>if(ISNUMBER(Raw!BW33),concatenate(floor(Raw!BW33/60,1),":",MOD(Raw!BW33,60)),Raw!BW33)</f>
        <v>1:25</v>
      </c>
      <c r="AN33" s="255">
        <f>Raw!BX33</f>
        <v>34</v>
      </c>
      <c r="AO33" s="256">
        <f>Raw!BZ33</f>
        <v>14.1</v>
      </c>
      <c r="AP33" s="256">
        <f>Raw!CA33</f>
        <v>7.05</v>
      </c>
      <c r="AQ33" s="255" t="str">
        <f>Raw!CB33</f>
        <v>oak - hickory</v>
      </c>
      <c r="AR33" s="255" t="str">
        <f>Raw!CC33</f>
        <v>Black Diamond</v>
      </c>
      <c r="AS33" s="244" t="str">
        <f>concatenate(floor(Raw!CE33/60,1),":",text(MOD(Raw!CE33,60),"00"),ifs(Raw!CF33="Y"," (E)", Raw!CF33="Y+"," +", isblank(Raw!CF33),""))</f>
        <v>2:21</v>
      </c>
      <c r="AT33" s="255" t="str">
        <f>Raw!CR33</f>
        <v>bottom</v>
      </c>
      <c r="AU33" s="256">
        <f>Raw!CS33</f>
        <v>2</v>
      </c>
      <c r="AV33" s="255" t="str">
        <f>Raw!CT33</f>
        <v>workable</v>
      </c>
      <c r="AW33" s="246">
        <f>if(Raw!CW33&gt;0,Raw!CW33,"None")</f>
        <v>0.1111111111</v>
      </c>
      <c r="AX33" s="246">
        <f>if(Raw!CX33&gt;0,Raw!CX33,"None")</f>
        <v>0.2229260737</v>
      </c>
      <c r="AY33" s="255" t="str">
        <f>Raw!CY33</f>
        <v/>
      </c>
      <c r="AZ33" s="255" t="str">
        <f>Raw!CZ33</f>
        <v/>
      </c>
      <c r="BA33" s="255" t="str">
        <f>Raw!DA33</f>
        <v>established design</v>
      </c>
      <c r="BB33" s="255" t="str">
        <f>Raw!DB33</f>
        <v>test of furnace</v>
      </c>
      <c r="BC33" s="257" t="str">
        <f>Raw!DC33</f>
        <v>good function of smaller transportable unit</v>
      </c>
      <c r="BD33" s="248"/>
    </row>
    <row r="34">
      <c r="A34" s="249">
        <f>Raw!A34</f>
        <v>33</v>
      </c>
      <c r="B34" s="250" t="str">
        <f>Raw!B34</f>
        <v>2 Stage test A</v>
      </c>
      <c r="C34" s="250" t="str">
        <f>Raw!C34</f>
        <v>Espelund</v>
      </c>
      <c r="D34" s="250" t="str">
        <f>Raw!D34</f>
        <v>Heltborg DK</v>
      </c>
      <c r="E34" s="251">
        <f>Raw!E34</f>
        <v>39568</v>
      </c>
      <c r="F34" s="250" t="str">
        <f>Raw!F34</f>
        <v>Norway</v>
      </c>
      <c r="G34" s="250" t="str">
        <f>Raw!G34</f>
        <v>N</v>
      </c>
      <c r="H34" s="250" t="str">
        <f>Raw!H34</f>
        <v/>
      </c>
      <c r="I34" s="250" t="str">
        <f>Raw!I34</f>
        <v>modified medium shaft</v>
      </c>
      <c r="J34" s="250" t="str">
        <f>Raw!J34</f>
        <v>clay / sand</v>
      </c>
      <c r="K34" s="250" t="str">
        <f>if(isblank(Raw!K34),"",if(Raw!K34&gt;1,concatenate("Use ",Raw!K34," of Expt ",Raw!L34),"Use 1"))</f>
        <v>Use 1</v>
      </c>
      <c r="L34" s="250" t="str">
        <f>Raw!M34</f>
        <v>Circle</v>
      </c>
      <c r="M34" s="250" t="str">
        <f>Raw!N34</f>
        <v>cylinder</v>
      </c>
      <c r="N34" s="250">
        <f>Raw!O34</f>
        <v>55</v>
      </c>
      <c r="O34" s="250">
        <f>Raw!S34</f>
        <v>30</v>
      </c>
      <c r="P34" s="252" t="str">
        <f>Raw!T34</f>
        <v>NR</v>
      </c>
      <c r="Q34" s="239">
        <f>if(L34="Rectangle",concatenate(Raw!U34," x ",Raw!V34),if(L34="Oval",concatenate(Raw!U34," by ",Raw!V34),if(isnumber(Raw!V34),concatenate(Raw!U34," to ",Raw!V34),Raw!U34)))</f>
        <v>25</v>
      </c>
      <c r="R34" s="239" t="str">
        <f>if(AND(Raw!Z34="Y",isnumber(Raw!X34)),concatenate(Raw!X34," (E)"),Raw!X34)</f>
        <v/>
      </c>
      <c r="S34" s="241">
        <f>Calcs!B34</f>
        <v>490.9</v>
      </c>
      <c r="T34" s="252" t="str">
        <f>Raw!AB34</f>
        <v>NR</v>
      </c>
      <c r="U34" s="252" t="str">
        <f>Raw!AC34</f>
        <v>20 x 30</v>
      </c>
      <c r="V34" s="252" t="str">
        <f>Raw!AD34</f>
        <v>steel pipe</v>
      </c>
      <c r="W34" s="212" t="str">
        <f>concatenate(Raw!AE34,if(Raw!AF34="Y"," (T)",))</f>
        <v>2 (T)</v>
      </c>
      <c r="X34" s="212" t="str">
        <f>concatenate(Raw!AG34,if(isblank(Raw!AH34),"",concatenate(" ",Raw!AH34)),if(isblank(Raw!AI34),""," (E)"))</f>
        <v>20 Down</v>
      </c>
      <c r="Y34" s="212" t="str">
        <f>concatenate(Raw!AJ34,if(isblank(Raw!AK34),""," (E)"))</f>
        <v>0</v>
      </c>
      <c r="Z34" s="252" t="str">
        <f>Raw!AL34</f>
        <v>ash &amp; charcoal</v>
      </c>
      <c r="AA34" s="212" t="str">
        <f>concatenate(Raw!AO34,if(Raw!AP34="Y"," (E)",))</f>
        <v>NR</v>
      </c>
      <c r="AB34" s="252" t="str">
        <f>Raw!AQ34</f>
        <v>danish vacuum</v>
      </c>
      <c r="AC34" s="212" t="str">
        <f>concatenate(ifs(istext(Raw!AT34),Raw!AT34,AND(Raw!AT34&gt;0,isblank(Raw!AS34)),concatenate(Raw!AT34," (A)"),AND(Raw!AR34&gt;0,Raw!AS34&gt;0),concatenate(Raw!AR34," to ",Raw!AS34),1,Raw!AS34),ifs(Raw!AU34="Y-","- (E)",Raw!AU34="Y"," (E)",1,))</f>
        <v>1000</v>
      </c>
      <c r="AD34" s="253">
        <f>Raw!AW34</f>
        <v>589.08</v>
      </c>
      <c r="AE34" s="239" t="str">
        <f>concatenate(Raw!AX34,if(isblank(Raw!AZ34),"",concatenate("/",Raw!AZ34)),if(isblank(Raw!BB34),"",concatenate("/",Raw!BB34)),if(isblank(Raw!BD34),"",concatenate("/",Raw!BD34)),if(isblank(Raw!BF34),"",concatenate("/",Raw!BF34)),if(Raw!BK34&gt;0,if(isblank(Raw!AX34),"Gromps","/Gromps"),))</f>
        <v>Guldager Bog Ore</v>
      </c>
      <c r="AF34" s="239" t="str">
        <f>concatenate(round(Raw!AY34,1),if(isblank(Raw!AZ34),"",concatenate("/",round(Raw!BA34,1))),if(isblank(Raw!BB34),"",concatenate("/",round(Raw!BC34,1))),if(isblank(Raw!BD34),"",concatenate("/",round(Raw!BE34,1))),if(isblank(Raw!BF34),"",concatenate("/",round(Raw!BG34,1))),if(isblank(Raw!BK34),,concatenate("/",if(isnumber(Raw!BK34),round(Raw!BK34,1),Raw!BK34))))</f>
        <v>15</v>
      </c>
      <c r="AG34" s="241">
        <f>Raw!BL34</f>
        <v>13</v>
      </c>
      <c r="AH34" s="254">
        <f>Raw!BI34</f>
        <v>0.6415932177</v>
      </c>
      <c r="AI34" s="255" t="str">
        <f>Raw!BJ34</f>
        <v/>
      </c>
      <c r="AJ34" s="255" t="str">
        <f>Raw!BM34</f>
        <v/>
      </c>
      <c r="AK34" s="255" t="str">
        <f>Raw!BO34</f>
        <v>1 to 20</v>
      </c>
      <c r="AL34" s="256" t="str">
        <f>Raw!BV34</f>
        <v>NR</v>
      </c>
      <c r="AM34" s="244" t="str">
        <f>if(ISNUMBER(Raw!BW34),concatenate(floor(Raw!BW34/60,1),":",MOD(Raw!BW34,60)),Raw!BW34)</f>
        <v>2:5</v>
      </c>
      <c r="AN34" s="255">
        <f>Raw!BX34</f>
        <v>27.5</v>
      </c>
      <c r="AO34" s="256">
        <f>Raw!BZ34</f>
        <v>10.5</v>
      </c>
      <c r="AP34" s="256">
        <f>Raw!CA34</f>
        <v>10.5</v>
      </c>
      <c r="AQ34" s="255" t="str">
        <f>Raw!CB34</f>
        <v>mixed hardwood</v>
      </c>
      <c r="AR34" s="255" t="str">
        <f>Raw!CC34</f>
        <v>Denmark</v>
      </c>
      <c r="AS34" s="244" t="str">
        <f>concatenate(floor(Raw!CE34/60,1),":",text(MOD(Raw!CE34,60),"00"),ifs(Raw!CF34="Y"," (E)", Raw!CF34="Y+"," +", isblank(Raw!CF34),""))</f>
        <v>1:03</v>
      </c>
      <c r="AT34" s="255" t="str">
        <f>Raw!CR34</f>
        <v>bottom</v>
      </c>
      <c r="AU34" s="256">
        <f>Raw!CS34</f>
        <v>0</v>
      </c>
      <c r="AV34" s="255" t="str">
        <f>Raw!CT34</f>
        <v>to iron rich slag</v>
      </c>
      <c r="AW34" s="246" t="str">
        <f>if(Raw!CW34&gt;0,Raw!CW34,"None")</f>
        <v>na</v>
      </c>
      <c r="AX34" s="246" t="str">
        <f>if(Raw!CX34&gt;0,Raw!CX34,"None")</f>
        <v>na</v>
      </c>
      <c r="AY34" s="255" t="str">
        <f>Raw!CY34</f>
        <v>intended step A</v>
      </c>
      <c r="AZ34" s="255" t="str">
        <f>Raw!CZ34</f>
        <v/>
      </c>
      <c r="BA34" s="255" t="str">
        <f>Raw!DA34</f>
        <v>Olesen's furnace</v>
      </c>
      <c r="BB34" s="255" t="str">
        <f>Raw!DB34</f>
        <v>Espelund theoretical</v>
      </c>
      <c r="BC34" s="257" t="str">
        <f>Raw!DC34</f>
        <v>slag produciton only</v>
      </c>
      <c r="BD34" s="248"/>
    </row>
    <row r="35">
      <c r="A35" s="249">
        <f>Raw!A35</f>
        <v>34</v>
      </c>
      <c r="B35" s="250" t="str">
        <f>Raw!B35</f>
        <v>2 stage test B</v>
      </c>
      <c r="C35" s="250" t="str">
        <f>Raw!C35</f>
        <v>Espelund</v>
      </c>
      <c r="D35" s="250" t="str">
        <f>Raw!D35</f>
        <v>Heltborg DK</v>
      </c>
      <c r="E35" s="251">
        <f>Raw!E35</f>
        <v>39570</v>
      </c>
      <c r="F35" s="250" t="str">
        <f>Raw!F35</f>
        <v>Norway</v>
      </c>
      <c r="G35" s="250" t="str">
        <f>Raw!G35</f>
        <v>N</v>
      </c>
      <c r="H35" s="250" t="str">
        <f>Raw!H35</f>
        <v/>
      </c>
      <c r="I35" s="250" t="str">
        <f>Raw!I35</f>
        <v>modified medium shaft</v>
      </c>
      <c r="J35" s="250" t="str">
        <f>Raw!J35</f>
        <v>clay / sand</v>
      </c>
      <c r="K35" s="250" t="str">
        <f>if(isblank(Raw!K35),"",if(Raw!K35&gt;1,concatenate("Use ",Raw!K35," of Expt ",Raw!L35),"Use 1"))</f>
        <v>Use 2 of Expt 33</v>
      </c>
      <c r="L35" s="250" t="str">
        <f>Raw!M35</f>
        <v>Circle</v>
      </c>
      <c r="M35" s="250" t="str">
        <f>Raw!N35</f>
        <v>cylinder</v>
      </c>
      <c r="N35" s="250">
        <f>Raw!O35</f>
        <v>70</v>
      </c>
      <c r="O35" s="250">
        <f>Raw!S35</f>
        <v>50</v>
      </c>
      <c r="P35" s="252" t="str">
        <f>Raw!T35</f>
        <v>NR</v>
      </c>
      <c r="Q35" s="239">
        <f>if(L35="Rectangle",concatenate(Raw!U35," x ",Raw!V35),if(L35="Oval",concatenate(Raw!U35," by ",Raw!V35),if(isnumber(Raw!V35),concatenate(Raw!U35," to ",Raw!V35),Raw!U35)))</f>
        <v>25</v>
      </c>
      <c r="R35" s="239" t="str">
        <f>if(AND(Raw!Z35="Y",isnumber(Raw!X35)),concatenate(Raw!X35," (E)"),Raw!X35)</f>
        <v/>
      </c>
      <c r="S35" s="241">
        <f>Calcs!B35</f>
        <v>490.9</v>
      </c>
      <c r="T35" s="252" t="str">
        <f>Raw!AB35</f>
        <v>NR</v>
      </c>
      <c r="U35" s="252" t="str">
        <f>Raw!AC35</f>
        <v>15 x 15</v>
      </c>
      <c r="V35" s="252" t="str">
        <f>Raw!AD35</f>
        <v>steel pipe</v>
      </c>
      <c r="W35" s="212" t="str">
        <f>concatenate(Raw!AE35,if(Raw!AF35="Y"," (T)",))</f>
        <v>2 (T)</v>
      </c>
      <c r="X35" s="212" t="str">
        <f>concatenate(Raw!AG35,if(isblank(Raw!AH35),"",concatenate(" ",Raw!AH35)),if(isblank(Raw!AI35),""," (E)"))</f>
        <v>20 Down</v>
      </c>
      <c r="Y35" s="212" t="str">
        <f>concatenate(Raw!AJ35,if(isblank(Raw!AK35),""," (E)"))</f>
        <v>0</v>
      </c>
      <c r="Z35" s="252" t="str">
        <f>Raw!AL35</f>
        <v>charcoal fines</v>
      </c>
      <c r="AA35" s="212" t="str">
        <f>concatenate(Raw!AO35,if(Raw!AP35="Y"," (E)",))</f>
        <v>10</v>
      </c>
      <c r="AB35" s="252" t="str">
        <f>Raw!AQ35</f>
        <v>danish vacuum</v>
      </c>
      <c r="AC35" s="212" t="str">
        <f>concatenate(ifs(istext(Raw!AT35),Raw!AT35,AND(Raw!AT35&gt;0,isblank(Raw!AS35)),concatenate(Raw!AT35," (A)"),AND(Raw!AR35&gt;0,Raw!AS35&gt;0),concatenate(Raw!AR35," to ",Raw!AS35),1,Raw!AS35),ifs(Raw!AU35="Y-","- (E)",Raw!AU35="Y"," (E)",1,))</f>
        <v>1000</v>
      </c>
      <c r="AD35" s="253">
        <f>Raw!AW35</f>
        <v>589.08</v>
      </c>
      <c r="AE35" s="239" t="str">
        <f>concatenate(Raw!AX35,if(isblank(Raw!AZ35),"",concatenate("/",Raw!AZ35)),if(isblank(Raw!BB35),"",concatenate("/",Raw!BB35)),if(isblank(Raw!BD35),"",concatenate("/",Raw!BD35)),if(isblank(Raw!BF35),"",concatenate("/",Raw!BF35)),if(Raw!BK35&gt;0,if(isblank(Raw!AX35),"Gromps","/Gromps"),))</f>
        <v>Iron Rich Slag</v>
      </c>
      <c r="AF35" s="239" t="str">
        <f>concatenate(round(Raw!AY35,1),if(isblank(Raw!AZ35),"",concatenate("/",round(Raw!BA35,1))),if(isblank(Raw!BB35),"",concatenate("/",round(Raw!BC35,1))),if(isblank(Raw!BD35),"",concatenate("/",round(Raw!BE35,1))),if(isblank(Raw!BF35),"",concatenate("/",round(Raw!BG35,1))),if(isblank(Raw!BK35),,concatenate("/",if(isnumber(Raw!BK35),round(Raw!BK35,1),Raw!BK35))))</f>
        <v>7.8</v>
      </c>
      <c r="AG35" s="241">
        <f>Raw!BL35</f>
        <v>7.75</v>
      </c>
      <c r="AH35" s="254" t="str">
        <f>Raw!BI35</f>
        <v>?</v>
      </c>
      <c r="AI35" s="255" t="str">
        <f>Raw!BJ35</f>
        <v/>
      </c>
      <c r="AJ35" s="255" t="str">
        <f>Raw!BM35</f>
        <v/>
      </c>
      <c r="AK35" s="255" t="str">
        <f>Raw!BO35</f>
        <v>1 to 5</v>
      </c>
      <c r="AL35" s="256">
        <f>Raw!BV35</f>
        <v>6.129032258</v>
      </c>
      <c r="AM35" s="244" t="str">
        <f>if(ISNUMBER(Raw!BW35),concatenate(floor(Raw!BW35/60,1),":",MOD(Raw!BW35,60)),Raw!BW35)</f>
        <v>1:10</v>
      </c>
      <c r="AN35" s="255">
        <f>Raw!BX35</f>
        <v>15.5</v>
      </c>
      <c r="AO35" s="256">
        <f>Raw!BZ35</f>
        <v>7</v>
      </c>
      <c r="AP35" s="256">
        <f>Raw!CA35</f>
        <v>7</v>
      </c>
      <c r="AQ35" s="255" t="str">
        <f>Raw!CB35</f>
        <v>mixed hardwood</v>
      </c>
      <c r="AR35" s="255" t="str">
        <f>Raw!CC35</f>
        <v>Denmark</v>
      </c>
      <c r="AS35" s="244" t="str">
        <f>concatenate(floor(Raw!CE35/60,1),":",text(MOD(Raw!CE35,60),"00"),ifs(Raw!CF35="Y"," (E)", Raw!CF35="Y+"," +", isblank(Raw!CF35),""))</f>
        <v>0:42</v>
      </c>
      <c r="AT35" s="255" t="str">
        <f>Raw!CR35</f>
        <v>bottom</v>
      </c>
      <c r="AU35" s="256">
        <f>Raw!CS35</f>
        <v>0</v>
      </c>
      <c r="AV35" s="255" t="str">
        <f>Raw!CT35</f>
        <v>gromps only</v>
      </c>
      <c r="AW35" s="246" t="str">
        <f>if(Raw!CW35&gt;0,Raw!CW35,"None")</f>
        <v>na</v>
      </c>
      <c r="AX35" s="246" t="str">
        <f>if(Raw!CX35&gt;0,Raw!CX35,"None")</f>
        <v>?</v>
      </c>
      <c r="AY35" s="255" t="str">
        <f>Raw!CY35</f>
        <v>complete sequence</v>
      </c>
      <c r="AZ35" s="255" t="str">
        <f>Raw!CZ35</f>
        <v/>
      </c>
      <c r="BA35" s="255" t="str">
        <f>Raw!DA35</f>
        <v>Olesen's furnace</v>
      </c>
      <c r="BB35" s="255" t="str">
        <f>Raw!DB35</f>
        <v>Espelund theoretical</v>
      </c>
      <c r="BC35" s="257" t="str">
        <f>Raw!DC35</f>
        <v>poor results - question method?</v>
      </c>
      <c r="BD35" s="248"/>
    </row>
    <row r="36">
      <c r="A36" s="249">
        <f>Raw!A36</f>
        <v>35</v>
      </c>
      <c r="B36" s="250" t="str">
        <f>Raw!B36</f>
        <v>method demo</v>
      </c>
      <c r="C36" s="250" t="str">
        <f>Raw!C36</f>
        <v/>
      </c>
      <c r="D36" s="250" t="str">
        <f>Raw!D36</f>
        <v>Heltborg DK</v>
      </c>
      <c r="E36" s="251">
        <f>Raw!E36</f>
        <v>39572</v>
      </c>
      <c r="F36" s="250" t="str">
        <f>Raw!F36</f>
        <v>Norway</v>
      </c>
      <c r="G36" s="250" t="str">
        <f>Raw!G36</f>
        <v>Y</v>
      </c>
      <c r="H36" s="250" t="str">
        <f>Raw!H36</f>
        <v/>
      </c>
      <c r="I36" s="250" t="str">
        <f>Raw!I36</f>
        <v>medium shaft</v>
      </c>
      <c r="J36" s="250" t="str">
        <f>Raw!J36</f>
        <v>clay / sand</v>
      </c>
      <c r="K36" s="250" t="str">
        <f>if(isblank(Raw!K36),"",if(Raw!K36&gt;1,concatenate("Use ",Raw!K36," of Expt ",Raw!L36),"Use 1"))</f>
        <v>Use 3 of Expt 33</v>
      </c>
      <c r="L36" s="250" t="str">
        <f>Raw!M36</f>
        <v>Circle</v>
      </c>
      <c r="M36" s="250" t="str">
        <f>Raw!N36</f>
        <v>cylinder</v>
      </c>
      <c r="N36" s="250">
        <f>Raw!O36</f>
        <v>110</v>
      </c>
      <c r="O36" s="250">
        <f>Raw!S36</f>
        <v>85</v>
      </c>
      <c r="P36" s="252" t="str">
        <f>Raw!T36</f>
        <v>NR</v>
      </c>
      <c r="Q36" s="239">
        <f>if(L36="Rectangle",concatenate(Raw!U36," x ",Raw!V36),if(L36="Oval",concatenate(Raw!U36," by ",Raw!V36),if(isnumber(Raw!V36),concatenate(Raw!U36," to ",Raw!V36),Raw!U36)))</f>
        <v>25</v>
      </c>
      <c r="R36" s="239" t="str">
        <f>if(AND(Raw!Z36="Y",isnumber(Raw!X36)),concatenate(Raw!X36," (E)"),Raw!X36)</f>
        <v/>
      </c>
      <c r="S36" s="241">
        <f>Calcs!B36</f>
        <v>490.9</v>
      </c>
      <c r="T36" s="252" t="str">
        <f>Raw!AB36</f>
        <v>NR</v>
      </c>
      <c r="U36" s="252" t="str">
        <f>Raw!AC36</f>
        <v>15 x 15</v>
      </c>
      <c r="V36" s="252" t="str">
        <f>Raw!AD36</f>
        <v>steel pipe</v>
      </c>
      <c r="W36" s="212" t="str">
        <f>concatenate(Raw!AE36,if(Raw!AF36="Y"," (T)",))</f>
        <v>2 (T)</v>
      </c>
      <c r="X36" s="212" t="str">
        <f>concatenate(Raw!AG36,if(isblank(Raw!AH36),"",concatenate(" ",Raw!AH36)),if(isblank(Raw!AI36),""," (E)"))</f>
        <v>23 Down</v>
      </c>
      <c r="Y36" s="212" t="str">
        <f>concatenate(Raw!AJ36,if(isblank(Raw!AK36),""," (E)"))</f>
        <v>0</v>
      </c>
      <c r="Z36" s="252" t="str">
        <f>Raw!AL36</f>
        <v>charcoal fines</v>
      </c>
      <c r="AA36" s="212" t="str">
        <f>concatenate(Raw!AO36,if(Raw!AP36="Y"," (E)",))</f>
        <v>10</v>
      </c>
      <c r="AB36" s="252" t="str">
        <f>Raw!AQ36</f>
        <v>danish vacuum</v>
      </c>
      <c r="AC36" s="212" t="str">
        <f>concatenate(ifs(istext(Raw!AT36),Raw!AT36,AND(Raw!AT36&gt;0,isblank(Raw!AS36)),concatenate(Raw!AT36," (A)"),AND(Raw!AR36&gt;0,Raw!AS36&gt;0),concatenate(Raw!AR36," to ",Raw!AS36),1,Raw!AS36),ifs(Raw!AU36="Y-","- (E)",Raw!AU36="Y"," (E)",1,))</f>
        <v>1000</v>
      </c>
      <c r="AD36" s="253">
        <f>Raw!AW36</f>
        <v>589.08</v>
      </c>
      <c r="AE36" s="239" t="str">
        <f>concatenate(Raw!AX36,if(isblank(Raw!AZ36),"",concatenate("/",Raw!AZ36)),if(isblank(Raw!BB36),"",concatenate("/",Raw!BB36)),if(isblank(Raw!BD36),"",concatenate("/",Raw!BD36)),if(isblank(Raw!BF36),"",concatenate("/",Raw!BF36)),if(Raw!BK36&gt;0,if(isblank(Raw!AX36),"Gromps","/Gromps"),))</f>
        <v>Heltborg Bog Ore/Swedish Bog Ore/Guldager Bog Ore</v>
      </c>
      <c r="AF36" s="239" t="str">
        <f>concatenate(round(Raw!AY36,1),if(isblank(Raw!AZ36),"",concatenate("/",round(Raw!BA36,1))),if(isblank(Raw!BB36),"",concatenate("/",round(Raw!BC36,1))),if(isblank(Raw!BD36),"",concatenate("/",round(Raw!BE36,1))),if(isblank(Raw!BF36),"",concatenate("/",round(Raw!BG36,1))),if(isblank(Raw!BK36),,concatenate("/",if(isnumber(Raw!BK36),round(Raw!BK36,1),Raw!BK36))))</f>
        <v>8.2/5.2/1.8</v>
      </c>
      <c r="AG36" s="241">
        <f>Raw!BL36</f>
        <v>15.2</v>
      </c>
      <c r="AH36" s="254" t="str">
        <f>Raw!BI36</f>
        <v>?</v>
      </c>
      <c r="AI36" s="255" t="str">
        <f>Raw!BJ36</f>
        <v/>
      </c>
      <c r="AJ36" s="255" t="str">
        <f>Raw!BM36</f>
        <v/>
      </c>
      <c r="AK36" s="255" t="str">
        <f>Raw!BO36</f>
        <v>varies - fine</v>
      </c>
      <c r="AL36" s="256">
        <f>Raw!BV36</f>
        <v>7.516129032</v>
      </c>
      <c r="AM36" s="244" t="str">
        <f>if(ISNUMBER(Raw!BW36),concatenate(floor(Raw!BW36/60,1),":",MOD(Raw!BW36,60)),Raw!BW36)</f>
        <v>2:0</v>
      </c>
      <c r="AN36" s="255">
        <f>Raw!BX36</f>
        <v>31</v>
      </c>
      <c r="AO36" s="256">
        <f>Raw!BZ36</f>
        <v>11.84615385</v>
      </c>
      <c r="AP36" s="256">
        <f>Raw!CA36</f>
        <v>11.84615385</v>
      </c>
      <c r="AQ36" s="255" t="str">
        <f>Raw!CB36</f>
        <v>mixed hardwood</v>
      </c>
      <c r="AR36" s="255" t="str">
        <f>Raw!CC36</f>
        <v>Denmark</v>
      </c>
      <c r="AS36" s="244" t="str">
        <f>concatenate(floor(Raw!CE36/60,1),":",text(MOD(Raw!CE36,60),"00"),ifs(Raw!CF36="Y"," (E)", Raw!CF36="Y+"," +", isblank(Raw!CF36),""))</f>
        <v>2:34</v>
      </c>
      <c r="AT36" s="255" t="str">
        <f>Raw!CR36</f>
        <v>cold</v>
      </c>
      <c r="AU36" s="256">
        <f>Raw!CS36</f>
        <v>1.8</v>
      </c>
      <c r="AV36" s="255" t="str">
        <f>Raw!CT36</f>
        <v>lacy</v>
      </c>
      <c r="AW36" s="246">
        <f>if(Raw!CW36&gt;0,Raw!CW36,"None")</f>
        <v>0.1184210526</v>
      </c>
      <c r="AX36" s="246" t="str">
        <f>if(Raw!CX36&gt;0,Raw!CX36,"None")</f>
        <v>?</v>
      </c>
      <c r="AY36" s="255" t="str">
        <f>Raw!CY36</f>
        <v/>
      </c>
      <c r="AZ36" s="255" t="str">
        <f>Raw!CZ36</f>
        <v/>
      </c>
      <c r="BA36" s="255" t="str">
        <f>Raw!DA36</f>
        <v>Olesen's furnace modified</v>
      </c>
      <c r="BB36" s="255" t="str">
        <f>Raw!DB36</f>
        <v>demonstration of developed methods</v>
      </c>
      <c r="BC36" s="257" t="str">
        <f>Raw!DC36</f>
        <v>less than good result, ore quality?</v>
      </c>
      <c r="BD36" s="248"/>
    </row>
    <row r="37">
      <c r="A37" s="249" t="str">
        <f>Raw!A37</f>
        <v>36 / D15</v>
      </c>
      <c r="B37" s="250" t="str">
        <f>Raw!B37</f>
        <v>DARC Dirt 3</v>
      </c>
      <c r="C37" s="250" t="str">
        <f>Raw!C37</f>
        <v>DARC</v>
      </c>
      <c r="D37" s="250" t="str">
        <f>Raw!D37</f>
        <v>Wareham ON</v>
      </c>
      <c r="E37" s="251">
        <f>Raw!E37</f>
        <v>39613</v>
      </c>
      <c r="F37" s="250" t="str">
        <f>Raw!F37</f>
        <v>Viking Age</v>
      </c>
      <c r="G37" s="250" t="str">
        <f>Raw!G37</f>
        <v>N</v>
      </c>
      <c r="H37" s="250" t="str">
        <f>Raw!H37</f>
        <v/>
      </c>
      <c r="I37" s="250" t="str">
        <f>Raw!I37</f>
        <v>half banked short shaft on brick</v>
      </c>
      <c r="J37" s="250" t="str">
        <f>Raw!J37</f>
        <v>straw cobb</v>
      </c>
      <c r="K37" s="250" t="str">
        <f>if(isblank(Raw!K37),"",if(Raw!K37&gt;1,concatenate("Use ",Raw!K37," of Expt ",Raw!L37),"Use 1"))</f>
        <v/>
      </c>
      <c r="L37" s="250" t="str">
        <f>Raw!M37</f>
        <v>Oval</v>
      </c>
      <c r="M37" s="250" t="str">
        <f>Raw!N37</f>
        <v>cylinder</v>
      </c>
      <c r="N37" s="250">
        <f>Raw!O37</f>
        <v>65</v>
      </c>
      <c r="O37" s="250">
        <f>Raw!S37</f>
        <v>47</v>
      </c>
      <c r="P37" s="252" t="str">
        <f>Raw!T37</f>
        <v>NR</v>
      </c>
      <c r="Q37" s="239" t="str">
        <f>if(L37="Rectangle",concatenate(Raw!U37," x ",Raw!V37),if(L37="Oval",concatenate(Raw!U37," by ",Raw!V37),if(isnumber(Raw!V37),concatenate(Raw!U37," to ",Raw!V37),Raw!U37)))</f>
        <v>26 by 23</v>
      </c>
      <c r="R37" s="239" t="str">
        <f>if(AND(Raw!Z37="Y",isnumber(Raw!X37)),concatenate(Raw!X37," (E)"),Raw!X37)</f>
        <v/>
      </c>
      <c r="S37" s="241">
        <f>Calcs!B37</f>
        <v>469.7</v>
      </c>
      <c r="T37" s="252" t="str">
        <f>Raw!AB37</f>
        <v>NR</v>
      </c>
      <c r="U37" s="252" t="str">
        <f>Raw!AC37</f>
        <v>20 x 25 E</v>
      </c>
      <c r="V37" s="252" t="str">
        <f>Raw!AD37</f>
        <v>ceramic tube</v>
      </c>
      <c r="W37" s="212" t="str">
        <f>concatenate(Raw!AE37,if(Raw!AF37="Y"," (T)",))</f>
        <v>2.5</v>
      </c>
      <c r="X37" s="212" t="str">
        <f>concatenate(Raw!AG37,if(isblank(Raw!AH37),"",concatenate(" ",Raw!AH37)),if(isblank(Raw!AI37),""," (E)"))</f>
        <v>23.5 Down</v>
      </c>
      <c r="Y37" s="212" t="str">
        <f>concatenate(Raw!AJ37,if(isblank(Raw!AK37),""," (E)"))</f>
        <v>3.5</v>
      </c>
      <c r="Z37" s="252" t="str">
        <f>Raw!AL37</f>
        <v>natural</v>
      </c>
      <c r="AA37" s="212" t="str">
        <f>concatenate(Raw!AO37,if(Raw!AP37="Y"," (E)",))</f>
        <v>11 (E)</v>
      </c>
      <c r="AB37" s="252" t="str">
        <f>Raw!AQ37</f>
        <v>electric blower</v>
      </c>
      <c r="AC37" s="212" t="str">
        <f>concatenate(ifs(istext(Raw!AT37),Raw!AT37,AND(Raw!AT37&gt;0,isblank(Raw!AS37)),concatenate(Raw!AT37," (A)"),AND(Raw!AR37&gt;0,Raw!AS37&gt;0),concatenate(Raw!AR37," to ",Raw!AS37),1,Raw!AS37),ifs(Raw!AU37="Y-","- (E)",Raw!AU37="Y"," (E)",1,))</f>
        <v>660 to 780</v>
      </c>
      <c r="AD37" s="253">
        <f>Raw!AW37</f>
        <v>563.64</v>
      </c>
      <c r="AE37" s="239" t="str">
        <f>concatenate(Raw!AX37,if(isblank(Raw!AZ37),"",concatenate("/",Raw!AZ37)),if(isblank(Raw!BB37),"",concatenate("/",Raw!BB37)),if(isblank(Raw!BD37),"",concatenate("/",Raw!BD37)),if(isblank(Raw!BF37),"",concatenate("/",Raw!BF37)),if(Raw!BK37&gt;0,if(isblank(Raw!AX37),"Gromps","/Gromps"),))</f>
        <v>DD1S</v>
      </c>
      <c r="AF37" s="239" t="str">
        <f>concatenate(round(Raw!AY37,1),if(isblank(Raw!AZ37),"",concatenate("/",round(Raw!BA37,1))),if(isblank(Raw!BB37),"",concatenate("/",round(Raw!BC37,1))),if(isblank(Raw!BD37),"",concatenate("/",round(Raw!BE37,1))),if(isblank(Raw!BF37),"",concatenate("/",round(Raw!BG37,1))),if(isblank(Raw!BK37),,concatenate("/",if(isnumber(Raw!BK37),round(Raw!BK37,1),Raw!BK37))))</f>
        <v>20</v>
      </c>
      <c r="AG37" s="241">
        <f>Raw!BL37</f>
        <v>20</v>
      </c>
      <c r="AH37" s="254">
        <f>Raw!BI37</f>
        <v>0.4984213344</v>
      </c>
      <c r="AI37" s="255" t="str">
        <f>Raw!BJ37</f>
        <v>raw</v>
      </c>
      <c r="AJ37" s="255" t="str">
        <f>Raw!BM37</f>
        <v/>
      </c>
      <c r="AK37" s="255" t="str">
        <f>Raw!BO37</f>
        <v>5 to 25</v>
      </c>
      <c r="AL37" s="256">
        <f>Raw!BV37</f>
        <v>5.347593583</v>
      </c>
      <c r="AM37" s="244" t="str">
        <f>if(ISNUMBER(Raw!BW37),concatenate(floor(Raw!BW37/60,1),":",MOD(Raw!BW37,60)),Raw!BW37)</f>
        <v>2:20</v>
      </c>
      <c r="AN37" s="255">
        <f>Raw!BX37</f>
        <v>37.4</v>
      </c>
      <c r="AO37" s="256">
        <f>Raw!BZ37</f>
        <v>10.09090909</v>
      </c>
      <c r="AP37" s="256">
        <f>Raw!CA37</f>
        <v>5.873015873</v>
      </c>
      <c r="AQ37" s="255" t="str">
        <f>Raw!CB37</f>
        <v>? hardwood</v>
      </c>
      <c r="AR37" s="255" t="str">
        <f>Raw!CC37</f>
        <v>NR</v>
      </c>
      <c r="AS37" s="244" t="str">
        <f>concatenate(floor(Raw!CE37/60,1),":",text(MOD(Raw!CE37,60),"00"),ifs(Raw!CF37="Y"," (E)", Raw!CF37="Y+"," +", isblank(Raw!CF37),""))</f>
        <v>1:51</v>
      </c>
      <c r="AT37" s="255" t="str">
        <f>Raw!CR37</f>
        <v>bottom</v>
      </c>
      <c r="AU37" s="256">
        <f>Raw!CS37</f>
        <v>1.9</v>
      </c>
      <c r="AV37" s="255" t="str">
        <f>Raw!CT37</f>
        <v>crumbly</v>
      </c>
      <c r="AW37" s="246">
        <f>if(Raw!CW37&gt;0,Raw!CW37,"None")</f>
        <v>0.095</v>
      </c>
      <c r="AX37" s="246">
        <f>if(Raw!CX37&gt;0,Raw!CX37,"None")</f>
        <v>0.190601793</v>
      </c>
      <c r="AY37" s="255" t="str">
        <f>Raw!CY37</f>
        <v>good</v>
      </c>
      <c r="AZ37" s="255" t="str">
        <f>Raw!CZ37</f>
        <v/>
      </c>
      <c r="BA37" s="255" t="str">
        <f>Raw!DA37</f>
        <v>established design</v>
      </c>
      <c r="BB37" s="255" t="str">
        <f>Raw!DB37</f>
        <v>ore test in proven furnace</v>
      </c>
      <c r="BC37" s="257" t="str">
        <f>Raw!DC37</f>
        <v>3 x consolidation cycles</v>
      </c>
      <c r="BD37" s="248"/>
    </row>
    <row r="38">
      <c r="A38" s="249">
        <f>Raw!A38</f>
        <v>37</v>
      </c>
      <c r="B38" s="250" t="str">
        <f>Raw!B38</f>
        <v>Quad State demo</v>
      </c>
      <c r="C38" s="250" t="str">
        <f>Raw!C38</f>
        <v>Cook</v>
      </c>
      <c r="D38" s="250" t="str">
        <f>Raw!D38</f>
        <v>Troy OH</v>
      </c>
      <c r="E38" s="251">
        <f>Raw!E38</f>
        <v>39718</v>
      </c>
      <c r="F38" s="250" t="str">
        <f>Raw!F38</f>
        <v>Viking Age</v>
      </c>
      <c r="G38" s="250" t="str">
        <f>Raw!G38</f>
        <v>Y</v>
      </c>
      <c r="H38" s="250" t="str">
        <f>Raw!H38</f>
        <v/>
      </c>
      <c r="I38" s="250" t="str">
        <f>Raw!I38</f>
        <v>short shaft on block</v>
      </c>
      <c r="J38" s="250" t="str">
        <f>Raw!J38</f>
        <v>NR clay</v>
      </c>
      <c r="K38" s="250" t="str">
        <f>if(isblank(Raw!K38),"",if(Raw!K38&gt;1,concatenate("Use ",Raw!K38," of Expt ",Raw!L38),"Use 1"))</f>
        <v/>
      </c>
      <c r="L38" s="250" t="str">
        <f>Raw!M38</f>
        <v>Circle</v>
      </c>
      <c r="M38" s="250" t="str">
        <f>Raw!N38</f>
        <v>cylinder</v>
      </c>
      <c r="N38" s="250">
        <f>Raw!O38</f>
        <v>85</v>
      </c>
      <c r="O38" s="250">
        <f>Raw!S38</f>
        <v>45</v>
      </c>
      <c r="P38" s="252" t="str">
        <f>Raw!T38</f>
        <v>NR</v>
      </c>
      <c r="Q38" s="239">
        <f>if(L38="Rectangle",concatenate(Raw!U38," x ",Raw!V38),if(L38="Oval",concatenate(Raw!U38," by ",Raw!V38),if(isnumber(Raw!V38),concatenate(Raw!U38," to ",Raw!V38),Raw!U38)))</f>
        <v>25</v>
      </c>
      <c r="R38" s="239" t="str">
        <f>if(AND(Raw!Z38="Y",isnumber(Raw!X38)),concatenate(Raw!X38," (E)"),Raw!X38)</f>
        <v/>
      </c>
      <c r="S38" s="241">
        <f>Calcs!B38</f>
        <v>490.9</v>
      </c>
      <c r="T38" s="252" t="str">
        <f>Raw!AB38</f>
        <v>NR</v>
      </c>
      <c r="U38" s="252" t="str">
        <f>Raw!AC38</f>
        <v>none</v>
      </c>
      <c r="V38" s="252" t="str">
        <f>Raw!AD38</f>
        <v>ceramic tube</v>
      </c>
      <c r="W38" s="212" t="str">
        <f>concatenate(Raw!AE38,if(Raw!AF38="Y"," (T)",))</f>
        <v>2.5</v>
      </c>
      <c r="X38" s="212" t="str">
        <f>concatenate(Raw!AG38,if(isblank(Raw!AH38),"",concatenate(" ",Raw!AH38)),if(isblank(Raw!AI38),""," (E)"))</f>
        <v>20 Down</v>
      </c>
      <c r="Y38" s="212" t="str">
        <f>concatenate(Raw!AJ38,if(isblank(Raw!AK38),""," (E)"))</f>
        <v>5</v>
      </c>
      <c r="Z38" s="252" t="str">
        <f>Raw!AL38</f>
        <v>charcoal fines</v>
      </c>
      <c r="AA38" s="212" t="str">
        <f>concatenate(Raw!AO38,if(Raw!AP38="Y"," (E)",))</f>
        <v>20</v>
      </c>
      <c r="AB38" s="252" t="str">
        <f>Raw!AQ38</f>
        <v>electric blower</v>
      </c>
      <c r="AC38" s="212" t="str">
        <f>concatenate(ifs(istext(Raw!AT38),Raw!AT38,AND(Raw!AT38&gt;0,isblank(Raw!AS38)),concatenate(Raw!AT38," (A)"),AND(Raw!AR38&gt;0,Raw!AS38&gt;0),concatenate(Raw!AR38," to ",Raw!AS38),1,Raw!AS38),ifs(Raw!AU38="Y-","- (E)",Raw!AU38="Y"," (E)",1,))</f>
        <v>800</v>
      </c>
      <c r="AD38" s="253">
        <f>Raw!AW38</f>
        <v>589.08</v>
      </c>
      <c r="AE38" s="239" t="str">
        <f>concatenate(Raw!AX38,if(isblank(Raw!AZ38),"",concatenate("/",Raw!AZ38)),if(isblank(Raw!BB38),"",concatenate("/",Raw!BB38)),if(isblank(Raw!BD38),"",concatenate("/",Raw!BD38)),if(isblank(Raw!BF38),"",concatenate("/",Raw!BF38)),if(Raw!BK38&gt;0,if(isblank(Raw!AX38),"Gromps","/Gromps"),))</f>
        <v>Jamestown Goethite</v>
      </c>
      <c r="AF38" s="239" t="str">
        <f>concatenate(round(Raw!AY38,1),if(isblank(Raw!AZ38),"",concatenate("/",round(Raw!BA38,1))),if(isblank(Raw!BB38),"",concatenate("/",round(Raw!BC38,1))),if(isblank(Raw!BD38),"",concatenate("/",round(Raw!BE38,1))),if(isblank(Raw!BF38),"",concatenate("/",round(Raw!BG38,1))),if(isblank(Raw!BK38),,concatenate("/",if(isnumber(Raw!BK38),round(Raw!BK38,1),Raw!BK38))))</f>
        <v>34.5</v>
      </c>
      <c r="AG38" s="241">
        <f>Raw!BL38</f>
        <v>34.7</v>
      </c>
      <c r="AH38" s="254">
        <f>Raw!BI38</f>
        <v>0.5198806365</v>
      </c>
      <c r="AI38" s="255" t="str">
        <f>Raw!BJ38</f>
        <v>roasted</v>
      </c>
      <c r="AJ38" s="255" t="str">
        <f>Raw!BM38</f>
        <v/>
      </c>
      <c r="AK38" s="255" t="str">
        <f>Raw!BO38</f>
        <v>1 to 5</v>
      </c>
      <c r="AL38" s="256">
        <f>Raw!BV38</f>
        <v>4.903650321</v>
      </c>
      <c r="AM38" s="244" t="str">
        <f>if(ISNUMBER(Raw!BW38),concatenate(floor(Raw!BW38/60,1),":",MOD(Raw!BW38,60)),Raw!BW38)</f>
        <v>1:37</v>
      </c>
      <c r="AN38" s="255">
        <f>Raw!BX38</f>
        <v>63.83</v>
      </c>
      <c r="AO38" s="256">
        <f>Raw!BZ38</f>
        <v>10.42857143</v>
      </c>
      <c r="AP38" s="256">
        <f>Raw!CA38</f>
        <v>5.637065637</v>
      </c>
      <c r="AQ38" s="255" t="str">
        <f>Raw!CB38</f>
        <v>? hardwood</v>
      </c>
      <c r="AR38" s="255" t="str">
        <f>Raw!CC38</f>
        <v>NR</v>
      </c>
      <c r="AS38" s="244" t="str">
        <f>concatenate(floor(Raw!CE38/60,1),":",text(MOD(Raw!CE38,60),"00"),ifs(Raw!CF38="Y"," (E)", Raw!CF38="Y+"," +", isblank(Raw!CF38),""))</f>
        <v>3:39 (E)</v>
      </c>
      <c r="AT38" s="255" t="str">
        <f>Raw!CR38</f>
        <v>top</v>
      </c>
      <c r="AU38" s="256">
        <f>Raw!CS38</f>
        <v>9.5</v>
      </c>
      <c r="AV38" s="255" t="str">
        <f>Raw!CT38</f>
        <v>workable</v>
      </c>
      <c r="AW38" s="246">
        <f>if(Raw!CW38&gt;0,Raw!CW38,"None")</f>
        <v>0.2737752161</v>
      </c>
      <c r="AX38" s="246">
        <f>if(Raw!CX38&gt;0,Raw!CX38,"None")</f>
        <v>0.5266116815</v>
      </c>
      <c r="AY38" s="255" t="str">
        <f>Raw!CY38</f>
        <v>self tapping</v>
      </c>
      <c r="AZ38" s="255" t="str">
        <f>Raw!CZ38</f>
        <v/>
      </c>
      <c r="BA38" s="255" t="str">
        <f>Raw!DA38</f>
        <v>established design</v>
      </c>
      <c r="BB38" s="255" t="str">
        <f>Raw!DB38</f>
        <v>Quad State demo</v>
      </c>
      <c r="BC38" s="257" t="str">
        <f>Raw!DC38</f>
        <v>excellent demonstration results</v>
      </c>
      <c r="BD38" s="248"/>
    </row>
    <row r="39">
      <c r="A39" s="249" t="str">
        <f>Raw!A39</f>
        <v>38 / D16</v>
      </c>
      <c r="B39" s="250" t="str">
        <f>Raw!B39</f>
        <v>Work Dynamic</v>
      </c>
      <c r="C39" s="250" t="str">
        <f>Raw!C39</f>
        <v>DARC</v>
      </c>
      <c r="D39" s="250" t="str">
        <f>Raw!D39</f>
        <v>Wareham ON</v>
      </c>
      <c r="E39" s="251">
        <f>Raw!E39</f>
        <v>39733</v>
      </c>
      <c r="F39" s="250" t="str">
        <f>Raw!F39</f>
        <v>Viking Age Icelandic</v>
      </c>
      <c r="G39" s="250" t="str">
        <f>Raw!G39</f>
        <v>Y</v>
      </c>
      <c r="H39" s="250" t="str">
        <f>Raw!H39</f>
        <v>Icelandic</v>
      </c>
      <c r="I39" s="250" t="str">
        <f>Raw!I39</f>
        <v>banked short shaft</v>
      </c>
      <c r="J39" s="250" t="str">
        <f>Raw!J39</f>
        <v>straw cobb</v>
      </c>
      <c r="K39" s="250" t="str">
        <f>if(isblank(Raw!K39),"",if(Raw!K39&gt;1,concatenate("Use ",Raw!K39," of Expt ",Raw!L39),"Use 1"))</f>
        <v/>
      </c>
      <c r="L39" s="250" t="str">
        <f>Raw!M39</f>
        <v>Circle</v>
      </c>
      <c r="M39" s="250" t="str">
        <f>Raw!N39</f>
        <v>cylinder</v>
      </c>
      <c r="N39" s="250">
        <f>Raw!O39</f>
        <v>65</v>
      </c>
      <c r="O39" s="250">
        <f>Raw!S39</f>
        <v>37</v>
      </c>
      <c r="P39" s="252">
        <f>Raw!T39</f>
        <v>28</v>
      </c>
      <c r="Q39" s="239">
        <f>if(L39="Rectangle",concatenate(Raw!U39," x ",Raw!V39),if(L39="Oval",concatenate(Raw!U39," by ",Raw!V39),if(isnumber(Raw!V39),concatenate(Raw!U39," to ",Raw!V39),Raw!U39)))</f>
        <v>22</v>
      </c>
      <c r="R39" s="239" t="str">
        <f>if(AND(Raw!Z39="Y",isnumber(Raw!X39)),concatenate(Raw!X39," (E)"),Raw!X39)</f>
        <v/>
      </c>
      <c r="S39" s="241">
        <f>Calcs!B39</f>
        <v>380.1</v>
      </c>
      <c r="T39" s="252">
        <f>Raw!AB39</f>
        <v>5</v>
      </c>
      <c r="U39" s="252" t="str">
        <f>Raw!AC39</f>
        <v>10 x 20</v>
      </c>
      <c r="V39" s="252" t="str">
        <f>Raw!AD39</f>
        <v>plate &amp; hole</v>
      </c>
      <c r="W39" s="212" t="str">
        <f>concatenate(Raw!AE39,if(Raw!AF39="Y"," (T)",))</f>
        <v>8</v>
      </c>
      <c r="X39" s="212" t="str">
        <f>concatenate(Raw!AG39,if(isblank(Raw!AH39),"",concatenate(" ",Raw!AH39)),if(isblank(Raw!AI39),""," (E)"))</f>
        <v>15 Down</v>
      </c>
      <c r="Y39" s="212" t="str">
        <f>concatenate(Raw!AJ39,if(isblank(Raw!AK39),""," (E)"))</f>
        <v>-4</v>
      </c>
      <c r="Z39" s="252" t="str">
        <f>Raw!AL39</f>
        <v>natural</v>
      </c>
      <c r="AA39" s="212" t="str">
        <f>concatenate(Raw!AO39,if(Raw!AP39="Y"," (E)",))</f>
        <v>20</v>
      </c>
      <c r="AB39" s="252" t="str">
        <f>Raw!AQ39</f>
        <v>electric blower</v>
      </c>
      <c r="AC39" s="212" t="str">
        <f>concatenate(ifs(istext(Raw!AT39),Raw!AT39,AND(Raw!AT39&gt;0,isblank(Raw!AS39)),concatenate(Raw!AT39," (A)"),AND(Raw!AR39&gt;0,Raw!AS39&gt;0),concatenate(Raw!AR39," to ",Raw!AS39),1,Raw!AS39),ifs(Raw!AU39="Y-","- (E)",Raw!AU39="Y"," (E)",1,))</f>
        <v>625 to 740</v>
      </c>
      <c r="AD39" s="253">
        <f>Raw!AW39</f>
        <v>456.12</v>
      </c>
      <c r="AE39" s="239" t="str">
        <f>concatenate(Raw!AX39,if(isblank(Raw!AZ39),"",concatenate("/",Raw!AZ39)),if(isblank(Raw!BB39),"",concatenate("/",Raw!BB39)),if(isblank(Raw!BD39),"",concatenate("/",Raw!BD39)),if(isblank(Raw!BF39),"",concatenate("/",Raw!BF39)),if(Raw!BK39&gt;0,if(isblank(Raw!AX39),"Gromps","/Gromps"),))</f>
        <v>Bratton's Run Goethite/Stelco Taconite</v>
      </c>
      <c r="AF39" s="239" t="str">
        <f>concatenate(round(Raw!AY39,1),if(isblank(Raw!AZ39),"",concatenate("/",round(Raw!BA39,1))),if(isblank(Raw!BB39),"",concatenate("/",round(Raw!BC39,1))),if(isblank(Raw!BD39),"",concatenate("/",round(Raw!BE39,1))),if(isblank(Raw!BF39),"",concatenate("/",round(Raw!BG39,1))),if(isblank(Raw!BK39),,concatenate("/",if(isnumber(Raw!BK39),round(Raw!BK39,1),Raw!BK39))))</f>
        <v>8/15</v>
      </c>
      <c r="AG39" s="241">
        <f>Raw!BL39</f>
        <v>23</v>
      </c>
      <c r="AH39" s="254">
        <f>Raw!BI39</f>
        <v>0.584243638</v>
      </c>
      <c r="AI39" s="255" t="str">
        <f>Raw!BJ39</f>
        <v>roasted</v>
      </c>
      <c r="AJ39" s="255" t="str">
        <f>Raw!BM39</f>
        <v/>
      </c>
      <c r="AK39" s="255" t="str">
        <f>Raw!BO39</f>
        <v>1 to 5</v>
      </c>
      <c r="AL39" s="256" t="str">
        <f>Raw!BV39</f>
        <v>NR</v>
      </c>
      <c r="AM39" s="244" t="str">
        <f>if(ISNUMBER(Raw!BW39),concatenate(floor(Raw!BW39/60,1),":",MOD(Raw!BW39,60)),Raw!BW39)</f>
        <v>1:18</v>
      </c>
      <c r="AN39" s="255">
        <f>Raw!BX39</f>
        <v>46.25</v>
      </c>
      <c r="AO39" s="256">
        <f>Raw!BZ39</f>
        <v>13.72222222</v>
      </c>
      <c r="AP39" s="256">
        <f>Raw!CA39</f>
        <v>7.417417417</v>
      </c>
      <c r="AQ39" s="255" t="str">
        <f>Raw!CB39</f>
        <v>? hardwood</v>
      </c>
      <c r="AR39" s="255" t="str">
        <f>Raw!CC39</f>
        <v>NR</v>
      </c>
      <c r="AS39" s="244" t="str">
        <f>concatenate(floor(Raw!CE39/60,1),":",text(MOD(Raw!CE39,60),"00"),ifs(Raw!CF39="Y"," (E)", Raw!CF39="Y+"," +", isblank(Raw!CF39),""))</f>
        <v>4:07</v>
      </c>
      <c r="AT39" s="255" t="str">
        <f>Raw!CR39</f>
        <v>bottom</v>
      </c>
      <c r="AU39" s="256">
        <f>Raw!CS39</f>
        <v>4.9</v>
      </c>
      <c r="AV39" s="255" t="str">
        <f>Raw!CT39</f>
        <v>workable</v>
      </c>
      <c r="AW39" s="246">
        <f>if(Raw!CW39&gt;0,Raw!CW39,"None")</f>
        <v>0.2130434783</v>
      </c>
      <c r="AX39" s="246">
        <f>if(Raw!CX39&gt;0,Raw!CX39,"None")</f>
        <v>0.3646483494</v>
      </c>
      <c r="AY39" s="255" t="str">
        <f>Raw!CY39</f>
        <v>sitting high</v>
      </c>
      <c r="AZ39" s="255" t="str">
        <f>Raw!CZ39</f>
        <v/>
      </c>
      <c r="BA39" s="255" t="str">
        <f>Raw!DA39</f>
        <v>Hals, Iceland</v>
      </c>
      <c r="BB39" s="255" t="str">
        <f>Raw!DB39</f>
        <v>working systems test / plate and blow hole</v>
      </c>
      <c r="BC39" s="257" t="str">
        <f>Raw!DC39</f>
        <v>problems with slag too high, shift to insert</v>
      </c>
      <c r="BD39" s="248"/>
    </row>
    <row r="40">
      <c r="A40" s="249" t="str">
        <f>Raw!A40</f>
        <v>39 / D17</v>
      </c>
      <c r="B40" s="250" t="str">
        <f>Raw!B40</f>
        <v>Icelandic 4</v>
      </c>
      <c r="C40" s="250" t="str">
        <f>Raw!C40</f>
        <v>DARC</v>
      </c>
      <c r="D40" s="250" t="str">
        <f>Raw!D40</f>
        <v>Wareham ON</v>
      </c>
      <c r="E40" s="251">
        <f>Raw!E40</f>
        <v>39760</v>
      </c>
      <c r="F40" s="250" t="str">
        <f>Raw!F40</f>
        <v>Viking Age Icelandic</v>
      </c>
      <c r="G40" s="250" t="str">
        <f>Raw!G40</f>
        <v>Y</v>
      </c>
      <c r="H40" s="250" t="str">
        <f>Raw!H40</f>
        <v>Icelandic</v>
      </c>
      <c r="I40" s="250" t="str">
        <f>Raw!I40</f>
        <v>banked short shaft</v>
      </c>
      <c r="J40" s="250" t="str">
        <f>Raw!J40</f>
        <v>straw cobb</v>
      </c>
      <c r="K40" s="250" t="str">
        <f>if(isblank(Raw!K40),"",if(Raw!K40&gt;1,concatenate("Use ",Raw!K40," of Expt ",Raw!L40),"Use 1"))</f>
        <v/>
      </c>
      <c r="L40" s="250" t="str">
        <f>Raw!M40</f>
        <v>Oval</v>
      </c>
      <c r="M40" s="250" t="str">
        <f>Raw!N40</f>
        <v>cylinder</v>
      </c>
      <c r="N40" s="250">
        <f>Raw!O40</f>
        <v>85</v>
      </c>
      <c r="O40" s="250">
        <f>Raw!S40</f>
        <v>42</v>
      </c>
      <c r="P40" s="252">
        <f>Raw!T40</f>
        <v>20</v>
      </c>
      <c r="Q40" s="239" t="str">
        <f>if(L40="Rectangle",concatenate(Raw!U40," x ",Raw!V40),if(L40="Oval",concatenate(Raw!U40," by ",Raw!V40),if(isnumber(Raw!V40),concatenate(Raw!U40," to ",Raw!V40),Raw!U40)))</f>
        <v>26 by 24</v>
      </c>
      <c r="R40" s="239" t="str">
        <f>if(AND(Raw!Z40="Y",isnumber(Raw!X40)),concatenate(Raw!X40," (E)"),Raw!X40)</f>
        <v/>
      </c>
      <c r="S40" s="241">
        <f>Calcs!B40</f>
        <v>490.1</v>
      </c>
      <c r="T40" s="252">
        <f>Raw!AB40</f>
        <v>5</v>
      </c>
      <c r="U40" s="252" t="str">
        <f>Raw!AC40</f>
        <v>10 x 19</v>
      </c>
      <c r="V40" s="252" t="str">
        <f>Raw!AD40</f>
        <v>plate &amp; hole</v>
      </c>
      <c r="W40" s="212" t="str">
        <f>concatenate(Raw!AE40,if(Raw!AF40="Y"," (T)",))</f>
        <v>5</v>
      </c>
      <c r="X40" s="212" t="str">
        <f>concatenate(Raw!AG40,if(isblank(Raw!AH40),"",concatenate(" ",Raw!AH40)),if(isblank(Raw!AI40),""," (E)"))</f>
        <v>25 Down</v>
      </c>
      <c r="Y40" s="212" t="str">
        <f>concatenate(Raw!AJ40,if(isblank(Raw!AK40),""," (E)"))</f>
        <v>-2.5</v>
      </c>
      <c r="Z40" s="252" t="str">
        <f>Raw!AL40</f>
        <v>natural</v>
      </c>
      <c r="AA40" s="212" t="str">
        <f>concatenate(Raw!AO40,if(Raw!AP40="Y"," (E)",))</f>
        <v>20</v>
      </c>
      <c r="AB40" s="252" t="str">
        <f>Raw!AQ40</f>
        <v>electric blower</v>
      </c>
      <c r="AC40" s="212" t="str">
        <f>concatenate(ifs(istext(Raw!AT40),Raw!AT40,AND(Raw!AT40&gt;0,isblank(Raw!AS40)),concatenate(Raw!AT40," (A)"),AND(Raw!AR40&gt;0,Raw!AS40&gt;0),concatenate(Raw!AR40," to ",Raw!AS40),1,Raw!AS40),ifs(Raw!AU40="Y-","- (E)",Raw!AU40="Y"," (E)",1,))</f>
        <v>400 to 1000</v>
      </c>
      <c r="AD40" s="253">
        <f>Raw!AW40</f>
        <v>588.12</v>
      </c>
      <c r="AE40" s="239" t="str">
        <f>concatenate(Raw!AX40,if(isblank(Raw!AZ40),"",concatenate("/",Raw!AZ40)),if(isblank(Raw!BB40),"",concatenate("/",Raw!BB40)),if(isblank(Raw!BD40),"",concatenate("/",Raw!BD40)),if(isblank(Raw!BF40),"",concatenate("/",Raw!BF40)),if(Raw!BK40&gt;0,if(isblank(Raw!AX40),"Gromps","/Gromps"),))</f>
        <v>Bratton's Run Goethite/Opta Hematite</v>
      </c>
      <c r="AF40" s="239" t="str">
        <f>concatenate(round(Raw!AY40,1),if(isblank(Raw!AZ40),"",concatenate("/",round(Raw!BA40,1))),if(isblank(Raw!BB40),"",concatenate("/",round(Raw!BC40,1))),if(isblank(Raw!BD40),"",concatenate("/",round(Raw!BE40,1))),if(isblank(Raw!BF40),"",concatenate("/",round(Raw!BG40,1))),if(isblank(Raw!BK40),,concatenate("/",if(isnumber(Raw!BK40),round(Raw!BK40,1),Raw!BK40))))</f>
        <v>8.4/15.4</v>
      </c>
      <c r="AG40" s="241">
        <f>Raw!BL40</f>
        <v>23.8</v>
      </c>
      <c r="AH40" s="254">
        <f>Raw!BI40</f>
        <v>0.6043986924</v>
      </c>
      <c r="AI40" s="255" t="str">
        <f>Raw!BJ40</f>
        <v>roasted</v>
      </c>
      <c r="AJ40" s="255" t="str">
        <f>Raw!BM40</f>
        <v/>
      </c>
      <c r="AK40" s="255" t="str">
        <f>Raw!BO40</f>
        <v>1 to 5 / 1</v>
      </c>
      <c r="AL40" s="256">
        <f>Raw!BV40</f>
        <v>6.25</v>
      </c>
      <c r="AM40" s="244" t="str">
        <f>if(ISNUMBER(Raw!BW40),concatenate(floor(Raw!BW40/60,1),":",MOD(Raw!BW40,60)),Raw!BW40)</f>
        <v>2:38</v>
      </c>
      <c r="AN40" s="255">
        <f>Raw!BX40</f>
        <v>48</v>
      </c>
      <c r="AO40" s="256">
        <f>Raw!BZ40</f>
        <v>11.94117647</v>
      </c>
      <c r="AP40" s="256">
        <f>Raw!CA40</f>
        <v>5.970588235</v>
      </c>
      <c r="AQ40" s="255" t="str">
        <f>Raw!CB40</f>
        <v>? hardwood</v>
      </c>
      <c r="AR40" s="255" t="str">
        <f>Raw!CC40</f>
        <v>NR</v>
      </c>
      <c r="AS40" s="244" t="str">
        <f>concatenate(floor(Raw!CE40/60,1),":",text(MOD(Raw!CE40,60),"00"),ifs(Raw!CF40="Y"," (E)", Raw!CF40="Y+"," +", isblank(Raw!CF40),""))</f>
        <v>3:23</v>
      </c>
      <c r="AT40" s="255" t="str">
        <f>Raw!CR40</f>
        <v>top</v>
      </c>
      <c r="AU40" s="256">
        <f>Raw!CS40</f>
        <v>3.25</v>
      </c>
      <c r="AV40" s="255" t="str">
        <f>Raw!CT40</f>
        <v>lumpy</v>
      </c>
      <c r="AW40" s="246">
        <f>if(Raw!CW40&gt;0,Raw!CW40,"None")</f>
        <v>0.1365546218</v>
      </c>
      <c r="AX40" s="246">
        <f>if(Raw!CX40&gt;0,Raw!CX40,"None")</f>
        <v>0.2259346745</v>
      </c>
      <c r="AY40" s="255" t="str">
        <f>Raw!CY40</f>
        <v>sitting high</v>
      </c>
      <c r="AZ40" s="255">
        <f>Raw!CZ40</f>
        <v>16.6</v>
      </c>
      <c r="BA40" s="255" t="str">
        <f>Raw!DA40</f>
        <v>Hals, Iceland</v>
      </c>
      <c r="BB40" s="255" t="str">
        <f>Raw!DB40</f>
        <v>working systems test</v>
      </c>
      <c r="BC40" s="257" t="str">
        <f>Raw!DC40</f>
        <v>expected lower yield from method</v>
      </c>
      <c r="BD40" s="248"/>
    </row>
    <row r="41">
      <c r="A41" s="249" t="str">
        <f>Raw!A41</f>
        <v>40 / D18</v>
      </c>
      <c r="B41" s="250" t="str">
        <f>Raw!B41</f>
        <v>Vinland 1</v>
      </c>
      <c r="C41" s="250" t="str">
        <f>Raw!C41</f>
        <v>DARC</v>
      </c>
      <c r="D41" s="250" t="str">
        <f>Raw!D41</f>
        <v>Wareham ON</v>
      </c>
      <c r="E41" s="251">
        <f>Raw!E41</f>
        <v>39963</v>
      </c>
      <c r="F41" s="250" t="str">
        <f>Raw!F41</f>
        <v>Viking Age Vinland</v>
      </c>
      <c r="G41" s="250" t="str">
        <f>Raw!G41</f>
        <v>N</v>
      </c>
      <c r="H41" s="250" t="str">
        <f>Raw!H41</f>
        <v>Vinland</v>
      </c>
      <c r="I41" s="250" t="str">
        <f>Raw!I41</f>
        <v>short shaft</v>
      </c>
      <c r="J41" s="250" t="str">
        <f>Raw!J41</f>
        <v>clay</v>
      </c>
      <c r="K41" s="250" t="str">
        <f>if(isblank(Raw!K41),"",if(Raw!K41&gt;1,concatenate("Use ",Raw!K41," of Expt ",Raw!L41),"Use 1"))</f>
        <v/>
      </c>
      <c r="L41" s="250" t="str">
        <f>Raw!M41</f>
        <v>Circle</v>
      </c>
      <c r="M41" s="250" t="str">
        <f>Raw!N41</f>
        <v>cylinder</v>
      </c>
      <c r="N41" s="250">
        <f>Raw!O41</f>
        <v>62</v>
      </c>
      <c r="O41" s="250">
        <f>Raw!S41</f>
        <v>45</v>
      </c>
      <c r="P41" s="252">
        <f>Raw!T41</f>
        <v>30</v>
      </c>
      <c r="Q41" s="239">
        <f>if(L41="Rectangle",concatenate(Raw!U41," x ",Raw!V41),if(L41="Oval",concatenate(Raw!U41," by ",Raw!V41),if(isnumber(Raw!V41),concatenate(Raw!U41," to ",Raw!V41),Raw!U41)))</f>
        <v>20</v>
      </c>
      <c r="R41" s="239" t="str">
        <f>if(AND(Raw!Z41="Y",isnumber(Raw!X41)),concatenate(Raw!X41," (E)"),Raw!X41)</f>
        <v/>
      </c>
      <c r="S41" s="241">
        <f>Calcs!B41</f>
        <v>314.2</v>
      </c>
      <c r="T41" s="252">
        <f>Raw!AB41</f>
        <v>5</v>
      </c>
      <c r="U41" s="252" t="str">
        <f>Raw!AC41</f>
        <v>none</v>
      </c>
      <c r="V41" s="252" t="str">
        <f>Raw!AD41</f>
        <v>ceramic tube</v>
      </c>
      <c r="W41" s="212" t="str">
        <f>concatenate(Raw!AE41,if(Raw!AF41="Y"," (T)",))</f>
        <v>2.5</v>
      </c>
      <c r="X41" s="212" t="str">
        <f>concatenate(Raw!AG41,if(isblank(Raw!AH41),"",concatenate(" ",Raw!AH41)),if(isblank(Raw!AI41),""," (E)"))</f>
        <v>23 Down</v>
      </c>
      <c r="Y41" s="212" t="str">
        <f>concatenate(Raw!AJ41,if(isblank(Raw!AK41),""," (E)"))</f>
        <v>3</v>
      </c>
      <c r="Z41" s="252" t="str">
        <f>Raw!AL41</f>
        <v>natural</v>
      </c>
      <c r="AA41" s="212" t="str">
        <f>concatenate(Raw!AO41,if(Raw!AP41="Y"," (E)",))</f>
        <v>17</v>
      </c>
      <c r="AB41" s="252" t="str">
        <f>Raw!AQ41</f>
        <v>electric blower</v>
      </c>
      <c r="AC41" s="212" t="str">
        <f>concatenate(ifs(istext(Raw!AT41),Raw!AT41,AND(Raw!AT41&gt;0,isblank(Raw!AS41)),concatenate(Raw!AT41," (A)"),AND(Raw!AR41&gt;0,Raw!AS41&gt;0),concatenate(Raw!AR41," to ",Raw!AS41),1,Raw!AS41),ifs(Raw!AU41="Y-","- (E)",Raw!AU41="Y"," (E)",1,))</f>
        <v>640</v>
      </c>
      <c r="AD41" s="253">
        <f>Raw!AW41</f>
        <v>377.04</v>
      </c>
      <c r="AE41" s="239" t="str">
        <f>concatenate(Raw!AX41,if(isblank(Raw!AZ41),"",concatenate("/",Raw!AZ41)),if(isblank(Raw!BB41),"",concatenate("/",Raw!BB41)),if(isblank(Raw!BD41),"",concatenate("/",Raw!BD41)),if(isblank(Raw!BF41),"",concatenate("/",Raw!BF41)),if(Raw!BK41&gt;0,if(isblank(Raw!AX41),"Gromps","/Gromps"),))</f>
        <v>DD2S</v>
      </c>
      <c r="AF41" s="239" t="str">
        <f>concatenate(round(Raw!AY41,1),if(isblank(Raw!AZ41),"",concatenate("/",round(Raw!BA41,1))),if(isblank(Raw!BB41),"",concatenate("/",round(Raw!BC41,1))),if(isblank(Raw!BD41),"",concatenate("/",round(Raw!BE41,1))),if(isblank(Raw!BF41),"",concatenate("/",round(Raw!BG41,1))),if(isblank(Raw!BK41),,concatenate("/",if(isnumber(Raw!BK41),round(Raw!BK41,1),Raw!BK41))))</f>
        <v>18</v>
      </c>
      <c r="AG41" s="241">
        <f>Raw!BL41</f>
        <v>18</v>
      </c>
      <c r="AH41" s="254">
        <f>Raw!BI41</f>
        <v>0.5720029607</v>
      </c>
      <c r="AI41" s="255" t="str">
        <f>Raw!BJ41</f>
        <v>raw</v>
      </c>
      <c r="AJ41" s="255" t="str">
        <f>Raw!BM41</f>
        <v/>
      </c>
      <c r="AK41" s="255" t="str">
        <f>Raw!BO41</f>
        <v>all to 25</v>
      </c>
      <c r="AL41" s="256">
        <f>Raw!BV41</f>
        <v>7.105263158</v>
      </c>
      <c r="AM41" s="244" t="str">
        <f>if(ISNUMBER(Raw!BW41),concatenate(floor(Raw!BW41/60,1),":",MOD(Raw!BW41,60)),Raw!BW41)</f>
        <v>2:52</v>
      </c>
      <c r="AN41" s="255">
        <f>Raw!BX41</f>
        <v>38</v>
      </c>
      <c r="AO41" s="256">
        <f>Raw!BZ41</f>
        <v>15.1</v>
      </c>
      <c r="AP41" s="256">
        <f>Raw!CA41</f>
        <v>6.755263158</v>
      </c>
      <c r="AQ41" s="255" t="str">
        <f>Raw!CB41</f>
        <v>maple</v>
      </c>
      <c r="AR41" s="255" t="str">
        <f>Raw!CC41</f>
        <v>Basques</v>
      </c>
      <c r="AS41" s="244" t="str">
        <f>concatenate(floor(Raw!CE41/60,1),":",text(MOD(Raw!CE41,60),"00"),ifs(Raw!CF41="Y"," (E)", Raw!CF41="Y+"," +", isblank(Raw!CF41),""))</f>
        <v>2:31</v>
      </c>
      <c r="AT41" s="255" t="str">
        <f>Raw!CR41</f>
        <v>top</v>
      </c>
      <c r="AU41" s="256">
        <f>Raw!CS41</f>
        <v>4.9</v>
      </c>
      <c r="AV41" s="255" t="str">
        <f>Raw!CT41</f>
        <v>very dense</v>
      </c>
      <c r="AW41" s="246">
        <f>if(Raw!CW41&gt;0,Raw!CW41,"None")</f>
        <v>0.2722222222</v>
      </c>
      <c r="AX41" s="246">
        <f>if(Raw!CX41&gt;0,Raw!CX41,"None")</f>
        <v>0.4759105126</v>
      </c>
      <c r="AY41" s="254" t="str">
        <f>Raw!CY41</f>
        <v>self tapping</v>
      </c>
      <c r="AZ41" s="255">
        <f>Raw!CZ41</f>
        <v>8.6</v>
      </c>
      <c r="BA41" s="255" t="str">
        <f>Raw!DA41</f>
        <v>Vinland</v>
      </c>
      <c r="BB41" s="255" t="str">
        <f>Raw!DB41</f>
        <v>furnace design</v>
      </c>
      <c r="BC41" s="257" t="str">
        <f>Raw!DC41</f>
        <v>viability of working space</v>
      </c>
      <c r="BD41" s="248"/>
    </row>
    <row r="42">
      <c r="A42" s="249" t="str">
        <f>Raw!A42</f>
        <v>41 / D19</v>
      </c>
      <c r="B42" s="250" t="str">
        <f>Raw!B42</f>
        <v>Vinland 2</v>
      </c>
      <c r="C42" s="250" t="str">
        <f>Raw!C42</f>
        <v>DARC</v>
      </c>
      <c r="D42" s="250" t="str">
        <f>Raw!D42</f>
        <v>Wareham ON</v>
      </c>
      <c r="E42" s="251">
        <f>Raw!E42</f>
        <v>40097</v>
      </c>
      <c r="F42" s="250" t="str">
        <f>Raw!F42</f>
        <v>Viking Age Vinland</v>
      </c>
      <c r="G42" s="250" t="str">
        <f>Raw!G42</f>
        <v>N</v>
      </c>
      <c r="H42" s="250" t="str">
        <f>Raw!H42</f>
        <v>Vinland</v>
      </c>
      <c r="I42" s="250" t="str">
        <f>Raw!I42</f>
        <v>short shaft</v>
      </c>
      <c r="J42" s="250" t="str">
        <f>Raw!J42</f>
        <v>clay block &amp; fire brick</v>
      </c>
      <c r="K42" s="250" t="str">
        <f>if(isblank(Raw!K42),"",if(Raw!K42&gt;1,concatenate("Use ",Raw!K42," of Expt ",Raw!L42),"Use 1"))</f>
        <v/>
      </c>
      <c r="L42" s="250" t="str">
        <f>Raw!M42</f>
        <v>Circle</v>
      </c>
      <c r="M42" s="250" t="str">
        <f>Raw!N42</f>
        <v>cylinder</v>
      </c>
      <c r="N42" s="250">
        <f>Raw!O42</f>
        <v>62</v>
      </c>
      <c r="O42" s="250">
        <f>Raw!S42</f>
        <v>48</v>
      </c>
      <c r="P42" s="252" t="str">
        <f>Raw!T42</f>
        <v>varies</v>
      </c>
      <c r="Q42" s="239">
        <f>if(L42="Rectangle",concatenate(Raw!U42," x ",Raw!V42),if(L42="Oval",concatenate(Raw!U42," by ",Raw!V42),if(isnumber(Raw!V42),concatenate(Raw!U42," to ",Raw!V42),Raw!U42)))</f>
        <v>20</v>
      </c>
      <c r="R42" s="239" t="str">
        <f>if(AND(Raw!Z42="Y",isnumber(Raw!X42)),concatenate(Raw!X42," (E)"),Raw!X42)</f>
        <v/>
      </c>
      <c r="S42" s="241">
        <f>Calcs!B42</f>
        <v>314.2</v>
      </c>
      <c r="T42" s="260" t="str">
        <f>Raw!AB42</f>
        <v>5 + 7</v>
      </c>
      <c r="U42" s="252" t="str">
        <f>Raw!AC42</f>
        <v>none</v>
      </c>
      <c r="V42" s="252" t="str">
        <f>Raw!AD42</f>
        <v>ceramic tube</v>
      </c>
      <c r="W42" s="212" t="str">
        <f>concatenate(Raw!AE42,if(Raw!AF42="Y"," (T)",))</f>
        <v>2.5</v>
      </c>
      <c r="X42" s="212" t="str">
        <f>concatenate(Raw!AG42,if(isblank(Raw!AH42),"",concatenate(" ",Raw!AH42)),if(isblank(Raw!AI42),""," (E)"))</f>
        <v>22 Down</v>
      </c>
      <c r="Y42" s="212" t="str">
        <f>concatenate(Raw!AJ42,if(isblank(Raw!AK42),""," (E)"))</f>
        <v>3</v>
      </c>
      <c r="Z42" s="252" t="str">
        <f>Raw!AL42</f>
        <v>natural</v>
      </c>
      <c r="AA42" s="212" t="str">
        <f>concatenate(Raw!AO42,if(Raw!AP42="Y"," (E)",))</f>
        <v>14</v>
      </c>
      <c r="AB42" s="252" t="str">
        <f>Raw!AQ42</f>
        <v>box / electric</v>
      </c>
      <c r="AC42" s="212" t="str">
        <f>concatenate(ifs(istext(Raw!AT42),Raw!AT42,AND(Raw!AT42&gt;0,isblank(Raw!AS42)),concatenate(Raw!AT42," (A)"),AND(Raw!AR42&gt;0,Raw!AS42&gt;0),concatenate(Raw!AR42," to ",Raw!AS42),1,Raw!AS42),ifs(Raw!AU42="Y-","- (E)",Raw!AU42="Y"," (E)",1,))</f>
        <v>900 (E)</v>
      </c>
      <c r="AD42" s="253">
        <f>Raw!AW42</f>
        <v>377.04</v>
      </c>
      <c r="AE42" s="239" t="str">
        <f>concatenate(Raw!AX42,if(isblank(Raw!AZ42),"",concatenate("/",Raw!AZ42)),if(isblank(Raw!BB42),"",concatenate("/",Raw!BB42)),if(isblank(Raw!BD42),"",concatenate("/",Raw!BD42)),if(isblank(Raw!BF42),"",concatenate("/",Raw!BF42)),if(Raw!BK42&gt;0,if(isblank(Raw!AX42),"Gromps","/Gromps"),))</f>
        <v>Opta Hematite/DD1S/DD2S</v>
      </c>
      <c r="AF42" s="239" t="str">
        <f>concatenate(round(Raw!AY42,1),if(isblank(Raw!AZ42),"",concatenate("/",round(Raw!BA42,1))),if(isblank(Raw!BB42),"",concatenate("/",round(Raw!BC42,1))),if(isblank(Raw!BD42),"",concatenate("/",round(Raw!BE42,1))),if(isblank(Raw!BF42),"",concatenate("/",round(Raw!BG42,1))),if(isblank(Raw!BK42),,concatenate("/",if(isnumber(Raw!BK42),round(Raw!BK42,1),Raw!BK42))))</f>
        <v>10.1/6/4.6</v>
      </c>
      <c r="AG42" s="241">
        <f>Raw!BL42</f>
        <v>20.7</v>
      </c>
      <c r="AH42" s="254">
        <f>Raw!BI42</f>
        <v>0.60663879</v>
      </c>
      <c r="AI42" s="255" t="str">
        <f>Raw!BJ42</f>
        <v>raw</v>
      </c>
      <c r="AJ42" s="255" t="str">
        <f>Raw!BM42</f>
        <v/>
      </c>
      <c r="AK42" s="255" t="str">
        <f>Raw!BO42</f>
        <v>all to 25</v>
      </c>
      <c r="AL42" s="256">
        <f>Raw!BV42</f>
        <v>7.325581395</v>
      </c>
      <c r="AM42" s="244" t="str">
        <f>if(ISNUMBER(Raw!BW42),concatenate(floor(Raw!BW42/60,1),":",MOD(Raw!BW42,60)),Raw!BW42)</f>
        <v>1:50</v>
      </c>
      <c r="AN42" s="255">
        <f>Raw!BX42</f>
        <v>43</v>
      </c>
      <c r="AO42" s="256">
        <f>Raw!BZ42</f>
        <v>12.66666667</v>
      </c>
      <c r="AP42" s="256">
        <f>Raw!CA42</f>
        <v>7.196969697</v>
      </c>
      <c r="AQ42" s="255" t="str">
        <f>Raw!CB42</f>
        <v>maple</v>
      </c>
      <c r="AR42" s="255" t="str">
        <f>Raw!CC42</f>
        <v>Basques</v>
      </c>
      <c r="AS42" s="244" t="str">
        <f>concatenate(floor(Raw!CE42/60,1),":",text(MOD(Raw!CE42,60),"00"),ifs(Raw!CF42="Y"," (E)", Raw!CF42="Y+"," +", isblank(Raw!CF42),""))</f>
        <v>3:10</v>
      </c>
      <c r="AT42" s="255" t="str">
        <f>Raw!CR42</f>
        <v>top</v>
      </c>
      <c r="AU42" s="256">
        <f>Raw!CS42</f>
        <v>5.6</v>
      </c>
      <c r="AV42" s="255" t="str">
        <f>Raw!CT42</f>
        <v>very dense</v>
      </c>
      <c r="AW42" s="246">
        <f>if(Raw!CW42&gt;0,Raw!CW42,"None")</f>
        <v>0.270531401</v>
      </c>
      <c r="AX42" s="246">
        <f>if(Raw!CX42&gt;0,Raw!CX42,"None")</f>
        <v>0.4459513724</v>
      </c>
      <c r="AY42" s="254" t="str">
        <f>Raw!CY42</f>
        <v>self tapping</v>
      </c>
      <c r="AZ42" s="255" t="str">
        <f>Raw!CZ42</f>
        <v/>
      </c>
      <c r="BA42" s="255" t="str">
        <f>Raw!DA42</f>
        <v>Vinland</v>
      </c>
      <c r="BB42" s="255" t="str">
        <f>Raw!DB42</f>
        <v>placement of slack tub / Frankenbellows</v>
      </c>
      <c r="BC42" s="257" t="str">
        <f>Raw!DC42</f>
        <v>interpret as stubb / failed mechanical design</v>
      </c>
      <c r="BD42" s="248"/>
    </row>
    <row r="43">
      <c r="A43" s="249" t="str">
        <f>Raw!A43</f>
        <v>42 / D20</v>
      </c>
      <c r="B43" s="250" t="str">
        <f>Raw!B43</f>
        <v>Vinland 3</v>
      </c>
      <c r="C43" s="250" t="str">
        <f>Raw!C43</f>
        <v>DARC</v>
      </c>
      <c r="D43" s="250" t="str">
        <f>Raw!D43</f>
        <v>Wareham ON</v>
      </c>
      <c r="E43" s="251">
        <f>Raw!E43</f>
        <v>40124</v>
      </c>
      <c r="F43" s="250" t="str">
        <f>Raw!F43</f>
        <v>Viking Age Vinland</v>
      </c>
      <c r="G43" s="250" t="str">
        <f>Raw!G43</f>
        <v>N</v>
      </c>
      <c r="H43" s="250" t="str">
        <f>Raw!H43</f>
        <v>Vinland</v>
      </c>
      <c r="I43" s="250" t="str">
        <f>Raw!I43</f>
        <v>short shaft</v>
      </c>
      <c r="J43" s="250" t="str">
        <f>Raw!J43</f>
        <v>clay / sand</v>
      </c>
      <c r="K43" s="250" t="str">
        <f>if(isblank(Raw!K43),"",if(Raw!K43&gt;1,concatenate("Use ",Raw!K43," of Expt ",Raw!L43),"Use 1"))</f>
        <v/>
      </c>
      <c r="L43" s="250" t="str">
        <f>Raw!M43</f>
        <v>Circle</v>
      </c>
      <c r="M43" s="250" t="str">
        <f>Raw!N43</f>
        <v>cylinder</v>
      </c>
      <c r="N43" s="250">
        <f>Raw!O43</f>
        <v>55</v>
      </c>
      <c r="O43" s="250">
        <f>Raw!S43</f>
        <v>40</v>
      </c>
      <c r="P43" s="252">
        <f>Raw!T43</f>
        <v>32</v>
      </c>
      <c r="Q43" s="239">
        <f>if(L43="Rectangle",concatenate(Raw!U43," x ",Raw!V43),if(L43="Oval",concatenate(Raw!U43," by ",Raw!V43),if(isnumber(Raw!V43),concatenate(Raw!U43," to ",Raw!V43),Raw!U43)))</f>
        <v>22</v>
      </c>
      <c r="R43" s="239" t="str">
        <f>if(AND(Raw!Z43="Y",isnumber(Raw!X43)),concatenate(Raw!X43," (E)"),Raw!X43)</f>
        <v/>
      </c>
      <c r="S43" s="241">
        <f>Calcs!B43</f>
        <v>380.1</v>
      </c>
      <c r="T43" s="252">
        <f>Raw!AB43</f>
        <v>5</v>
      </c>
      <c r="U43" s="252" t="str">
        <f>Raw!AC43</f>
        <v>27 x 15</v>
      </c>
      <c r="V43" s="252" t="str">
        <f>Raw!AD43</f>
        <v>forged steel pipe</v>
      </c>
      <c r="W43" s="212" t="str">
        <f>concatenate(Raw!AE43,if(Raw!AF43="Y"," (T)",))</f>
        <v>2</v>
      </c>
      <c r="X43" s="212" t="str">
        <f>concatenate(Raw!AG43,if(isblank(Raw!AH43),"",concatenate(" ",Raw!AH43)),if(isblank(Raw!AI43),""," (E)"))</f>
        <v>20 Down</v>
      </c>
      <c r="Y43" s="212" t="str">
        <f>concatenate(Raw!AJ43,if(isblank(Raw!AK43),""," (E)"))</f>
        <v>5</v>
      </c>
      <c r="Z43" s="252" t="str">
        <f>Raw!AL43</f>
        <v>natural</v>
      </c>
      <c r="AA43" s="212" t="str">
        <f>concatenate(Raw!AO43,if(Raw!AP43="Y"," (E)",))</f>
        <v>15</v>
      </c>
      <c r="AB43" s="252" t="str">
        <f>Raw!AQ43</f>
        <v>smelt bellows</v>
      </c>
      <c r="AC43" s="212" t="str">
        <f>concatenate(ifs(istext(Raw!AT43),Raw!AT43,AND(Raw!AT43&gt;0,isblank(Raw!AS43)),concatenate(Raw!AT43," (A)"),AND(Raw!AR43&gt;0,Raw!AS43&gt;0),concatenate(Raw!AR43," to ",Raw!AS43),1,Raw!AS43),ifs(Raw!AU43="Y-","- (E)",Raw!AU43="Y"," (E)",1,))</f>
        <v>700 (E)</v>
      </c>
      <c r="AD43" s="253">
        <f>Raw!AW43</f>
        <v>456.12</v>
      </c>
      <c r="AE43" s="239" t="str">
        <f>concatenate(Raw!AX43,if(isblank(Raw!AZ43),"",concatenate("/",Raw!AZ43)),if(isblank(Raw!BB43),"",concatenate("/",Raw!BB43)),if(isblank(Raw!BD43),"",concatenate("/",Raw!BD43)),if(isblank(Raw!BF43),"",concatenate("/",Raw!BF43)),if(Raw!BK43&gt;0,if(isblank(Raw!AX43),"Gromps","/Gromps"),))</f>
        <v>DD2S</v>
      </c>
      <c r="AF43" s="239" t="str">
        <f>concatenate(round(Raw!AY43,1),if(isblank(Raw!AZ43),"",concatenate("/",round(Raw!BA43,1))),if(isblank(Raw!BB43),"",concatenate("/",round(Raw!BC43,1))),if(isblank(Raw!BD43),"",concatenate("/",round(Raw!BE43,1))),if(isblank(Raw!BF43),"",concatenate("/",round(Raw!BG43,1))),if(isblank(Raw!BK43),,concatenate("/",if(isnumber(Raw!BK43),round(Raw!BK43,1),Raw!BK43))))</f>
        <v>18</v>
      </c>
      <c r="AG43" s="241">
        <f>Raw!BL43</f>
        <v>18</v>
      </c>
      <c r="AH43" s="254">
        <f>Raw!BI43</f>
        <v>0.5720029607</v>
      </c>
      <c r="AI43" s="255" t="str">
        <f>Raw!BJ43</f>
        <v>raw</v>
      </c>
      <c r="AJ43" s="255" t="str">
        <f>Raw!BM43</f>
        <v/>
      </c>
      <c r="AK43" s="255" t="str">
        <f>Raw!BO43</f>
        <v>all to 25</v>
      </c>
      <c r="AL43" s="256">
        <f>Raw!BV43</f>
        <v>10.03571429</v>
      </c>
      <c r="AM43" s="244" t="str">
        <f>if(ISNUMBER(Raw!BW43),concatenate(floor(Raw!BW43/60,1),":",MOD(Raw!BW43,60)),Raw!BW43)</f>
        <v>1:34</v>
      </c>
      <c r="AN43" s="255">
        <f>Raw!BX43</f>
        <v>28</v>
      </c>
      <c r="AO43" s="256">
        <f>Raw!BZ43</f>
        <v>17.72727273</v>
      </c>
      <c r="AP43" s="256">
        <f>Raw!CA43</f>
        <v>8.863636364</v>
      </c>
      <c r="AQ43" s="255" t="str">
        <f>Raw!CB43</f>
        <v>maple</v>
      </c>
      <c r="AR43" s="255" t="str">
        <f>Raw!CC43</f>
        <v>Basques</v>
      </c>
      <c r="AS43" s="244" t="str">
        <f>concatenate(floor(Raw!CE43/60,1),":",text(MOD(Raw!CE43,60),"00"),ifs(Raw!CF43="Y"," (E)", Raw!CF43="Y+"," +", isblank(Raw!CF43),""))</f>
        <v>3:15</v>
      </c>
      <c r="AT43" s="255" t="str">
        <f>Raw!CR43</f>
        <v>top - broken</v>
      </c>
      <c r="AU43" s="256">
        <f>Raw!CS43</f>
        <v>2.9</v>
      </c>
      <c r="AV43" s="255" t="str">
        <f>Raw!CT43</f>
        <v>dense</v>
      </c>
      <c r="AW43" s="246">
        <f>if(Raw!CW43&gt;0,Raw!CW43,"None")</f>
        <v>0.1611111111</v>
      </c>
      <c r="AX43" s="246">
        <f>if(Raw!CX43&gt;0,Raw!CX43,"None")</f>
        <v>0.2816613238</v>
      </c>
      <c r="AY43" s="254" t="str">
        <f>Raw!CY43</f>
        <v>self tapping</v>
      </c>
      <c r="AZ43" s="255" t="str">
        <f>Raw!CZ43</f>
        <v/>
      </c>
      <c r="BA43" s="255" t="str">
        <f>Raw!DA43</f>
        <v>Vinland</v>
      </c>
      <c r="BB43" s="255" t="str">
        <f>Raw!DB43</f>
        <v>human powered air</v>
      </c>
      <c r="BC43" s="257" t="str">
        <f>Raw!DC43</f>
        <v>expected lower yield / different placement</v>
      </c>
      <c r="BD43" s="248"/>
    </row>
    <row r="44">
      <c r="A44" s="249" t="str">
        <f>Raw!A44</f>
        <v>43 / D21</v>
      </c>
      <c r="B44" s="250" t="str">
        <f>Raw!B44</f>
        <v>Vinland 4</v>
      </c>
      <c r="C44" s="250" t="str">
        <f>Raw!C44</f>
        <v>DARC</v>
      </c>
      <c r="D44" s="250" t="str">
        <f>Raw!D44</f>
        <v>Wareham ON</v>
      </c>
      <c r="E44" s="251">
        <f>Raw!E44</f>
        <v>40341</v>
      </c>
      <c r="F44" s="250" t="str">
        <f>Raw!F44</f>
        <v>Viking Age Vinland</v>
      </c>
      <c r="G44" s="250" t="str">
        <f>Raw!G44</f>
        <v>N</v>
      </c>
      <c r="H44" s="250" t="str">
        <f>Raw!H44</f>
        <v>Vinland</v>
      </c>
      <c r="I44" s="250" t="str">
        <f>Raw!I44</f>
        <v>short shaft</v>
      </c>
      <c r="J44" s="250" t="str">
        <f>Raw!J44</f>
        <v>clay / sand</v>
      </c>
      <c r="K44" s="250" t="str">
        <f>if(isblank(Raw!K44),"",if(Raw!K44&gt;1,concatenate("Use ",Raw!K44," of Expt ",Raw!L44),"Use 1"))</f>
        <v/>
      </c>
      <c r="L44" s="250" t="str">
        <f>Raw!M44</f>
        <v>Circle</v>
      </c>
      <c r="M44" s="250" t="str">
        <f>Raw!N44</f>
        <v>hour glass</v>
      </c>
      <c r="N44" s="250">
        <f>Raw!O44</f>
        <v>68</v>
      </c>
      <c r="O44" s="250">
        <f>Raw!S44</f>
        <v>48</v>
      </c>
      <c r="P44" s="252" t="str">
        <f>Raw!T44</f>
        <v>32 to 25</v>
      </c>
      <c r="Q44" s="239" t="str">
        <f>if(L44="Rectangle",concatenate(Raw!U44," x ",Raw!V44),if(L44="Oval",concatenate(Raw!U44," by ",Raw!V44),if(isnumber(Raw!V44),concatenate(Raw!U44," to ",Raw!V44),Raw!U44)))</f>
        <v>28 to 23</v>
      </c>
      <c r="R44" s="239" t="str">
        <f>if(AND(Raw!Z44="Y",isnumber(Raw!X44)),concatenate(Raw!X44," (E)"),Raw!X44)</f>
        <v>28 (E)</v>
      </c>
      <c r="S44" s="241" t="str">
        <f>Calcs!B44</f>
        <v>615.8 (E)</v>
      </c>
      <c r="T44" s="252">
        <f>Raw!AB44</f>
        <v>5</v>
      </c>
      <c r="U44" s="252" t="str">
        <f>Raw!AC44</f>
        <v>20 x 14</v>
      </c>
      <c r="V44" s="252" t="str">
        <f>Raw!AD44</f>
        <v>forged steel pipe</v>
      </c>
      <c r="W44" s="212" t="str">
        <f>concatenate(Raw!AE44,if(Raw!AF44="Y"," (T)",))</f>
        <v>2 (T)</v>
      </c>
      <c r="X44" s="212" t="str">
        <f>concatenate(Raw!AG44,if(isblank(Raw!AH44),"",concatenate(" ",Raw!AH44)),if(isblank(Raw!AI44),""," (E)"))</f>
        <v>22 to 30 Down</v>
      </c>
      <c r="Y44" s="212" t="str">
        <f>concatenate(Raw!AJ44,if(isblank(Raw!AK44),""," (E)"))</f>
        <v>5</v>
      </c>
      <c r="Z44" s="252" t="str">
        <f>Raw!AL44</f>
        <v>natural</v>
      </c>
      <c r="AA44" s="212" t="str">
        <f>concatenate(Raw!AO44,if(Raw!AP44="Y"," (E)",))</f>
        <v>19</v>
      </c>
      <c r="AB44" s="252" t="str">
        <f>Raw!AQ44</f>
        <v>smelt bellows</v>
      </c>
      <c r="AC44" s="212" t="str">
        <f>concatenate(ifs(istext(Raw!AT44),Raw!AT44,AND(Raw!AT44&gt;0,isblank(Raw!AS44)),concatenate(Raw!AT44," (A)"),AND(Raw!AR44&gt;0,Raw!AS44&gt;0),concatenate(Raw!AR44," to ",Raw!AS44),1,Raw!AS44),ifs(Raw!AU44="Y-","- (E)",Raw!AU44="Y"," (E)",1,))</f>
        <v>700 (E)</v>
      </c>
      <c r="AD44" s="253">
        <f>Raw!AW44</f>
        <v>738.96</v>
      </c>
      <c r="AE44" s="239" t="str">
        <f>concatenate(Raw!AX44,if(isblank(Raw!AZ44),"",concatenate("/",Raw!AZ44)),if(isblank(Raw!BB44),"",concatenate("/",Raw!BB44)),if(isblank(Raw!BD44),"",concatenate("/",Raw!BD44)),if(isblank(Raw!BF44),"",concatenate("/",Raw!BF44)),if(Raw!BK44&gt;0,if(isblank(Raw!AX44),"Gromps","/Gromps"),))</f>
        <v>DD1S/Opta Hematite</v>
      </c>
      <c r="AF44" s="239" t="str">
        <f>concatenate(round(Raw!AY44,1),if(isblank(Raw!AZ44),"",concatenate("/",round(Raw!BA44,1))),if(isblank(Raw!BB44),"",concatenate("/",round(Raw!BC44,1))),if(isblank(Raw!BD44),"",concatenate("/",round(Raw!BE44,1))),if(isblank(Raw!BF44),"",concatenate("/",round(Raw!BG44,1))),if(isblank(Raw!BK44),,concatenate("/",if(isnumber(Raw!BK44),round(Raw!BK44,1),Raw!BK44))))</f>
        <v>11.4/8.6</v>
      </c>
      <c r="AG44" s="241">
        <f>Raw!BL44</f>
        <v>20</v>
      </c>
      <c r="AH44" s="254">
        <f>Raw!BI44</f>
        <v>0.5793816429</v>
      </c>
      <c r="AI44" s="255" t="str">
        <f>Raw!BJ44</f>
        <v>raw</v>
      </c>
      <c r="AJ44" s="255" t="str">
        <f>Raw!BM44</f>
        <v/>
      </c>
      <c r="AK44" s="255" t="str">
        <f>Raw!BO44</f>
        <v>all to 25</v>
      </c>
      <c r="AL44" s="256" t="str">
        <f>Raw!BV44</f>
        <v>NR</v>
      </c>
      <c r="AM44" s="244" t="str">
        <f>if(ISNUMBER(Raw!BW44),concatenate(floor(Raw!BW44/60,1),":",MOD(Raw!BW44,60)),Raw!BW44)</f>
        <v>NR</v>
      </c>
      <c r="AN44" s="255" t="str">
        <f>Raw!BX44</f>
        <v>NR</v>
      </c>
      <c r="AO44" s="256" t="str">
        <f>Raw!BZ44</f>
        <v>NR</v>
      </c>
      <c r="AP44" s="256" t="str">
        <f>Raw!CA44</f>
        <v>NR</v>
      </c>
      <c r="AQ44" s="255" t="str">
        <f>Raw!CB44</f>
        <v>maple</v>
      </c>
      <c r="AR44" s="255" t="str">
        <f>Raw!CC44</f>
        <v>Maple Leaf</v>
      </c>
      <c r="AS44" s="244" t="str">
        <f>concatenate(floor(Raw!CE44/60,1),":",text(MOD(Raw!CE44,60),"00"),ifs(Raw!CF44="Y"," (E)", Raw!CF44="Y+"," +", isblank(Raw!CF44),""))</f>
        <v>#VALUE!</v>
      </c>
      <c r="AT44" s="255" t="str">
        <f>Raw!CR44</f>
        <v>top</v>
      </c>
      <c r="AU44" s="256">
        <f>Raw!CS44</f>
        <v>1.6</v>
      </c>
      <c r="AV44" s="255" t="str">
        <f>Raw!CT44</f>
        <v>lumpy</v>
      </c>
      <c r="AW44" s="246">
        <f>if(Raw!CW44&gt;0,Raw!CW44,"None")</f>
        <v>0.08</v>
      </c>
      <c r="AX44" s="246">
        <f>if(Raw!CX44&gt;0,Raw!CX44,"None")</f>
        <v>0.1380782443</v>
      </c>
      <c r="AY44" s="254" t="str">
        <f>Raw!CY44</f>
        <v>major draining</v>
      </c>
      <c r="AZ44" s="255" t="str">
        <f>Raw!CZ44</f>
        <v/>
      </c>
      <c r="BA44" s="255" t="str">
        <f>Raw!DA44</f>
        <v>Vinland</v>
      </c>
      <c r="BB44" s="255" t="str">
        <f>Raw!DB44</f>
        <v>all historic method</v>
      </c>
      <c r="BC44" s="257" t="str">
        <f>Raw!DC44</f>
        <v>expected lower yield / working layout</v>
      </c>
      <c r="BD44" s="248"/>
    </row>
    <row r="45">
      <c r="A45" s="249" t="str">
        <f>Raw!A45</f>
        <v>44 / D22</v>
      </c>
      <c r="B45" s="250" t="str">
        <f>Raw!B45</f>
        <v>Vinland 5 demo</v>
      </c>
      <c r="C45" s="250" t="str">
        <f>Raw!C45</f>
        <v>DARC / Parks Canada</v>
      </c>
      <c r="D45" s="250" t="str">
        <f>Raw!D45</f>
        <v>L'Anse aux Meadows NL</v>
      </c>
      <c r="E45" s="251">
        <f>Raw!E45</f>
        <v>40411</v>
      </c>
      <c r="F45" s="250" t="str">
        <f>Raw!F45</f>
        <v>Viking Age Vinland</v>
      </c>
      <c r="G45" s="250" t="str">
        <f>Raw!G45</f>
        <v>Y</v>
      </c>
      <c r="H45" s="250" t="str">
        <f>Raw!H45</f>
        <v>Vinland</v>
      </c>
      <c r="I45" s="250" t="str">
        <f>Raw!I45</f>
        <v>short shaft</v>
      </c>
      <c r="J45" s="250" t="str">
        <f>Raw!J45</f>
        <v>clay / sand</v>
      </c>
      <c r="K45" s="250" t="str">
        <f>if(isblank(Raw!K45),"",if(Raw!K45&gt;1,concatenate("Use ",Raw!K45," of Expt ",Raw!L45),"Use 1"))</f>
        <v/>
      </c>
      <c r="L45" s="250" t="str">
        <f>Raw!M45</f>
        <v>Oval</v>
      </c>
      <c r="M45" s="250" t="str">
        <f>Raw!N45</f>
        <v>cylinder</v>
      </c>
      <c r="N45" s="250">
        <f>Raw!O45</f>
        <v>63</v>
      </c>
      <c r="O45" s="250">
        <f>Raw!S45</f>
        <v>45</v>
      </c>
      <c r="P45" s="252" t="str">
        <f>Raw!T45</f>
        <v>33 to 29</v>
      </c>
      <c r="Q45" s="239" t="str">
        <f>if(L45="Rectangle",concatenate(Raw!U45," x ",Raw!V45),if(L45="Oval",concatenate(Raw!U45," by ",Raw!V45),if(isnumber(Raw!V45),concatenate(Raw!U45," to ",Raw!V45),Raw!U45)))</f>
        <v>24 by 22</v>
      </c>
      <c r="R45" s="239" t="str">
        <f>if(AND(Raw!Z45="Y",isnumber(Raw!X45)),concatenate(Raw!X45," (E)"),Raw!X45)</f>
        <v/>
      </c>
      <c r="S45" s="241">
        <f>Calcs!B45</f>
        <v>414.7</v>
      </c>
      <c r="T45" s="252" t="str">
        <f>Raw!AB45</f>
        <v>7 to 9</v>
      </c>
      <c r="U45" s="252" t="str">
        <f>Raw!AC45</f>
        <v>25 x 20</v>
      </c>
      <c r="V45" s="252" t="str">
        <f>Raw!AD45</f>
        <v>forged steel pipe</v>
      </c>
      <c r="W45" s="212" t="str">
        <f>concatenate(Raw!AE45,if(Raw!AF45="Y"," (T)",))</f>
        <v>2 (T)</v>
      </c>
      <c r="X45" s="212" t="str">
        <f>concatenate(Raw!AG45,if(isblank(Raw!AH45),"",concatenate(" ",Raw!AH45)),if(isblank(Raw!AI45),""," (E)"))</f>
        <v>19 Down</v>
      </c>
      <c r="Y45" s="212" t="str">
        <f>concatenate(Raw!AJ45,if(isblank(Raw!AK45),""," (E)"))</f>
        <v>4.5</v>
      </c>
      <c r="Z45" s="252" t="str">
        <f>Raw!AL45</f>
        <v>natural</v>
      </c>
      <c r="AA45" s="212" t="str">
        <f>concatenate(Raw!AO45,if(Raw!AP45="Y"," (E)",))</f>
        <v>18</v>
      </c>
      <c r="AB45" s="252" t="str">
        <f>Raw!AQ45</f>
        <v>smelt bellows</v>
      </c>
      <c r="AC45" s="212" t="str">
        <f>concatenate(ifs(istext(Raw!AT45),Raw!AT45,AND(Raw!AT45&gt;0,isblank(Raw!AS45)),concatenate(Raw!AT45," (A)"),AND(Raw!AR45&gt;0,Raw!AS45&gt;0),concatenate(Raw!AR45," to ",Raw!AS45),1,Raw!AS45),ifs(Raw!AU45="Y-","- (E)",Raw!AU45="Y"," (E)",1,))</f>
        <v>700 (E)</v>
      </c>
      <c r="AD45" s="253">
        <f>Raw!AW45</f>
        <v>497.64</v>
      </c>
      <c r="AE45" s="239" t="str">
        <f>concatenate(Raw!AX45,if(isblank(Raw!AZ45),"",concatenate("/",Raw!AZ45)),if(isblank(Raw!BB45),"",concatenate("/",Raw!BB45)),if(isblank(Raw!BD45),"",concatenate("/",Raw!BD45)),if(isblank(Raw!BF45),"",concatenate("/",Raw!BF45)),if(Raw!BK45&gt;0,if(isblank(Raw!AX45),"Gromps","/Gromps"),))</f>
        <v>DD2S</v>
      </c>
      <c r="AF45" s="239" t="str">
        <f>concatenate(round(Raw!AY45,1),if(isblank(Raw!AZ45),"",concatenate("/",round(Raw!BA45,1))),if(isblank(Raw!BB45),"",concatenate("/",round(Raw!BC45,1))),if(isblank(Raw!BD45),"",concatenate("/",round(Raw!BE45,1))),if(isblank(Raw!BF45),"",concatenate("/",round(Raw!BG45,1))),if(isblank(Raw!BK45),,concatenate("/",if(isnumber(Raw!BK45),round(Raw!BK45,1),Raw!BK45))))</f>
        <v>20</v>
      </c>
      <c r="AG45" s="241">
        <f>Raw!BL45</f>
        <v>20</v>
      </c>
      <c r="AH45" s="254">
        <f>Raw!BI45</f>
        <v>0.5720029607</v>
      </c>
      <c r="AI45" s="255" t="str">
        <f>Raw!BJ45</f>
        <v>raw</v>
      </c>
      <c r="AJ45" s="255" t="str">
        <f>Raw!BM45</f>
        <v/>
      </c>
      <c r="AK45" s="255" t="str">
        <f>Raw!BO45</f>
        <v>all to 25</v>
      </c>
      <c r="AL45" s="256">
        <f>Raw!BV45</f>
        <v>7.577464789</v>
      </c>
      <c r="AM45" s="244" t="str">
        <f>if(ISNUMBER(Raw!BW45),concatenate(floor(Raw!BW45/60,1),":",MOD(Raw!BW45,60)),Raw!BW45)</f>
        <v>1:30</v>
      </c>
      <c r="AN45" s="255">
        <f>Raw!BX45</f>
        <v>35.5</v>
      </c>
      <c r="AO45" s="256">
        <f>Raw!BZ45</f>
        <v>14.21428571</v>
      </c>
      <c r="AP45" s="256">
        <f>Raw!CA45</f>
        <v>8.12244898</v>
      </c>
      <c r="AQ45" s="255" t="str">
        <f>Raw!CB45</f>
        <v>maple</v>
      </c>
      <c r="AR45" s="255" t="str">
        <f>Raw!CC45</f>
        <v>Maple Leaf</v>
      </c>
      <c r="AS45" s="244" t="str">
        <f>concatenate(floor(Raw!CE45/60,1),":",text(MOD(Raw!CE45,60),"00"),ifs(Raw!CF45="Y"," (E)", Raw!CF45="Y+"," +", isblank(Raw!CF45),""))</f>
        <v>3:19</v>
      </c>
      <c r="AT45" s="255" t="str">
        <f>Raw!CR45</f>
        <v>top - broken</v>
      </c>
      <c r="AU45" s="256">
        <f>Raw!CS45</f>
        <v>2.8</v>
      </c>
      <c r="AV45" s="255" t="str">
        <f>Raw!CT45</f>
        <v>lumpy fragments</v>
      </c>
      <c r="AW45" s="246">
        <f>if(Raw!CW45&gt;0,Raw!CW45,"None")</f>
        <v>0.14</v>
      </c>
      <c r="AX45" s="246">
        <f>if(Raw!CX45&gt;0,Raw!CX45,"None")</f>
        <v>0.2447539779</v>
      </c>
      <c r="AY45" s="254" t="str">
        <f>Raw!CY45</f>
        <v/>
      </c>
      <c r="AZ45" s="255" t="str">
        <f>Raw!CZ45</f>
        <v/>
      </c>
      <c r="BA45" s="255" t="str">
        <f>Raw!DA45</f>
        <v>Vinland</v>
      </c>
      <c r="BB45" s="255" t="str">
        <f>Raw!DB45</f>
        <v>demonstration on site</v>
      </c>
      <c r="BC45" s="257" t="str">
        <f>Raw!DC45</f>
        <v>proof of historic method</v>
      </c>
      <c r="BD45" s="248"/>
    </row>
    <row r="46">
      <c r="A46" s="249" t="str">
        <f>Raw!A46</f>
        <v>45 / D23</v>
      </c>
      <c r="B46" s="250" t="str">
        <f>Raw!B46</f>
        <v>CanIRON 8 test</v>
      </c>
      <c r="C46" s="250" t="str">
        <f>Raw!C46</f>
        <v>DARC</v>
      </c>
      <c r="D46" s="250" t="str">
        <f>Raw!D46</f>
        <v>Wareham ON</v>
      </c>
      <c r="E46" s="251">
        <f>Raw!E46</f>
        <v>40488</v>
      </c>
      <c r="F46" s="250" t="str">
        <f>Raw!F46</f>
        <v>modern</v>
      </c>
      <c r="G46" s="250" t="str">
        <f>Raw!G46</f>
        <v>N</v>
      </c>
      <c r="H46" s="250" t="str">
        <f>Raw!H46</f>
        <v/>
      </c>
      <c r="I46" s="250" t="str">
        <f>Raw!I46</f>
        <v>Econo Norse</v>
      </c>
      <c r="J46" s="250" t="str">
        <f>Raw!J46</f>
        <v>fire brick in sheet</v>
      </c>
      <c r="K46" s="250" t="str">
        <f>if(isblank(Raw!K46),"",if(Raw!K46&gt;1,concatenate("Use ",Raw!K46," of Expt ",Raw!L46),"Use 1"))</f>
        <v/>
      </c>
      <c r="L46" s="250" t="str">
        <f>Raw!M46</f>
        <v>Octagon</v>
      </c>
      <c r="M46" s="250" t="str">
        <f>Raw!N46</f>
        <v>cylinder</v>
      </c>
      <c r="N46" s="250">
        <f>Raw!O46</f>
        <v>76</v>
      </c>
      <c r="O46" s="250">
        <f>Raw!S46</f>
        <v>55</v>
      </c>
      <c r="P46" s="252">
        <f>Raw!T46</f>
        <v>45</v>
      </c>
      <c r="Q46" s="239">
        <f>if(L46="Rectangle",concatenate(Raw!U46," x ",Raw!V46),if(L46="Oval",concatenate(Raw!U46," by ",Raw!V46),if(isnumber(Raw!V46),concatenate(Raw!U46," to ",Raw!V46),Raw!U46)))</f>
        <v>28</v>
      </c>
      <c r="R46" s="239" t="str">
        <f>if(AND(Raw!Z46="Y",isnumber(Raw!X46)),concatenate(Raw!X46," (E)"),Raw!X46)</f>
        <v/>
      </c>
      <c r="S46" s="241">
        <f>Calcs!B46</f>
        <v>649.5</v>
      </c>
      <c r="T46" s="252" t="str">
        <f>Raw!AB46</f>
        <v>10 +</v>
      </c>
      <c r="U46" s="252" t="str">
        <f>Raw!AC46</f>
        <v>none</v>
      </c>
      <c r="V46" s="252" t="str">
        <f>Raw!AD46</f>
        <v>ceramic tube</v>
      </c>
      <c r="W46" s="212" t="str">
        <f>concatenate(Raw!AE46,if(Raw!AF46="Y"," (T)",))</f>
        <v>2.5</v>
      </c>
      <c r="X46" s="212" t="str">
        <f>concatenate(Raw!AG46,if(isblank(Raw!AH46),"",concatenate(" ",Raw!AH46)),if(isblank(Raw!AI46),""," (E)"))</f>
        <v>23 Down</v>
      </c>
      <c r="Y46" s="212" t="str">
        <f>concatenate(Raw!AJ46,if(isblank(Raw!AK46),""," (E)"))</f>
        <v>4</v>
      </c>
      <c r="Z46" s="252" t="str">
        <f>Raw!AL46</f>
        <v>charcoal fines</v>
      </c>
      <c r="AA46" s="212" t="str">
        <f>concatenate(Raw!AO46,if(Raw!AP46="Y"," (E)",))</f>
        <v>21</v>
      </c>
      <c r="AB46" s="252" t="str">
        <f>Raw!AQ46</f>
        <v>electric blower</v>
      </c>
      <c r="AC46" s="212" t="str">
        <f>concatenate(ifs(istext(Raw!AT46),Raw!AT46,AND(Raw!AT46&gt;0,isblank(Raw!AS46)),concatenate(Raw!AT46," (A)"),AND(Raw!AR46&gt;0,Raw!AS46&gt;0),concatenate(Raw!AR46," to ",Raw!AS46),1,Raw!AS46),ifs(Raw!AU46="Y-","- (E)",Raw!AU46="Y"," (E)",1,))</f>
        <v>800 to 900</v>
      </c>
      <c r="AD46" s="253">
        <f>Raw!AW46</f>
        <v>779.4</v>
      </c>
      <c r="AE46" s="239" t="str">
        <f>concatenate(Raw!AX46,if(isblank(Raw!AZ46),"",concatenate("/",Raw!AZ46)),if(isblank(Raw!BB46),"",concatenate("/",Raw!BB46)),if(isblank(Raw!BD46),"",concatenate("/",Raw!BD46)),if(isblank(Raw!BF46),"",concatenate("/",Raw!BF46)),if(Raw!BK46&gt;0,if(isblank(Raw!AX46),"Gromps","/Gromps"),))</f>
        <v>Opta Hematite</v>
      </c>
      <c r="AF46" s="239" t="str">
        <f>concatenate(round(Raw!AY46,1),if(isblank(Raw!AZ46),"",concatenate("/",round(Raw!BA46,1))),if(isblank(Raw!BB46),"",concatenate("/",round(Raw!BC46,1))),if(isblank(Raw!BD46),"",concatenate("/",round(Raw!BE46,1))),if(isblank(Raw!BF46),"",concatenate("/",round(Raw!BG46,1))),if(isblank(Raw!BK46),,concatenate("/",if(isnumber(Raw!BK46),round(Raw!BK46,1),Raw!BK46))))</f>
        <v>24</v>
      </c>
      <c r="AG46" s="241">
        <f>Raw!BL46</f>
        <v>24</v>
      </c>
      <c r="AH46" s="254">
        <f>Raw!BI46</f>
        <v>0.6867011216</v>
      </c>
      <c r="AI46" s="255" t="str">
        <f>Raw!BJ46</f>
        <v>raw</v>
      </c>
      <c r="AJ46" s="255" t="str">
        <f>Raw!BM46</f>
        <v/>
      </c>
      <c r="AK46" s="255">
        <f>Raw!BO46</f>
        <v>1</v>
      </c>
      <c r="AL46" s="256">
        <f>Raw!BV46</f>
        <v>5.99469496</v>
      </c>
      <c r="AM46" s="244" t="str">
        <f>if(ISNUMBER(Raw!BW46),concatenate(floor(Raw!BW46/60,1),":",MOD(Raw!BW46,60)),Raw!BW46)</f>
        <v>1:14</v>
      </c>
      <c r="AN46" s="255">
        <f>Raw!BX46</f>
        <v>37.7</v>
      </c>
      <c r="AO46" s="256">
        <f>Raw!BZ46</f>
        <v>8.111111111</v>
      </c>
      <c r="AP46" s="256">
        <f>Raw!CA46</f>
        <v>5.593869732</v>
      </c>
      <c r="AQ46" s="255" t="str">
        <f>Raw!CB46</f>
        <v>maple</v>
      </c>
      <c r="AR46" s="255" t="str">
        <f>Raw!CC46</f>
        <v>Maple Leaf</v>
      </c>
      <c r="AS46" s="244" t="str">
        <f>concatenate(floor(Raw!CE46/60,1),":",text(MOD(Raw!CE46,60),"00"),ifs(Raw!CF46="Y"," (E)", Raw!CF46="Y+"," +", isblank(Raw!CF46),""))</f>
        <v>2:26</v>
      </c>
      <c r="AT46" s="255" t="str">
        <f>Raw!CR46</f>
        <v>dismantled</v>
      </c>
      <c r="AU46" s="256">
        <f>Raw!CS46</f>
        <v>8.5</v>
      </c>
      <c r="AV46" s="255" t="str">
        <f>Raw!CT46</f>
        <v>solid</v>
      </c>
      <c r="AW46" s="246">
        <f>if(Raw!CW46&gt;0,Raw!CW46,"None")</f>
        <v>0.3541666667</v>
      </c>
      <c r="AX46" s="246">
        <f>if(Raw!CX46&gt;0,Raw!CX46,"None")</f>
        <v>0.5157508202</v>
      </c>
      <c r="AY46" s="255" t="str">
        <f>Raw!CY46</f>
        <v/>
      </c>
      <c r="AZ46" s="255" t="str">
        <f>Raw!CZ46</f>
        <v/>
      </c>
      <c r="BA46" s="255" t="str">
        <f>Raw!DA46</f>
        <v>CanIRON 9 demo</v>
      </c>
      <c r="BB46" s="255" t="str">
        <f>Raw!DB46</f>
        <v>team experience</v>
      </c>
      <c r="BC46" s="257" t="str">
        <f>Raw!DC46</f>
        <v>needs more practice</v>
      </c>
      <c r="BD46" s="248"/>
    </row>
    <row r="47">
      <c r="A47" s="249">
        <f>Raw!A47</f>
        <v>46</v>
      </c>
      <c r="B47" s="250" t="str">
        <f>Raw!B47</f>
        <v>Africa'</v>
      </c>
      <c r="C47" s="250" t="str">
        <f>Raw!C47</f>
        <v>Smeltfest</v>
      </c>
      <c r="D47" s="250" t="str">
        <f>Raw!D47</f>
        <v>Lexington VA</v>
      </c>
      <c r="E47" s="251">
        <f>Raw!E47</f>
        <v>40620</v>
      </c>
      <c r="F47" s="250" t="str">
        <f>Raw!F47</f>
        <v>Africian</v>
      </c>
      <c r="G47" s="250" t="str">
        <f>Raw!G47</f>
        <v>N</v>
      </c>
      <c r="H47" s="250" t="str">
        <f>Raw!H47</f>
        <v/>
      </c>
      <c r="I47" s="250" t="str">
        <f>Raw!I47</f>
        <v>flask with shaft</v>
      </c>
      <c r="J47" s="250" t="str">
        <f>Raw!J47</f>
        <v>straw cobb</v>
      </c>
      <c r="K47" s="250" t="str">
        <f>if(isblank(Raw!K47),"",if(Raw!K47&gt;1,concatenate("Use ",Raw!K47," of Expt ",Raw!L47),"Use 1"))</f>
        <v/>
      </c>
      <c r="L47" s="250" t="str">
        <f>Raw!M47</f>
        <v>Circle</v>
      </c>
      <c r="M47" s="250" t="str">
        <f>Raw!N47</f>
        <v>dome</v>
      </c>
      <c r="N47" s="250">
        <f>Raw!O47</f>
        <v>310</v>
      </c>
      <c r="O47" s="250">
        <f>Raw!S47</f>
        <v>85</v>
      </c>
      <c r="P47" s="252">
        <f>Raw!T47</f>
        <v>110</v>
      </c>
      <c r="Q47" s="239">
        <f>if(L47="Rectangle",concatenate(Raw!U47," x ",Raw!V47),if(L47="Oval",concatenate(Raw!U47," by ",Raw!V47),if(isnumber(Raw!V47),concatenate(Raw!U47," to ",Raw!V47),Raw!U47)))</f>
        <v>65</v>
      </c>
      <c r="R47" s="239" t="str">
        <f>if(AND(Raw!Z47="Y",isnumber(Raw!X47)),concatenate(Raw!X47," (E)"),Raw!X47)</f>
        <v/>
      </c>
      <c r="S47" s="241">
        <f>Calcs!B47</f>
        <v>3318.3</v>
      </c>
      <c r="T47" s="252">
        <f>Raw!AB47</f>
        <v>20</v>
      </c>
      <c r="U47" s="252" t="str">
        <f>Raw!AC47</f>
        <v>slag pit</v>
      </c>
      <c r="V47" s="252" t="str">
        <f>Raw!AD47</f>
        <v>mulitple - clay</v>
      </c>
      <c r="W47" s="212" t="str">
        <f>concatenate(Raw!AE47,if(Raw!AF47="Y"," (T)",))</f>
        <v>2 (T)</v>
      </c>
      <c r="X47" s="212" t="str">
        <f>concatenate(Raw!AG47,if(isblank(Raw!AH47),"",concatenate(" ",Raw!AH47)),if(isblank(Raw!AI47),""," (E)"))</f>
        <v>5 Down (E)</v>
      </c>
      <c r="Y47" s="212" t="str">
        <f>concatenate(Raw!AJ47,if(isblank(Raw!AK47),""," (E)"))</f>
        <v>10</v>
      </c>
      <c r="Z47" s="252" t="str">
        <f>Raw!AL47</f>
        <v>sticks / straw</v>
      </c>
      <c r="AA47" s="212" t="str">
        <f>concatenate(Raw!AO47,if(Raw!AP47="Y"," (E)",))</f>
        <v>at floor</v>
      </c>
      <c r="AB47" s="252" t="str">
        <f>Raw!AQ47</f>
        <v>passive</v>
      </c>
      <c r="AC47" s="212" t="str">
        <f>concatenate(ifs(istext(Raw!AT47),Raw!AT47,AND(Raw!AT47&gt;0,isblank(Raw!AS47)),concatenate(Raw!AT47," (A)"),AND(Raw!AR47&gt;0,Raw!AS47&gt;0),concatenate(Raw!AR47," to ",Raw!AS47),1,Raw!AS47),ifs(Raw!AU47="Y-","- (E)",Raw!AU47="Y"," (E)",1,))</f>
        <v>?</v>
      </c>
      <c r="AD47" s="253">
        <f>Raw!AW47</f>
        <v>3981.96</v>
      </c>
      <c r="AE47" s="239" t="str">
        <f>concatenate(Raw!AX47,if(isblank(Raw!AZ47),"",concatenate("/",Raw!AZ47)),if(isblank(Raw!BB47),"",concatenate("/",Raw!BB47)),if(isblank(Raw!BD47),"",concatenate("/",Raw!BD47)),if(isblank(Raw!BF47),"",concatenate("/",Raw!BF47)),if(Raw!BK47&gt;0,if(isblank(Raw!AX47),"Gromps","/Gromps"),))</f>
        <v>Guy's Run Goethite</v>
      </c>
      <c r="AF47" s="239" t="str">
        <f>concatenate(round(Raw!AY47,1),if(isblank(Raw!AZ47),"",concatenate("/",round(Raw!BA47,1))),if(isblank(Raw!BB47),"",concatenate("/",round(Raw!BC47,1))),if(isblank(Raw!BD47),"",concatenate("/",round(Raw!BE47,1))),if(isblank(Raw!BF47),"",concatenate("/",round(Raw!BG47,1))),if(isblank(Raw!BK47),,concatenate("/",if(isnumber(Raw!BK47),round(Raw!BK47,1),Raw!BK47))))</f>
        <v>91</v>
      </c>
      <c r="AG47" s="241">
        <f>Raw!BL47</f>
        <v>91</v>
      </c>
      <c r="AH47" s="254">
        <f>Raw!BI47</f>
        <v>0.58</v>
      </c>
      <c r="AI47" s="255" t="str">
        <f>Raw!BJ47</f>
        <v>roasted</v>
      </c>
      <c r="AJ47" s="255" t="str">
        <f>Raw!BM47</f>
        <v/>
      </c>
      <c r="AK47" s="255" t="str">
        <f>Raw!BO47</f>
        <v>1 to 5</v>
      </c>
      <c r="AL47" s="256">
        <f>Raw!BV47</f>
        <v>5.497435897</v>
      </c>
      <c r="AM47" s="244" t="str">
        <f>if(ISNUMBER(Raw!BW47),concatenate(floor(Raw!BW47/60,1),":",MOD(Raw!BW47,60)),Raw!BW47)</f>
        <v>2:33</v>
      </c>
      <c r="AN47" s="255">
        <f>Raw!BX47</f>
        <v>195</v>
      </c>
      <c r="AO47" s="256">
        <f>Raw!BZ47</f>
        <v>13.56818182</v>
      </c>
      <c r="AP47" s="256">
        <f>Raw!CA47</f>
        <v>5.58893617</v>
      </c>
      <c r="AQ47" s="255" t="str">
        <f>Raw!CB47</f>
        <v>mixed hardwood</v>
      </c>
      <c r="AR47" s="255" t="str">
        <f>Raw!CC47</f>
        <v>home made</v>
      </c>
      <c r="AS47" s="244" t="str">
        <f>concatenate(floor(Raw!CE47/60,1),":",text(MOD(Raw!CE47,60),"00"),ifs(Raw!CF47="Y"," (E)", Raw!CF47="Y+"," +", isblank(Raw!CF47),""))</f>
        <v>9:57</v>
      </c>
      <c r="AT47" s="255" t="str">
        <f>Raw!CR47</f>
        <v>bottom</v>
      </c>
      <c r="AU47" s="256">
        <f>Raw!CS47</f>
        <v>0</v>
      </c>
      <c r="AV47" s="255" t="str">
        <f>Raw!CT47</f>
        <v>none</v>
      </c>
      <c r="AW47" s="246" t="str">
        <f>if(Raw!CW47&gt;0,Raw!CW47,"None")</f>
        <v>na</v>
      </c>
      <c r="AX47" s="246" t="str">
        <f>if(Raw!CX47&gt;0,Raw!CX47,"None")</f>
        <v>na</v>
      </c>
      <c r="AY47" s="255" t="str">
        <f>Raw!CY47</f>
        <v>massive block</v>
      </c>
      <c r="AZ47" s="255" t="str">
        <f>Raw!CZ47</f>
        <v/>
      </c>
      <c r="BA47" s="255" t="str">
        <f>Raw!DA47</f>
        <v>Burkino Fasso</v>
      </c>
      <c r="BB47" s="255" t="str">
        <f>Raw!DB47</f>
        <v>proof of concept only</v>
      </c>
      <c r="BC47" s="257" t="str">
        <f>Raw!DC47</f>
        <v>too much focus on fine detail / modify method</v>
      </c>
      <c r="BD47" s="248"/>
    </row>
    <row r="48">
      <c r="A48" s="249">
        <f>Raw!A48</f>
        <v>47</v>
      </c>
      <c r="B48" s="250" t="str">
        <f>Raw!B48</f>
        <v>Experiment &amp; Iron</v>
      </c>
      <c r="C48" s="250" t="str">
        <f>Raw!C48</f>
        <v>Brown Students</v>
      </c>
      <c r="D48" s="250" t="str">
        <f>Raw!D48</f>
        <v>Bristol RI</v>
      </c>
      <c r="E48" s="251">
        <f>Raw!E48</f>
        <v>40654</v>
      </c>
      <c r="F48" s="250" t="str">
        <f>Raw!F48</f>
        <v>Viking Age</v>
      </c>
      <c r="G48" s="250" t="str">
        <f>Raw!G48</f>
        <v>N</v>
      </c>
      <c r="H48" s="250" t="str">
        <f>Raw!H48</f>
        <v>Teaching</v>
      </c>
      <c r="I48" s="250" t="str">
        <f>Raw!I48</f>
        <v>short shaft on block</v>
      </c>
      <c r="J48" s="250" t="str">
        <f>Raw!J48</f>
        <v>straw cobb</v>
      </c>
      <c r="K48" s="250" t="str">
        <f>if(isblank(Raw!K48),"",if(Raw!K48&gt;1,concatenate("Use ",Raw!K48," of Expt ",Raw!L48),"Use 1"))</f>
        <v/>
      </c>
      <c r="L48" s="250" t="str">
        <f>Raw!M48</f>
        <v>Circle</v>
      </c>
      <c r="M48" s="250" t="str">
        <f>Raw!N48</f>
        <v>cylinder</v>
      </c>
      <c r="N48" s="250">
        <f>Raw!O48</f>
        <v>64</v>
      </c>
      <c r="O48" s="250">
        <f>Raw!S48</f>
        <v>48</v>
      </c>
      <c r="P48" s="252">
        <f>Raw!T48</f>
        <v>39</v>
      </c>
      <c r="Q48" s="239" t="str">
        <f>if(L48="Rectangle",concatenate(Raw!U48," x ",Raw!V48),if(L48="Oval",concatenate(Raw!U48," by ",Raw!V48),if(isnumber(Raw!V48),concatenate(Raw!U48," to ",Raw!V48),Raw!U48)))</f>
        <v>25 to 24</v>
      </c>
      <c r="R48" s="239" t="str">
        <f>if(AND(Raw!Z48="Y",isnumber(Raw!X48)),concatenate(Raw!X48," (E)"),Raw!X48)</f>
        <v>25 (E)</v>
      </c>
      <c r="S48" s="241" t="str">
        <f>Calcs!B48</f>
        <v>490.9 (E)</v>
      </c>
      <c r="T48" s="252">
        <f>Raw!AB48</f>
        <v>8.5</v>
      </c>
      <c r="U48" s="252" t="str">
        <f>Raw!AC48</f>
        <v>8.5 x 25</v>
      </c>
      <c r="V48" s="252" t="str">
        <f>Raw!AD48</f>
        <v>ceramic / pipe</v>
      </c>
      <c r="W48" s="212" t="str">
        <f>concatenate(Raw!AE48,if(Raw!AF48="Y"," (T)",))</f>
        <v>2.5 / 2</v>
      </c>
      <c r="X48" s="212" t="str">
        <f>concatenate(Raw!AG48,if(isblank(Raw!AH48),"",concatenate(" ",Raw!AH48)),if(isblank(Raw!AI48),""," (E)"))</f>
        <v>20 Down</v>
      </c>
      <c r="Y48" s="212" t="str">
        <f>concatenate(Raw!AJ48,if(isblank(Raw!AK48),""," (E)"))</f>
        <v>4.5</v>
      </c>
      <c r="Z48" s="252" t="str">
        <f>Raw!AL48</f>
        <v>natural</v>
      </c>
      <c r="AA48" s="212" t="str">
        <f>concatenate(Raw!AO48,if(Raw!AP48="Y"," (E)",))</f>
        <v>16</v>
      </c>
      <c r="AB48" s="252" t="str">
        <f>Raw!AQ48</f>
        <v>electric blower</v>
      </c>
      <c r="AC48" s="212" t="str">
        <f>concatenate(ifs(istext(Raw!AT48),Raw!AT48,AND(Raw!AT48&gt;0,isblank(Raw!AS48)),concatenate(Raw!AT48," (A)"),AND(Raw!AR48&gt;0,Raw!AS48&gt;0),concatenate(Raw!AR48," to ",Raw!AS48),1,Raw!AS48),ifs(Raw!AU48="Y-","- (E)",Raw!AU48="Y"," (E)",1,))</f>
        <v>850</v>
      </c>
      <c r="AD48" s="253">
        <f>Raw!AW48</f>
        <v>589.08</v>
      </c>
      <c r="AE48" s="239" t="str">
        <f>concatenate(Raw!AX48,if(isblank(Raw!AZ48),"",concatenate("/",Raw!AZ48)),if(isblank(Raw!BB48),"",concatenate("/",Raw!BB48)),if(isblank(Raw!BD48),"",concatenate("/",Raw!BD48)),if(isblank(Raw!BF48),"",concatenate("/",Raw!BF48)),if(Raw!BK48&gt;0,if(isblank(Raw!AX48),"Gromps","/Gromps"),))</f>
        <v>Guy's Run Goethite/DD2S/Opta Hematite</v>
      </c>
      <c r="AF48" s="239" t="str">
        <f>concatenate(round(Raw!AY48,1),if(isblank(Raw!AZ48),"",concatenate("/",round(Raw!BA48,1))),if(isblank(Raw!BB48),"",concatenate("/",round(Raw!BC48,1))),if(isblank(Raw!BD48),"",concatenate("/",round(Raw!BE48,1))),if(isblank(Raw!BF48),"",concatenate("/",round(Raw!BG48,1))),if(isblank(Raw!BK48),,concatenate("/",if(isnumber(Raw!BK48),round(Raw!BK48,1),Raw!BK48))))</f>
        <v>18/9.5/1.5</v>
      </c>
      <c r="AG48" s="241">
        <f>Raw!BL48</f>
        <v>29</v>
      </c>
      <c r="AH48" s="254">
        <f>Raw!BI48</f>
        <v>0.5828993038</v>
      </c>
      <c r="AI48" s="255" t="str">
        <f>Raw!BJ48</f>
        <v>various</v>
      </c>
      <c r="AJ48" s="255" t="str">
        <f>Raw!BM48</f>
        <v/>
      </c>
      <c r="AK48" s="255" t="str">
        <f>Raw!BO48</f>
        <v>1 to 5</v>
      </c>
      <c r="AL48" s="256" t="str">
        <f>Raw!BV48</f>
        <v>NR</v>
      </c>
      <c r="AM48" s="244" t="str">
        <f>if(ISNUMBER(Raw!BW48),concatenate(floor(Raw!BW48/60,1),":",MOD(Raw!BW48,60)),Raw!BW48)</f>
        <v>0:55</v>
      </c>
      <c r="AN48" s="255">
        <f>Raw!BX48</f>
        <v>45</v>
      </c>
      <c r="AO48" s="256">
        <f>Raw!BZ48</f>
        <v>12.42105263</v>
      </c>
      <c r="AP48" s="256">
        <f>Raw!CA48</f>
        <v>9.365079365</v>
      </c>
      <c r="AQ48" s="255" t="str">
        <f>Raw!CB48</f>
        <v>oak rail ties</v>
      </c>
      <c r="AR48" s="255" t="str">
        <f>Raw!CC48</f>
        <v>Cowboy</v>
      </c>
      <c r="AS48" s="244" t="str">
        <f>concatenate(floor(Raw!CE48/60,1),":",text(MOD(Raw!CE48,60),"00"),ifs(Raw!CF48="Y"," (E)", Raw!CF48="Y+"," +", isblank(Raw!CF48),""))</f>
        <v>3:56</v>
      </c>
      <c r="AT48" s="255" t="str">
        <f>Raw!CR48</f>
        <v>bottom</v>
      </c>
      <c r="AU48" s="256">
        <f>Raw!CS48</f>
        <v>2.2</v>
      </c>
      <c r="AV48" s="255" t="str">
        <f>Raw!CT48</f>
        <v>fragmented</v>
      </c>
      <c r="AW48" s="246">
        <f>if(Raw!CW48&gt;0,Raw!CW48,"None")</f>
        <v>0.07586206897</v>
      </c>
      <c r="AX48" s="246">
        <f>if(Raw!CX48&gt;0,Raw!CX48,"None")</f>
        <v>0.1301460964</v>
      </c>
      <c r="AY48" s="255" t="str">
        <f>Raw!CY48</f>
        <v/>
      </c>
      <c r="AZ48" s="255" t="str">
        <f>Raw!CZ48</f>
        <v/>
      </c>
      <c r="BA48" s="255" t="str">
        <f>Raw!DA48</f>
        <v>standard</v>
      </c>
      <c r="BB48" s="255" t="str">
        <f>Raw!DB48</f>
        <v>teaching</v>
      </c>
      <c r="BC48" s="257" t="str">
        <f>Raw!DC48</f>
        <v>proves viablity of progam</v>
      </c>
      <c r="BD48" s="248"/>
    </row>
    <row r="49">
      <c r="A49" s="249" t="str">
        <f>Raw!A49</f>
        <v>D24</v>
      </c>
      <c r="B49" s="250" t="str">
        <f>Raw!B49</f>
        <v>CanIRON 8 test</v>
      </c>
      <c r="C49" s="250" t="str">
        <f>Raw!C49</f>
        <v>DARC</v>
      </c>
      <c r="D49" s="250" t="str">
        <f>Raw!D49</f>
        <v>Wareham ON</v>
      </c>
      <c r="E49" s="251">
        <f>Raw!E49</f>
        <v>40705</v>
      </c>
      <c r="F49" s="250" t="str">
        <f>Raw!F49</f>
        <v>modern</v>
      </c>
      <c r="G49" s="250" t="str">
        <f>Raw!G49</f>
        <v>N</v>
      </c>
      <c r="H49" s="250" t="str">
        <f>Raw!H49</f>
        <v/>
      </c>
      <c r="I49" s="250" t="str">
        <f>Raw!I49</f>
        <v>Econo Norse</v>
      </c>
      <c r="J49" s="250" t="str">
        <f>Raw!J49</f>
        <v>fire brick in sheet</v>
      </c>
      <c r="K49" s="250" t="str">
        <f>if(isblank(Raw!K49),"",if(Raw!K49&gt;1,concatenate("Use ",Raw!K49," of Expt ",Raw!L49),"Use 1"))</f>
        <v/>
      </c>
      <c r="L49" s="250" t="str">
        <f>Raw!M49</f>
        <v>Octagon</v>
      </c>
      <c r="M49" s="250" t="str">
        <f>Raw!N49</f>
        <v>cylinder</v>
      </c>
      <c r="N49" s="250">
        <f>Raw!O49</f>
        <v>65</v>
      </c>
      <c r="O49" s="250">
        <f>Raw!S49</f>
        <v>45</v>
      </c>
      <c r="P49" s="252">
        <f>Raw!T49</f>
        <v>45</v>
      </c>
      <c r="Q49" s="239">
        <f>if(L49="Rectangle",concatenate(Raw!U49," x ",Raw!V49),if(L49="Oval",concatenate(Raw!U49," by ",Raw!V49),if(isnumber(Raw!V49),concatenate(Raw!U49," to ",Raw!V49),Raw!U49)))</f>
        <v>25</v>
      </c>
      <c r="R49" s="239" t="str">
        <f>if(AND(Raw!Z49="Y",isnumber(Raw!X49)),concatenate(Raw!X49," (E)"),Raw!X49)</f>
        <v/>
      </c>
      <c r="S49" s="241">
        <f>Calcs!B49</f>
        <v>517.8</v>
      </c>
      <c r="T49" s="252" t="str">
        <f>Raw!AB49</f>
        <v>10 +</v>
      </c>
      <c r="U49" s="252" t="str">
        <f>Raw!AC49</f>
        <v>none</v>
      </c>
      <c r="V49" s="252" t="str">
        <f>Raw!AD49</f>
        <v>ceramic tube</v>
      </c>
      <c r="W49" s="212" t="str">
        <f>concatenate(Raw!AE49,if(Raw!AF49="Y"," (T)",))</f>
        <v>2.5</v>
      </c>
      <c r="X49" s="212" t="str">
        <f>concatenate(Raw!AG49,if(isblank(Raw!AH49),"",concatenate(" ",Raw!AH49)),if(isblank(Raw!AI49),""," (E)"))</f>
        <v>20 Down</v>
      </c>
      <c r="Y49" s="212" t="str">
        <f>concatenate(Raw!AJ49,if(isblank(Raw!AK49),""," (E)"))</f>
        <v>5</v>
      </c>
      <c r="Z49" s="252" t="str">
        <f>Raw!AL49</f>
        <v>charcoal fines</v>
      </c>
      <c r="AA49" s="212" t="str">
        <f>concatenate(Raw!AO49,if(Raw!AP49="Y"," (E)",))</f>
        <v>20</v>
      </c>
      <c r="AB49" s="252" t="str">
        <f>Raw!AQ49</f>
        <v>electric blower</v>
      </c>
      <c r="AC49" s="212" t="str">
        <f>concatenate(ifs(istext(Raw!AT49),Raw!AT49,AND(Raw!AT49&gt;0,isblank(Raw!AS49)),concatenate(Raw!AT49," (A)"),AND(Raw!AR49&gt;0,Raw!AS49&gt;0),concatenate(Raw!AR49," to ",Raw!AS49),1,Raw!AS49),ifs(Raw!AU49="Y-","- (E)",Raw!AU49="Y"," (E)",1,))</f>
        <v>900</v>
      </c>
      <c r="AD49" s="253">
        <f>Raw!AW49</f>
        <v>621.36</v>
      </c>
      <c r="AE49" s="239" t="str">
        <f>concatenate(Raw!AX49,if(isblank(Raw!AZ49),"",concatenate("/",Raw!AZ49)),if(isblank(Raw!BB49),"",concatenate("/",Raw!BB49)),if(isblank(Raw!BD49),"",concatenate("/",Raw!BD49)),if(isblank(Raw!BF49),"",concatenate("/",Raw!BF49)),if(Raw!BK49&gt;0,if(isblank(Raw!AX49),"Gromps","/Gromps"),))</f>
        <v>Bratton's Run Goethite</v>
      </c>
      <c r="AF49" s="239" t="str">
        <f>concatenate(round(Raw!AY49,1),if(isblank(Raw!AZ49),"",concatenate("/",round(Raw!BA49,1))),if(isblank(Raw!BB49),"",concatenate("/",round(Raw!BC49,1))),if(isblank(Raw!BD49),"",concatenate("/",round(Raw!BE49,1))),if(isblank(Raw!BF49),"",concatenate("/",round(Raw!BG49,1))),if(isblank(Raw!BK49),,concatenate("/",if(isnumber(Raw!BK49),round(Raw!BK49,1),Raw!BK49))))</f>
        <v>24</v>
      </c>
      <c r="AG49" s="241">
        <f>Raw!BL49</f>
        <v>24</v>
      </c>
      <c r="AH49" s="254">
        <f>Raw!BI49</f>
        <v>0.4535109057</v>
      </c>
      <c r="AI49" s="255" t="str">
        <f>Raw!BJ49</f>
        <v>roasted</v>
      </c>
      <c r="AJ49" s="255" t="str">
        <f>Raw!BM49</f>
        <v/>
      </c>
      <c r="AK49" s="255" t="str">
        <f>Raw!BO49</f>
        <v>1 to 5</v>
      </c>
      <c r="AL49" s="256">
        <f>Raw!BV49</f>
        <v>5.854166667</v>
      </c>
      <c r="AM49" s="244" t="str">
        <f>if(ISNUMBER(Raw!BW49),concatenate(floor(Raw!BW49/60,1),":",MOD(Raw!BW49,60)),Raw!BW49)</f>
        <v>1:20</v>
      </c>
      <c r="AN49" s="255">
        <f>Raw!BX49</f>
        <v>48</v>
      </c>
      <c r="AO49" s="256">
        <f>Raw!BZ49</f>
        <v>9.611111111</v>
      </c>
      <c r="AP49" s="256">
        <f>Raw!CA49</f>
        <v>5.195195195</v>
      </c>
      <c r="AQ49" s="255" t="str">
        <f>Raw!CB49</f>
        <v>maple</v>
      </c>
      <c r="AR49" s="255" t="str">
        <f>Raw!CC49</f>
        <v>Maple Leaf</v>
      </c>
      <c r="AS49" s="244" t="str">
        <f>concatenate(floor(Raw!CE49/60,1),":",text(MOD(Raw!CE49,60),"00"),ifs(Raw!CF49="Y"," (E)", Raw!CF49="Y+"," +", isblank(Raw!CF49),""))</f>
        <v>2:53</v>
      </c>
      <c r="AT49" s="255" t="str">
        <f>Raw!CR49</f>
        <v>dismantled</v>
      </c>
      <c r="AU49" s="256">
        <f>Raw!CS49</f>
        <v>2.65</v>
      </c>
      <c r="AV49" s="255" t="str">
        <f>Raw!CT49</f>
        <v>spongy</v>
      </c>
      <c r="AW49" s="246">
        <f>if(Raw!CW49&gt;0,Raw!CW49,"None")</f>
        <v>0.1104166667</v>
      </c>
      <c r="AX49" s="246">
        <f>if(Raw!CX49&gt;0,Raw!CX49,"None")</f>
        <v>0.243470808</v>
      </c>
      <c r="AY49" s="255" t="str">
        <f>Raw!CY49</f>
        <v/>
      </c>
      <c r="AZ49" s="255" t="str">
        <f>Raw!CZ49</f>
        <v/>
      </c>
      <c r="BA49" s="255" t="str">
        <f>Raw!DA49</f>
        <v>CanIRON 9 demo</v>
      </c>
      <c r="BB49" s="255" t="str">
        <f>Raw!DB49</f>
        <v>team experience</v>
      </c>
      <c r="BC49" s="257" t="str">
        <f>Raw!DC49</f>
        <v>too much detail on construction</v>
      </c>
      <c r="BD49" s="248"/>
    </row>
    <row r="50">
      <c r="A50" s="249" t="str">
        <f>Raw!A50</f>
        <v>D25</v>
      </c>
      <c r="B50" s="250" t="str">
        <f>Raw!B50</f>
        <v>CanIRON 8 demo</v>
      </c>
      <c r="C50" s="250" t="str">
        <f>Raw!C50</f>
        <v>DARC</v>
      </c>
      <c r="D50" s="250" t="str">
        <f>Raw!D50</f>
        <v>Fergus ON</v>
      </c>
      <c r="E50" s="251">
        <f>Raw!E50</f>
        <v>40752</v>
      </c>
      <c r="F50" s="250" t="str">
        <f>Raw!F50</f>
        <v>modern</v>
      </c>
      <c r="G50" s="250" t="str">
        <f>Raw!G50</f>
        <v>Y</v>
      </c>
      <c r="H50" s="250" t="str">
        <f>Raw!H50</f>
        <v/>
      </c>
      <c r="I50" s="250" t="str">
        <f>Raw!I50</f>
        <v>Econo Norse</v>
      </c>
      <c r="J50" s="250" t="str">
        <f>Raw!J50</f>
        <v>fire brick in sheet</v>
      </c>
      <c r="K50" s="250" t="str">
        <f>if(isblank(Raw!K50),"",if(Raw!K50&gt;1,concatenate("Use ",Raw!K50," of Expt ",Raw!L50),"Use 1"))</f>
        <v/>
      </c>
      <c r="L50" s="250" t="str">
        <f>Raw!M50</f>
        <v>Octagon</v>
      </c>
      <c r="M50" s="250" t="str">
        <f>Raw!N50</f>
        <v>cylinder</v>
      </c>
      <c r="N50" s="250">
        <f>Raw!O50</f>
        <v>65</v>
      </c>
      <c r="O50" s="250">
        <f>Raw!S50</f>
        <v>45</v>
      </c>
      <c r="P50" s="252">
        <f>Raw!T50</f>
        <v>45</v>
      </c>
      <c r="Q50" s="239">
        <f>if(L50="Rectangle",concatenate(Raw!U50," x ",Raw!V50),if(L50="Oval",concatenate(Raw!U50," by ",Raw!V50),if(isnumber(Raw!V50),concatenate(Raw!U50," to ",Raw!V50),Raw!U50)))</f>
        <v>25</v>
      </c>
      <c r="R50" s="239" t="str">
        <f>if(AND(Raw!Z50="Y",isnumber(Raw!X50)),concatenate(Raw!X50," (E)"),Raw!X50)</f>
        <v/>
      </c>
      <c r="S50" s="241">
        <f>Calcs!B50</f>
        <v>517.8</v>
      </c>
      <c r="T50" s="252" t="str">
        <f>Raw!AB50</f>
        <v>10 +</v>
      </c>
      <c r="U50" s="252" t="str">
        <f>Raw!AC50</f>
        <v>none</v>
      </c>
      <c r="V50" s="252" t="str">
        <f>Raw!AD50</f>
        <v>ceramic tube</v>
      </c>
      <c r="W50" s="212" t="str">
        <f>concatenate(Raw!AE50,if(Raw!AF50="Y"," (T)",))</f>
        <v>2.5</v>
      </c>
      <c r="X50" s="212" t="str">
        <f>concatenate(Raw!AG50,if(isblank(Raw!AH50),"",concatenate(" ",Raw!AH50)),if(isblank(Raw!AI50),""," (E)"))</f>
        <v>20 Down</v>
      </c>
      <c r="Y50" s="212" t="str">
        <f>concatenate(Raw!AJ50,if(isblank(Raw!AK50),""," (E)"))</f>
        <v>5</v>
      </c>
      <c r="Z50" s="252" t="str">
        <f>Raw!AL50</f>
        <v>charcoal fines</v>
      </c>
      <c r="AA50" s="212" t="str">
        <f>concatenate(Raw!AO50,if(Raw!AP50="Y"," (E)",))</f>
        <v>20</v>
      </c>
      <c r="AB50" s="252" t="str">
        <f>Raw!AQ50</f>
        <v>electric blower</v>
      </c>
      <c r="AC50" s="212" t="str">
        <f>concatenate(ifs(istext(Raw!AT50),Raw!AT50,AND(Raw!AT50&gt;0,isblank(Raw!AS50)),concatenate(Raw!AT50," (A)"),AND(Raw!AR50&gt;0,Raw!AS50&gt;0),concatenate(Raw!AR50," to ",Raw!AS50),1,Raw!AS50),ifs(Raw!AU50="Y-","- (E)",Raw!AU50="Y"," (E)",1,))</f>
        <v>900</v>
      </c>
      <c r="AD50" s="253">
        <f>Raw!AW50</f>
        <v>621.36</v>
      </c>
      <c r="AE50" s="239" t="str">
        <f>concatenate(Raw!AX50,if(isblank(Raw!AZ50),"",concatenate("/",Raw!AZ50)),if(isblank(Raw!BB50),"",concatenate("/",Raw!BB50)),if(isblank(Raw!BD50),"",concatenate("/",Raw!BD50)),if(isblank(Raw!BF50),"",concatenate("/",Raw!BF50)),if(Raw!BK50&gt;0,if(isblank(Raw!AX50),"Gromps","/Gromps"),))</f>
        <v>DD1Fd</v>
      </c>
      <c r="AF50" s="239" t="str">
        <f>concatenate(round(Raw!AY50,1),if(isblank(Raw!AZ50),"",concatenate("/",round(Raw!BA50,1))),if(isblank(Raw!BB50),"",concatenate("/",round(Raw!BC50,1))),if(isblank(Raw!BD50),"",concatenate("/",round(Raw!BE50,1))),if(isblank(Raw!BF50),"",concatenate("/",round(Raw!BG50,1))),if(isblank(Raw!BK50),,concatenate("/",if(isnumber(Raw!BK50),round(Raw!BK50,1),Raw!BK50))))</f>
        <v>26</v>
      </c>
      <c r="AG50" s="241">
        <f>Raw!BL50</f>
        <v>26</v>
      </c>
      <c r="AH50" s="254">
        <f>Raw!BI50</f>
        <v>0.5708528899</v>
      </c>
      <c r="AI50" s="255" t="str">
        <f>Raw!BJ50</f>
        <v>raw</v>
      </c>
      <c r="AJ50" s="255" t="str">
        <f>Raw!BM50</f>
        <v/>
      </c>
      <c r="AK50" s="255" t="str">
        <f>Raw!BO50</f>
        <v>all to 25</v>
      </c>
      <c r="AL50" s="256">
        <f>Raw!BV50</f>
        <v>6.446808511</v>
      </c>
      <c r="AM50" s="244" t="str">
        <f>if(ISNUMBER(Raw!BW50),concatenate(floor(Raw!BW50/60,1),":",MOD(Raw!BW50,60)),Raw!BW50)</f>
        <v>NR</v>
      </c>
      <c r="AN50" s="255">
        <f>Raw!BX50</f>
        <v>47</v>
      </c>
      <c r="AO50" s="256">
        <f>Raw!BZ50</f>
        <v>12.40909091</v>
      </c>
      <c r="AP50" s="256">
        <f>Raw!CA50</f>
        <v>6.893939394</v>
      </c>
      <c r="AQ50" s="255" t="str">
        <f>Raw!CB50</f>
        <v>maple</v>
      </c>
      <c r="AR50" s="255" t="str">
        <f>Raw!CC50</f>
        <v>Maple Leaf</v>
      </c>
      <c r="AS50" s="244" t="str">
        <f>concatenate(floor(Raw!CE50/60,1),":",text(MOD(Raw!CE50,60),"00"),ifs(Raw!CF50="Y"," (E)", Raw!CF50="Y+"," +", isblank(Raw!CF50),""))</f>
        <v>4:33</v>
      </c>
      <c r="AT50" s="255" t="str">
        <f>Raw!CR50</f>
        <v>dismantled</v>
      </c>
      <c r="AU50" s="256">
        <f>Raw!CS50</f>
        <v>5</v>
      </c>
      <c r="AV50" s="255" t="str">
        <f>Raw!CT50</f>
        <v>workable</v>
      </c>
      <c r="AW50" s="246">
        <f>if(Raw!CW50&gt;0,Raw!CW50,"None")</f>
        <v>0.1923076923</v>
      </c>
      <c r="AX50" s="246">
        <f>if(Raw!CX50&gt;0,Raw!CX50,"None")</f>
        <v>0.3368778467</v>
      </c>
      <c r="AY50" s="255" t="str">
        <f>Raw!CY50</f>
        <v/>
      </c>
      <c r="AZ50" s="255" t="str">
        <f>Raw!CZ50</f>
        <v/>
      </c>
      <c r="BA50" s="255" t="str">
        <f>Raw!DA50</f>
        <v>CanIRON 9 demo</v>
      </c>
      <c r="BB50" s="255" t="str">
        <f>Raw!DB50</f>
        <v>public demonstration</v>
      </c>
      <c r="BC50" s="257" t="str">
        <f>Raw!DC50</f>
        <v>good team performance</v>
      </c>
      <c r="BD50" s="248"/>
    </row>
    <row r="51">
      <c r="A51" s="249" t="str">
        <f>Raw!A51</f>
        <v>48 / D26</v>
      </c>
      <c r="B51" s="250" t="str">
        <f>Raw!B51</f>
        <v>Slag Pit 1</v>
      </c>
      <c r="C51" s="250" t="str">
        <f>Raw!C51</f>
        <v>Burnham, Peterson</v>
      </c>
      <c r="D51" s="250" t="str">
        <f>Raw!D51</f>
        <v>Wareham ON</v>
      </c>
      <c r="E51" s="251">
        <f>Raw!E51</f>
        <v>40825</v>
      </c>
      <c r="F51" s="250" t="str">
        <f>Raw!F51</f>
        <v>Celtic Iron Age</v>
      </c>
      <c r="G51" s="250" t="str">
        <f>Raw!G51</f>
        <v>N</v>
      </c>
      <c r="H51" s="250" t="str">
        <f>Raw!H51</f>
        <v/>
      </c>
      <c r="I51" s="250" t="str">
        <f>Raw!I51</f>
        <v>short shaft / slag pit</v>
      </c>
      <c r="J51" s="250" t="str">
        <f>Raw!J51</f>
        <v>straw cobb</v>
      </c>
      <c r="K51" s="250" t="str">
        <f>if(isblank(Raw!K51),"",if(Raw!K51&gt;1,concatenate("Use ",Raw!K51," of Expt ",Raw!L51),"Use 1"))</f>
        <v>Use 1</v>
      </c>
      <c r="L51" s="250" t="str">
        <f>Raw!M51</f>
        <v>Circle</v>
      </c>
      <c r="M51" s="250" t="str">
        <f>Raw!N51</f>
        <v>cylinder</v>
      </c>
      <c r="N51" s="250">
        <f>Raw!O51</f>
        <v>55</v>
      </c>
      <c r="O51" s="250">
        <f>Raw!S51</f>
        <v>43</v>
      </c>
      <c r="P51" s="252">
        <f>Raw!T51</f>
        <v>40</v>
      </c>
      <c r="Q51" s="239">
        <f>if(L51="Rectangle",concatenate(Raw!U51," x ",Raw!V51),if(L51="Oval",concatenate(Raw!U51," by ",Raw!V51),if(isnumber(Raw!V51),concatenate(Raw!U51," to ",Raw!V51),Raw!U51)))</f>
        <v>25</v>
      </c>
      <c r="R51" s="239" t="str">
        <f>if(AND(Raw!Z51="Y",isnumber(Raw!X51)),concatenate(Raw!X51," (E)"),Raw!X51)</f>
        <v/>
      </c>
      <c r="S51" s="241">
        <f>Calcs!B51</f>
        <v>490.9</v>
      </c>
      <c r="T51" s="252">
        <f>Raw!AB51</f>
        <v>7.5</v>
      </c>
      <c r="U51" s="252" t="str">
        <f>Raw!AC51</f>
        <v>19 x 10</v>
      </c>
      <c r="V51" s="252" t="str">
        <f>Raw!AD51</f>
        <v>ceramic tube</v>
      </c>
      <c r="W51" s="212" t="str">
        <f>concatenate(Raw!AE51,if(Raw!AF51="Y"," (T)",))</f>
        <v>2.5</v>
      </c>
      <c r="X51" s="212" t="str">
        <f>concatenate(Raw!AG51,if(isblank(Raw!AH51),"",concatenate(" ",Raw!AH51)),if(isblank(Raw!AI51),""," (E)"))</f>
        <v>20 Down</v>
      </c>
      <c r="Y51" s="212" t="str">
        <f>concatenate(Raw!AJ51,if(isblank(Raw!AK51),""," (E)"))</f>
        <v>5</v>
      </c>
      <c r="Z51" s="252" t="str">
        <f>Raw!AL51</f>
        <v>charcoal fines</v>
      </c>
      <c r="AA51" s="212" t="str">
        <f>concatenate(Raw!AO51,if(Raw!AP51="Y"," (E)",))</f>
        <v>13</v>
      </c>
      <c r="AB51" s="252" t="str">
        <f>Raw!AQ51</f>
        <v>electric blower</v>
      </c>
      <c r="AC51" s="212" t="str">
        <f>concatenate(ifs(istext(Raw!AT51),Raw!AT51,AND(Raw!AT51&gt;0,isblank(Raw!AS51)),concatenate(Raw!AT51," (A)"),AND(Raw!AR51&gt;0,Raw!AS51&gt;0),concatenate(Raw!AR51," to ",Raw!AS51),1,Raw!AS51),ifs(Raw!AU51="Y-","- (E)",Raw!AU51="Y"," (E)",1,))</f>
        <v>800</v>
      </c>
      <c r="AD51" s="253">
        <f>Raw!AW51</f>
        <v>589.08</v>
      </c>
      <c r="AE51" s="239" t="str">
        <f>concatenate(Raw!AX51,if(isblank(Raw!AZ51),"",concatenate("/",Raw!AZ51)),if(isblank(Raw!BB51),"",concatenate("/",Raw!BB51)),if(isblank(Raw!BD51),"",concatenate("/",Raw!BD51)),if(isblank(Raw!BF51),"",concatenate("/",Raw!BF51)),if(Raw!BK51&gt;0,if(isblank(Raw!AX51),"Gromps","/Gromps"),))</f>
        <v>Bratton's Run Goethite/DD1</v>
      </c>
      <c r="AF51" s="239" t="str">
        <f>concatenate(round(Raw!AY51,1),if(isblank(Raw!AZ51),"",concatenate("/",round(Raw!BA51,1))),if(isblank(Raw!BB51),"",concatenate("/",round(Raw!BC51,1))),if(isblank(Raw!BD51),"",concatenate("/",round(Raw!BE51,1))),if(isblank(Raw!BF51),"",concatenate("/",round(Raw!BG51,1))),if(isblank(Raw!BK51),,concatenate("/",if(isnumber(Raw!BK51),round(Raw!BK51,1),Raw!BK51))))</f>
        <v>24.5/23.5</v>
      </c>
      <c r="AG51" s="241">
        <f>Raw!BL51</f>
        <v>48</v>
      </c>
      <c r="AH51" s="254">
        <f>Raw!BI51</f>
        <v>0.4999001809</v>
      </c>
      <c r="AI51" s="255" t="str">
        <f>Raw!BJ51</f>
        <v>roasted</v>
      </c>
      <c r="AJ51" s="255" t="str">
        <f>Raw!BM51</f>
        <v/>
      </c>
      <c r="AK51" s="255" t="str">
        <f>Raw!BO51</f>
        <v>1 to 5</v>
      </c>
      <c r="AL51" s="256">
        <f>Raw!BV51</f>
        <v>5.307692308</v>
      </c>
      <c r="AM51" s="244" t="str">
        <f>if(ISNUMBER(Raw!BW51),concatenate(floor(Raw!BW51/60,1),":",MOD(Raw!BW51,60)),Raw!BW51)</f>
        <v>1:56</v>
      </c>
      <c r="AN51" s="255">
        <f>Raw!BX51</f>
        <v>65</v>
      </c>
      <c r="AO51" s="256">
        <f>Raw!BZ51</f>
        <v>9.25</v>
      </c>
      <c r="AP51" s="256">
        <f>Raw!CA51</f>
        <v>5.206030151</v>
      </c>
      <c r="AQ51" s="255" t="str">
        <f>Raw!CB51</f>
        <v>maple</v>
      </c>
      <c r="AR51" s="255" t="str">
        <f>Raw!CC51</f>
        <v>Maple Leaf</v>
      </c>
      <c r="AS51" s="244" t="str">
        <f>concatenate(floor(Raw!CE51/60,1),":",text(MOD(Raw!CE51,60),"00"),ifs(Raw!CF51="Y"," (E)", Raw!CF51="Y+"," +", isblank(Raw!CF51),""))</f>
        <v>4:19</v>
      </c>
      <c r="AT51" s="255" t="str">
        <f>Raw!CR51</f>
        <v>bottom</v>
      </c>
      <c r="AU51" s="256">
        <f>Raw!CS51</f>
        <v>0</v>
      </c>
      <c r="AV51" s="255" t="str">
        <f>Raw!CT51</f>
        <v>none</v>
      </c>
      <c r="AW51" s="246" t="str">
        <f>if(Raw!CW51&gt;0,Raw!CW51,"None")</f>
        <v>na</v>
      </c>
      <c r="AX51" s="246" t="str">
        <f>if(Raw!CX51&gt;0,Raw!CX51,"None")</f>
        <v>na</v>
      </c>
      <c r="AY51" s="255" t="str">
        <f>Raw!CY51</f>
        <v>massive block</v>
      </c>
      <c r="AZ51" s="255">
        <f>Raw!CZ51</f>
        <v>40</v>
      </c>
      <c r="BA51" s="255" t="str">
        <f>Raw!DA51</f>
        <v>van de Manakker</v>
      </c>
      <c r="BB51" s="255" t="str">
        <f>Raw!DB51</f>
        <v>proof of concept</v>
      </c>
      <c r="BC51" s="257" t="str">
        <f>Raw!DC51</f>
        <v>questionable ore means no iron</v>
      </c>
      <c r="BD51" s="248"/>
    </row>
    <row r="52">
      <c r="A52" s="249">
        <f>Raw!A52</f>
        <v>49</v>
      </c>
      <c r="B52" s="250" t="str">
        <f>Raw!B52</f>
        <v>Slag Pit 2</v>
      </c>
      <c r="C52" s="250" t="str">
        <f>Raw!C52</f>
        <v>Peterson</v>
      </c>
      <c r="D52" s="250" t="str">
        <f>Raw!D52</f>
        <v>Wareham ON</v>
      </c>
      <c r="E52" s="251">
        <f>Raw!E52</f>
        <v>40852</v>
      </c>
      <c r="F52" s="250" t="str">
        <f>Raw!F52</f>
        <v>Celtic Iron Age</v>
      </c>
      <c r="G52" s="250" t="str">
        <f>Raw!G52</f>
        <v>N</v>
      </c>
      <c r="H52" s="250" t="str">
        <f>Raw!H52</f>
        <v/>
      </c>
      <c r="I52" s="250" t="str">
        <f>Raw!I52</f>
        <v>short shaft / slag pit</v>
      </c>
      <c r="J52" s="250" t="str">
        <f>Raw!J52</f>
        <v>straw cobb</v>
      </c>
      <c r="K52" s="250" t="str">
        <f>if(isblank(Raw!K52),"",if(Raw!K52&gt;1,concatenate("Use ",Raw!K52," of Expt ",Raw!L52),"Use 1"))</f>
        <v>Use 2 of Expt 48 / D26</v>
      </c>
      <c r="L52" s="250" t="str">
        <f>Raw!M52</f>
        <v>Circle</v>
      </c>
      <c r="M52" s="250" t="str">
        <f>Raw!N52</f>
        <v>cylinder</v>
      </c>
      <c r="N52" s="250">
        <f>Raw!O52</f>
        <v>55</v>
      </c>
      <c r="O52" s="250">
        <f>Raw!S52</f>
        <v>43</v>
      </c>
      <c r="P52" s="252">
        <f>Raw!T52</f>
        <v>40</v>
      </c>
      <c r="Q52" s="239">
        <f>if(L52="Rectangle",concatenate(Raw!U52," x ",Raw!V52),if(L52="Oval",concatenate(Raw!U52," by ",Raw!V52),if(isnumber(Raw!V52),concatenate(Raw!U52," to ",Raw!V52),Raw!U52)))</f>
        <v>25</v>
      </c>
      <c r="R52" s="239" t="str">
        <f>if(AND(Raw!Z52="Y",isnumber(Raw!X52)),concatenate(Raw!X52," (E)"),Raw!X52)</f>
        <v/>
      </c>
      <c r="S52" s="241">
        <f>Calcs!B52</f>
        <v>490.9</v>
      </c>
      <c r="T52" s="252">
        <f>Raw!AB52</f>
        <v>7.5</v>
      </c>
      <c r="U52" s="252" t="str">
        <f>Raw!AC52</f>
        <v>19 x 10</v>
      </c>
      <c r="V52" s="252" t="str">
        <f>Raw!AD52</f>
        <v>ceramic tube</v>
      </c>
      <c r="W52" s="212" t="str">
        <f>concatenate(Raw!AE52,if(Raw!AF52="Y"," (T)",))</f>
        <v>2.5</v>
      </c>
      <c r="X52" s="212" t="str">
        <f>concatenate(Raw!AG52,if(isblank(Raw!AH52),"",concatenate(" ",Raw!AH52)),if(isblank(Raw!AI52),""," (E)"))</f>
        <v>20 Down</v>
      </c>
      <c r="Y52" s="212" t="str">
        <f>concatenate(Raw!AJ52,if(isblank(Raw!AK52),""," (E)"))</f>
        <v>5</v>
      </c>
      <c r="Z52" s="252" t="str">
        <f>Raw!AL52</f>
        <v>charcoal fines</v>
      </c>
      <c r="AA52" s="212" t="str">
        <f>concatenate(Raw!AO52,if(Raw!AP52="Y"," (E)",))</f>
        <v>10</v>
      </c>
      <c r="AB52" s="252" t="str">
        <f>Raw!AQ52</f>
        <v>electric blower</v>
      </c>
      <c r="AC52" s="212" t="str">
        <f>concatenate(ifs(istext(Raw!AT52),Raw!AT52,AND(Raw!AT52&gt;0,isblank(Raw!AS52)),concatenate(Raw!AT52," (A)"),AND(Raw!AR52&gt;0,Raw!AS52&gt;0),concatenate(Raw!AR52," to ",Raw!AS52),1,Raw!AS52),ifs(Raw!AU52="Y-","- (E)",Raw!AU52="Y"," (E)",1,))</f>
        <v>900</v>
      </c>
      <c r="AD52" s="253">
        <f>Raw!AW52</f>
        <v>589.08</v>
      </c>
      <c r="AE52" s="239" t="str">
        <f>concatenate(Raw!AX52,if(isblank(Raw!AZ52),"",concatenate("/",Raw!AZ52)),if(isblank(Raw!BB52),"",concatenate("/",Raw!BB52)),if(isblank(Raw!BD52),"",concatenate("/",Raw!BD52)),if(isblank(Raw!BF52),"",concatenate("/",Raw!BF52)),if(Raw!BK52&gt;0,if(isblank(Raw!AX52),"Gromps","/Gromps"),))</f>
        <v>Stelco Taconite</v>
      </c>
      <c r="AF52" s="239" t="str">
        <f>concatenate(round(Raw!AY52,1),if(isblank(Raw!AZ52),"",concatenate("/",round(Raw!BA52,1))),if(isblank(Raw!BB52),"",concatenate("/",round(Raw!BC52,1))),if(isblank(Raw!BD52),"",concatenate("/",round(Raw!BE52,1))),if(isblank(Raw!BF52),"",concatenate("/",round(Raw!BG52,1))),if(isblank(Raw!BK52),,concatenate("/",if(isnumber(Raw!BK52),round(Raw!BK52,1),Raw!BK52))))</f>
        <v>19.2</v>
      </c>
      <c r="AG52" s="241">
        <f>Raw!BL52</f>
        <v>19.2</v>
      </c>
      <c r="AH52" s="254">
        <f>Raw!BI52</f>
        <v>0.6539677619</v>
      </c>
      <c r="AI52" s="255" t="str">
        <f>Raw!BJ52</f>
        <v>roasted</v>
      </c>
      <c r="AJ52" s="255" t="str">
        <f>Raw!BM52</f>
        <v/>
      </c>
      <c r="AK52" s="255" t="str">
        <f>Raw!BO52</f>
        <v>1 to 5</v>
      </c>
      <c r="AL52" s="256">
        <f>Raw!BV52</f>
        <v>5.567010309</v>
      </c>
      <c r="AM52" s="244" t="str">
        <f>if(ISNUMBER(Raw!BW52),concatenate(floor(Raw!BW52/60,1),":",MOD(Raw!BW52,60)),Raw!BW52)</f>
        <v>0:50</v>
      </c>
      <c r="AN52" s="255">
        <f>Raw!BX52</f>
        <v>48.5</v>
      </c>
      <c r="AO52" s="256">
        <f>Raw!BZ52</f>
        <v>10.14285714</v>
      </c>
      <c r="AP52" s="256">
        <f>Raw!CA52</f>
        <v>5.399239544</v>
      </c>
      <c r="AQ52" s="255" t="str">
        <f>Raw!CB52</f>
        <v>maple</v>
      </c>
      <c r="AR52" s="255" t="str">
        <f>Raw!CC52</f>
        <v>Maple Leaf</v>
      </c>
      <c r="AS52" s="244" t="str">
        <f>concatenate(floor(Raw!CE52/60,1),":",text(MOD(Raw!CE52,60),"00"),ifs(Raw!CF52="Y"," (E)", Raw!CF52="Y+"," +", isblank(Raw!CF52),""))</f>
        <v>2:22</v>
      </c>
      <c r="AT52" s="255" t="str">
        <f>Raw!CR52</f>
        <v>top</v>
      </c>
      <c r="AU52" s="256">
        <f>Raw!CS52</f>
        <v>6.4</v>
      </c>
      <c r="AV52" s="255" t="str">
        <f>Raw!CT52</f>
        <v>workable</v>
      </c>
      <c r="AW52" s="246">
        <f>if(Raw!CW52&gt;0,Raw!CW52,"None")</f>
        <v>0.3333333333</v>
      </c>
      <c r="AX52" s="246">
        <f>if(Raw!CX52&gt;0,Raw!CX52,"None")</f>
        <v>0.5097091214</v>
      </c>
      <c r="AY52" s="255" t="str">
        <f>Raw!CY52</f>
        <v>block</v>
      </c>
      <c r="AZ52" s="255">
        <f>Raw!CZ52</f>
        <v>7.1</v>
      </c>
      <c r="BA52" s="255" t="str">
        <f>Raw!DA52</f>
        <v>van de Manakker</v>
      </c>
      <c r="BB52" s="255" t="str">
        <f>Raw!DB52</f>
        <v>proof of concept</v>
      </c>
      <c r="BC52" s="257" t="str">
        <f>Raw!DC52</f>
        <v>repeat with good ore proves system</v>
      </c>
      <c r="BD52" s="248"/>
    </row>
    <row r="53">
      <c r="A53" s="249">
        <f>Raw!A53</f>
        <v>50</v>
      </c>
      <c r="B53" s="250" t="str">
        <f>Raw!B53</f>
        <v>Production</v>
      </c>
      <c r="C53" s="250" t="str">
        <f>Raw!C53</f>
        <v/>
      </c>
      <c r="D53" s="250" t="str">
        <f>Raw!D53</f>
        <v>Wareham ON</v>
      </c>
      <c r="E53" s="251">
        <f>Raw!E53</f>
        <v>41034</v>
      </c>
      <c r="F53" s="250" t="str">
        <f>Raw!F53</f>
        <v>modern</v>
      </c>
      <c r="G53" s="250" t="str">
        <f>Raw!G53</f>
        <v>N</v>
      </c>
      <c r="H53" s="250" t="str">
        <f>Raw!H53</f>
        <v/>
      </c>
      <c r="I53" s="250" t="str">
        <f>Raw!I53</f>
        <v>short shaft on brick</v>
      </c>
      <c r="J53" s="250" t="str">
        <f>Raw!J53</f>
        <v>manure cobb in can</v>
      </c>
      <c r="K53" s="250" t="str">
        <f>if(isblank(Raw!K53),"",if(Raw!K53&gt;1,concatenate("Use ",Raw!K53," of Expt ",Raw!L53),"Use 1"))</f>
        <v>Use 1</v>
      </c>
      <c r="L53" s="250" t="str">
        <f>Raw!M53</f>
        <v>Circle</v>
      </c>
      <c r="M53" s="250" t="str">
        <f>Raw!N53</f>
        <v>conical</v>
      </c>
      <c r="N53" s="250">
        <f>Raw!O53</f>
        <v>77</v>
      </c>
      <c r="O53" s="250">
        <f>Raw!S53</f>
        <v>48</v>
      </c>
      <c r="P53" s="252" t="str">
        <f>Raw!T53</f>
        <v>40 to 35</v>
      </c>
      <c r="Q53" s="239" t="str">
        <f>if(L53="Rectangle",concatenate(Raw!U53," x ",Raw!V53),if(L53="Oval",concatenate(Raw!U53," by ",Raw!V53),if(isnumber(Raw!V53),concatenate(Raw!U53," to ",Raw!V53),Raw!U53)))</f>
        <v>29 to 25.5</v>
      </c>
      <c r="R53" s="239">
        <f>if(AND(Raw!Z53="Y",isnumber(Raw!X53)),concatenate(Raw!X53," (E)"),Raw!X53)</f>
        <v>28.5</v>
      </c>
      <c r="S53" s="241">
        <f>Calcs!B53</f>
        <v>637.9</v>
      </c>
      <c r="T53" s="252" t="str">
        <f>Raw!AB53</f>
        <v>NR to 5</v>
      </c>
      <c r="U53" s="252" t="str">
        <f>Raw!AC53</f>
        <v>23 x 23</v>
      </c>
      <c r="V53" s="252" t="str">
        <f>Raw!AD53</f>
        <v>forged copper</v>
      </c>
      <c r="W53" s="212" t="str">
        <f>concatenate(Raw!AE53,if(Raw!AF53="Y"," (T)",))</f>
        <v>2.5 (T)</v>
      </c>
      <c r="X53" s="212" t="str">
        <f>concatenate(Raw!AG53,if(isblank(Raw!AH53),"",concatenate(" ",Raw!AH53)),if(isblank(Raw!AI53),""," (E)"))</f>
        <v>20 Down</v>
      </c>
      <c r="Y53" s="212" t="str">
        <f>concatenate(Raw!AJ53,if(isblank(Raw!AK53),""," (E)"))</f>
        <v>5</v>
      </c>
      <c r="Z53" s="252" t="str">
        <f>Raw!AL53</f>
        <v>charcoal fines</v>
      </c>
      <c r="AA53" s="212" t="str">
        <f>concatenate(Raw!AO53,if(Raw!AP53="Y"," (E)",))</f>
        <v>15</v>
      </c>
      <c r="AB53" s="252" t="str">
        <f>Raw!AQ53</f>
        <v>electric blower</v>
      </c>
      <c r="AC53" s="212" t="str">
        <f>concatenate(ifs(istext(Raw!AT53),Raw!AT53,AND(Raw!AT53&gt;0,isblank(Raw!AS53)),concatenate(Raw!AT53," (A)"),AND(Raw!AR53&gt;0,Raw!AS53&gt;0),concatenate(Raw!AR53," to ",Raw!AS53),1,Raw!AS53),ifs(Raw!AU53="Y-","- (E)",Raw!AU53="Y"," (E)",1,))</f>
        <v>800</v>
      </c>
      <c r="AD53" s="253">
        <f>Raw!AW53</f>
        <v>765.48</v>
      </c>
      <c r="AE53" s="239" t="str">
        <f>concatenate(Raw!AX53,if(isblank(Raw!AZ53),"",concatenate("/",Raw!AZ53)),if(isblank(Raw!BB53),"",concatenate("/",Raw!BB53)),if(isblank(Raw!BD53),"",concatenate("/",Raw!BD53)),if(isblank(Raw!BF53),"",concatenate("/",Raw!BF53)),if(Raw!BK53&gt;0,if(isblank(Raw!AX53),"Gromps","/Gromps"),))</f>
        <v>Jamestown Goethite</v>
      </c>
      <c r="AF53" s="239" t="str">
        <f>concatenate(round(Raw!AY53,1),if(isblank(Raw!AZ53),"",concatenate("/",round(Raw!BA53,1))),if(isblank(Raw!BB53),"",concatenate("/",round(Raw!BC53,1))),if(isblank(Raw!BD53),"",concatenate("/",round(Raw!BE53,1))),if(isblank(Raw!BF53),"",concatenate("/",round(Raw!BG53,1))),if(isblank(Raw!BK53),,concatenate("/",if(isnumber(Raw!BK53),round(Raw!BK53,1),Raw!BK53))))</f>
        <v>42.9</v>
      </c>
      <c r="AG53" s="241">
        <f>Raw!BL53</f>
        <v>43.9</v>
      </c>
      <c r="AH53" s="254">
        <f>Raw!BI53</f>
        <v>0.5109834022</v>
      </c>
      <c r="AI53" s="255" t="str">
        <f>Raw!BJ53</f>
        <v>roasted</v>
      </c>
      <c r="AJ53" s="255" t="str">
        <f>Raw!BM53</f>
        <v/>
      </c>
      <c r="AK53" s="255" t="str">
        <f>Raw!BO53</f>
        <v>1 to 5</v>
      </c>
      <c r="AL53" s="256">
        <f>Raw!BV53</f>
        <v>11.18181818</v>
      </c>
      <c r="AM53" s="244" t="str">
        <f>if(ISNUMBER(Raw!BW53),concatenate(floor(Raw!BW53/60,1),":",MOD(Raw!BW53,60)),Raw!BW53)</f>
        <v>2:0</v>
      </c>
      <c r="AN53" s="255">
        <f>Raw!BX53</f>
        <v>55</v>
      </c>
      <c r="AO53" s="256">
        <f>Raw!BZ53</f>
        <v>15.61904762</v>
      </c>
      <c r="AP53" s="256">
        <f>Raw!CA53</f>
        <v>8.728046833</v>
      </c>
      <c r="AQ53" s="255" t="str">
        <f>Raw!CB53</f>
        <v>maple / oak - hickory</v>
      </c>
      <c r="AR53" s="255" t="str">
        <f>Raw!CC53</f>
        <v>Maple Leaf / Royal Oak</v>
      </c>
      <c r="AS53" s="244" t="str">
        <f>concatenate(floor(Raw!CE53/60,1),":",text(MOD(Raw!CE53,60),"00"),ifs(Raw!CF53="Y"," (E)", Raw!CF53="Y+"," +", isblank(Raw!CF53),""))</f>
        <v>5:28</v>
      </c>
      <c r="AT53" s="255" t="str">
        <f>Raw!CR53</f>
        <v>top - bottom</v>
      </c>
      <c r="AU53" s="256">
        <f>Raw!CS53</f>
        <v>12.27</v>
      </c>
      <c r="AV53" s="255" t="str">
        <f>Raw!CT53</f>
        <v>lumpy</v>
      </c>
      <c r="AW53" s="246">
        <f>if(Raw!CW53&gt;0,Raw!CW53,"None")</f>
        <v>0.279498861</v>
      </c>
      <c r="AX53" s="246">
        <f>if(Raw!CX53&gt;0,Raw!CX53,"None")</f>
        <v>0.5469822695</v>
      </c>
      <c r="AY53" s="255" t="str">
        <f>Raw!CY53</f>
        <v/>
      </c>
      <c r="AZ53" s="255" t="str">
        <f>Raw!CZ53</f>
        <v/>
      </c>
      <c r="BA53" s="255" t="str">
        <f>Raw!DA53</f>
        <v>Lee Sauder</v>
      </c>
      <c r="BB53" s="255" t="str">
        <f>Raw!DB53</f>
        <v>production furnace build</v>
      </c>
      <c r="BC53" s="257" t="str">
        <f>Raw!DC53</f>
        <v>solid durable design as expected</v>
      </c>
      <c r="BD53" s="248"/>
    </row>
    <row r="54">
      <c r="A54" s="249" t="str">
        <f>Raw!A54</f>
        <v>51 / D27</v>
      </c>
      <c r="B54" s="250" t="str">
        <f>Raw!B54</f>
        <v>Icelandic 5</v>
      </c>
      <c r="C54" s="250" t="str">
        <f>Raw!C54</f>
        <v>DARC</v>
      </c>
      <c r="D54" s="250" t="str">
        <f>Raw!D54</f>
        <v>Wareham ON</v>
      </c>
      <c r="E54" s="251">
        <f>Raw!E54</f>
        <v>41055</v>
      </c>
      <c r="F54" s="250" t="str">
        <f>Raw!F54</f>
        <v>Viking Age Icelandic</v>
      </c>
      <c r="G54" s="250" t="str">
        <f>Raw!G54</f>
        <v>Y</v>
      </c>
      <c r="H54" s="250" t="str">
        <f>Raw!H54</f>
        <v>Icelandic</v>
      </c>
      <c r="I54" s="250" t="str">
        <f>Raw!I54</f>
        <v>banked short shaft</v>
      </c>
      <c r="J54" s="250" t="str">
        <f>Raw!J54</f>
        <v>clay</v>
      </c>
      <c r="K54" s="250" t="str">
        <f>if(isblank(Raw!K54),"",if(Raw!K54&gt;1,concatenate("Use ",Raw!K54," of Expt ",Raw!L54),"Use 1"))</f>
        <v/>
      </c>
      <c r="L54" s="250" t="str">
        <f>Raw!M54</f>
        <v>Oval</v>
      </c>
      <c r="M54" s="250" t="str">
        <f>Raw!N54</f>
        <v>cylinder</v>
      </c>
      <c r="N54" s="250">
        <f>Raw!O54</f>
        <v>60</v>
      </c>
      <c r="O54" s="250">
        <f>Raw!S54</f>
        <v>48</v>
      </c>
      <c r="P54" s="252" t="str">
        <f>Raw!T54</f>
        <v>36 - 34</v>
      </c>
      <c r="Q54" s="239" t="str">
        <f>if(L54="Rectangle",concatenate(Raw!U54," x ",Raw!V54),if(L54="Oval",concatenate(Raw!U54," by ",Raw!V54),if(isnumber(Raw!V54),concatenate(Raw!U54," to ",Raw!V54),Raw!U54)))</f>
        <v>28 by 26</v>
      </c>
      <c r="R54" s="239" t="str">
        <f>if(AND(Raw!Z54="Y",isnumber(Raw!X54)),concatenate(Raw!X54," (E)"),Raw!X54)</f>
        <v/>
      </c>
      <c r="S54" s="241">
        <f>Calcs!B54</f>
        <v>571.8</v>
      </c>
      <c r="T54" s="252">
        <f>Raw!AB54</f>
        <v>4</v>
      </c>
      <c r="U54" s="252" t="str">
        <f>Raw!AC54</f>
        <v>10 x 14</v>
      </c>
      <c r="V54" s="252" t="str">
        <f>Raw!AD54</f>
        <v>ceramic tube</v>
      </c>
      <c r="W54" s="212" t="str">
        <f>concatenate(Raw!AE54,if(Raw!AF54="Y"," (T)",))</f>
        <v>2.5</v>
      </c>
      <c r="X54" s="212" t="str">
        <f>concatenate(Raw!AG54,if(isblank(Raw!AH54),"",concatenate(" ",Raw!AH54)),if(isblank(Raw!AI54),""," (E)"))</f>
        <v>22 Down</v>
      </c>
      <c r="Y54" s="212" t="str">
        <f>concatenate(Raw!AJ54,if(isblank(Raw!AK54),""," (E)"))</f>
        <v>5</v>
      </c>
      <c r="Z54" s="252" t="str">
        <f>Raw!AL54</f>
        <v>ash &amp; fines</v>
      </c>
      <c r="AA54" s="212" t="str">
        <f>concatenate(Raw!AO54,if(Raw!AP54="Y"," (E)",))</f>
        <v>10</v>
      </c>
      <c r="AB54" s="252" t="str">
        <f>Raw!AQ54</f>
        <v>electric blower</v>
      </c>
      <c r="AC54" s="212" t="str">
        <f>concatenate(ifs(istext(Raw!AT54),Raw!AT54,AND(Raw!AT54&gt;0,isblank(Raw!AS54)),concatenate(Raw!AT54," (A)"),AND(Raw!AR54&gt;0,Raw!AS54&gt;0),concatenate(Raw!AR54," to ",Raw!AS54),1,Raw!AS54),ifs(Raw!AU54="Y-","- (E)",Raw!AU54="Y"," (E)",1,))</f>
        <v>800</v>
      </c>
      <c r="AD54" s="253">
        <f>Raw!AW54</f>
        <v>686.16</v>
      </c>
      <c r="AE54" s="239" t="str">
        <f>concatenate(Raw!AX54,if(isblank(Raw!AZ54),"",concatenate("/",Raw!AZ54)),if(isblank(Raw!BB54),"",concatenate("/",Raw!BB54)),if(isblank(Raw!BD54),"",concatenate("/",Raw!BD54)),if(isblank(Raw!BF54),"",concatenate("/",Raw!BF54)),if(Raw!BK54&gt;0,if(isblank(Raw!AX54),"Gromps","/Gromps"),))</f>
        <v>DD1Sb</v>
      </c>
      <c r="AF54" s="239" t="str">
        <f>concatenate(round(Raw!AY54,1),if(isblank(Raw!AZ54),"",concatenate("/",round(Raw!BA54,1))),if(isblank(Raw!BB54),"",concatenate("/",round(Raw!BC54,1))),if(isblank(Raw!BD54),"",concatenate("/",round(Raw!BE54,1))),if(isblank(Raw!BF54),"",concatenate("/",round(Raw!BG54,1))),if(isblank(Raw!BK54),,concatenate("/",if(isnumber(Raw!BK54),round(Raw!BK54,1),Raw!BK54))))</f>
        <v>31.8</v>
      </c>
      <c r="AG54" s="241">
        <f>Raw!BL54</f>
        <v>31.8</v>
      </c>
      <c r="AH54" s="254">
        <f>Raw!BI54</f>
        <v>0.5237823369</v>
      </c>
      <c r="AI54" s="255" t="str">
        <f>Raw!BJ54</f>
        <v>raw</v>
      </c>
      <c r="AJ54" s="255" t="str">
        <f>Raw!BM54</f>
        <v/>
      </c>
      <c r="AK54" s="255" t="str">
        <f>Raw!BO54</f>
        <v>all to 25</v>
      </c>
      <c r="AL54" s="256">
        <f>Raw!BV54</f>
        <v>6.734693878</v>
      </c>
      <c r="AM54" s="244" t="str">
        <f>if(ISNUMBER(Raw!BW54),concatenate(floor(Raw!BW54/60,1),":",MOD(Raw!BW54,60)),Raw!BW54)</f>
        <v>1:0</v>
      </c>
      <c r="AN54" s="255">
        <f>Raw!BX54</f>
        <v>49</v>
      </c>
      <c r="AO54" s="256">
        <f>Raw!BZ54</f>
        <v>12.44444444</v>
      </c>
      <c r="AP54" s="256">
        <f>Raw!CA54</f>
        <v>8.296296296</v>
      </c>
      <c r="AQ54" s="255" t="str">
        <f>Raw!CB54</f>
        <v>maple</v>
      </c>
      <c r="AR54" s="255" t="str">
        <f>Raw!CC54</f>
        <v>Maple Leaf</v>
      </c>
      <c r="AS54" s="244" t="str">
        <f>concatenate(floor(Raw!CE54/60,1),":",text(MOD(Raw!CE54,60),"00"),ifs(Raw!CF54="Y"," (E)", Raw!CF54="Y+"," +", isblank(Raw!CF54),""))</f>
        <v>3:44</v>
      </c>
      <c r="AT54" s="255" t="str">
        <f>Raw!CR54</f>
        <v>top</v>
      </c>
      <c r="AU54" s="256">
        <f>Raw!CS54</f>
        <v>5.8</v>
      </c>
      <c r="AV54" s="255" t="str">
        <f>Raw!CT54</f>
        <v>solid</v>
      </c>
      <c r="AW54" s="246">
        <f>if(Raw!CW54&gt;0,Raw!CW54,"None")</f>
        <v>0.1823899371</v>
      </c>
      <c r="AX54" s="246">
        <f>if(Raw!CX54&gt;0,Raw!CX54,"None")</f>
        <v>0.3482170441</v>
      </c>
      <c r="AY54" s="255" t="str">
        <f>Raw!CY54</f>
        <v/>
      </c>
      <c r="AZ54" s="255" t="str">
        <f>Raw!CZ54</f>
        <v/>
      </c>
      <c r="BA54" s="255" t="str">
        <f>Raw!DA54</f>
        <v>Hals Iceland</v>
      </c>
      <c r="BB54" s="255" t="str">
        <f>Raw!DB54</f>
        <v>resume Icelandic series</v>
      </c>
      <c r="BC54" s="257" t="str">
        <f>Raw!DC54</f>
        <v>re-familurization</v>
      </c>
      <c r="BD54" s="248"/>
    </row>
    <row r="55">
      <c r="A55" s="249">
        <f>Raw!A55</f>
        <v>52</v>
      </c>
      <c r="B55" s="250" t="str">
        <f>Raw!B55</f>
        <v>Celtic Festival</v>
      </c>
      <c r="C55" s="250" t="str">
        <f>Raw!C55</f>
        <v>Celtic College</v>
      </c>
      <c r="D55" s="250" t="str">
        <f>Raw!D55</f>
        <v>Goderich ON</v>
      </c>
      <c r="E55" s="251">
        <f>Raw!E55</f>
        <v>41132</v>
      </c>
      <c r="F55" s="250" t="str">
        <f>Raw!F55</f>
        <v>Viking Age</v>
      </c>
      <c r="G55" s="250" t="str">
        <f>Raw!G55</f>
        <v>Y</v>
      </c>
      <c r="H55" s="250" t="str">
        <f>Raw!H55</f>
        <v>Teaching</v>
      </c>
      <c r="I55" s="250" t="str">
        <f>Raw!I55</f>
        <v>short shaft on block</v>
      </c>
      <c r="J55" s="250" t="str">
        <f>Raw!J55</f>
        <v>NR clay</v>
      </c>
      <c r="K55" s="250" t="str">
        <f>if(isblank(Raw!K55),"",if(Raw!K55&gt;1,concatenate("Use ",Raw!K55," of Expt ",Raw!L55),"Use 1"))</f>
        <v/>
      </c>
      <c r="L55" s="250" t="str">
        <f>Raw!M55</f>
        <v>Oval</v>
      </c>
      <c r="M55" s="250" t="str">
        <f>Raw!N55</f>
        <v>cylinder</v>
      </c>
      <c r="N55" s="250">
        <f>Raw!O55</f>
        <v>64</v>
      </c>
      <c r="O55" s="250">
        <f>Raw!S55</f>
        <v>45</v>
      </c>
      <c r="P55" s="252" t="str">
        <f>Raw!T55</f>
        <v>41- 37</v>
      </c>
      <c r="Q55" s="239" t="str">
        <f>if(L55="Rectangle",concatenate(Raw!U55," x ",Raw!V55),if(L55="Oval",concatenate(Raw!U55," by ",Raw!V55),if(isnumber(Raw!V55),concatenate(Raw!U55," to ",Raw!V55),Raw!U55)))</f>
        <v>29 by 27</v>
      </c>
      <c r="R55" s="239" t="str">
        <f>if(AND(Raw!Z55="Y",isnumber(Raw!X55)),concatenate(Raw!X55," (E)"),Raw!X55)</f>
        <v/>
      </c>
      <c r="S55" s="241">
        <f>Calcs!B55</f>
        <v>615</v>
      </c>
      <c r="T55" s="252" t="str">
        <f>Raw!AB55</f>
        <v>6 to 5</v>
      </c>
      <c r="U55" s="252" t="str">
        <f>Raw!AC55</f>
        <v>15 x 11</v>
      </c>
      <c r="V55" s="252" t="str">
        <f>Raw!AD55</f>
        <v>ceramic tube</v>
      </c>
      <c r="W55" s="212" t="str">
        <f>concatenate(Raw!AE55,if(Raw!AF55="Y"," (T)",))</f>
        <v>2.5</v>
      </c>
      <c r="X55" s="212" t="str">
        <f>concatenate(Raw!AG55,if(isblank(Raw!AH55),"",concatenate(" ",Raw!AH55)),if(isblank(Raw!AI55),""," (E)"))</f>
        <v>20 Down</v>
      </c>
      <c r="Y55" s="212" t="str">
        <f>concatenate(Raw!AJ55,if(isblank(Raw!AK55),""," (E)"))</f>
        <v>5.5</v>
      </c>
      <c r="Z55" s="252" t="str">
        <f>Raw!AL55</f>
        <v>ash &amp; fines</v>
      </c>
      <c r="AA55" s="212" t="str">
        <f>concatenate(Raw!AO55,if(Raw!AP55="Y"," (E)",))</f>
        <v>15</v>
      </c>
      <c r="AB55" s="252" t="str">
        <f>Raw!AQ55</f>
        <v>electric blower</v>
      </c>
      <c r="AC55" s="212" t="str">
        <f>concatenate(ifs(istext(Raw!AT55),Raw!AT55,AND(Raw!AT55&gt;0,isblank(Raw!AS55)),concatenate(Raw!AT55," (A)"),AND(Raw!AR55&gt;0,Raw!AS55&gt;0),concatenate(Raw!AR55," to ",Raw!AS55),1,Raw!AS55),ifs(Raw!AU55="Y-","- (E)",Raw!AU55="Y"," (E)",1,))</f>
        <v>800</v>
      </c>
      <c r="AD55" s="253">
        <f>Raw!AW55</f>
        <v>738</v>
      </c>
      <c r="AE55" s="239" t="str">
        <f>concatenate(Raw!AX55,if(isblank(Raw!AZ55),"",concatenate("/",Raw!AZ55)),if(isblank(Raw!BB55),"",concatenate("/",Raw!BB55)),if(isblank(Raw!BD55),"",concatenate("/",Raw!BD55)),if(isblank(Raw!BF55),"",concatenate("/",Raw!BF55)),if(Raw!BK55&gt;0,if(isblank(Raw!AX55),"Gromps","/Gromps"),))</f>
        <v>DD1Fd</v>
      </c>
      <c r="AF55" s="239" t="str">
        <f>concatenate(round(Raw!AY55,1),if(isblank(Raw!AZ55),"",concatenate("/",round(Raw!BA55,1))),if(isblank(Raw!BB55),"",concatenate("/",round(Raw!BC55,1))),if(isblank(Raw!BD55),"",concatenate("/",round(Raw!BE55,1))),if(isblank(Raw!BF55),"",concatenate("/",round(Raw!BG55,1))),if(isblank(Raw!BK55),,concatenate("/",if(isnumber(Raw!BK55),round(Raw!BK55,1),Raw!BK55))))</f>
        <v>31.8</v>
      </c>
      <c r="AG55" s="241">
        <f>Raw!BL55</f>
        <v>31.8</v>
      </c>
      <c r="AH55" s="254">
        <f>Raw!BI55</f>
        <v>0.5708528899</v>
      </c>
      <c r="AI55" s="255" t="str">
        <f>Raw!BJ55</f>
        <v>raw</v>
      </c>
      <c r="AJ55" s="255" t="str">
        <f>Raw!BM55</f>
        <v/>
      </c>
      <c r="AK55" s="255" t="str">
        <f>Raw!BO55</f>
        <v>all to 25</v>
      </c>
      <c r="AL55" s="256">
        <f>Raw!BV55</f>
        <v>7.46</v>
      </c>
      <c r="AM55" s="244" t="str">
        <f>if(ISNUMBER(Raw!BW55),concatenate(floor(Raw!BW55/60,1),":",MOD(Raw!BW55,60)),Raw!BW55)</f>
        <v>0:50</v>
      </c>
      <c r="AN55" s="255">
        <f>Raw!BX55</f>
        <v>50</v>
      </c>
      <c r="AO55" s="256">
        <f>Raw!BZ55</f>
        <v>11.40909091</v>
      </c>
      <c r="AP55" s="256">
        <f>Raw!CA55</f>
        <v>7.537537538</v>
      </c>
      <c r="AQ55" s="255" t="str">
        <f>Raw!CB55</f>
        <v>maple</v>
      </c>
      <c r="AR55" s="255" t="str">
        <f>Raw!CC55</f>
        <v>Maple Leaf</v>
      </c>
      <c r="AS55" s="244" t="str">
        <f>concatenate(floor(Raw!CE55/60,1),":",text(MOD(Raw!CE55,60),"00"),ifs(Raw!CF55="Y"," (E)", Raw!CF55="Y+"," +", isblank(Raw!CF55),""))</f>
        <v>4:11</v>
      </c>
      <c r="AT55" s="255" t="str">
        <f>Raw!CR55</f>
        <v>top</v>
      </c>
      <c r="AU55" s="256">
        <f>Raw!CS55</f>
        <v>7.1</v>
      </c>
      <c r="AV55" s="255" t="str">
        <f>Raw!CT55</f>
        <v>solid</v>
      </c>
      <c r="AW55" s="246">
        <f>if(Raw!CW55&gt;0,Raw!CW55,"None")</f>
        <v>0.2232704403</v>
      </c>
      <c r="AX55" s="246">
        <f>if(Raw!CX55&gt;0,Raw!CX55,"None")</f>
        <v>0.3911172987</v>
      </c>
      <c r="AY55" s="255" t="str">
        <f>Raw!CY55</f>
        <v/>
      </c>
      <c r="AZ55" s="255" t="str">
        <f>Raw!CZ55</f>
        <v/>
      </c>
      <c r="BA55" s="255" t="str">
        <f>Raw!DA55</f>
        <v>proven design</v>
      </c>
      <c r="BB55" s="255" t="str">
        <f>Raw!DB55</f>
        <v>public demonstration</v>
      </c>
      <c r="BC55" s="257" t="str">
        <f>Raw!DC55</f>
        <v>excellent demonstration &amp; teaching</v>
      </c>
      <c r="BD55" s="248"/>
    </row>
    <row r="56">
      <c r="A56" s="249">
        <f>Raw!A56</f>
        <v>53</v>
      </c>
      <c r="B56" s="250" t="str">
        <f>Raw!B56</f>
        <v>ICMS demo</v>
      </c>
      <c r="C56" s="250" t="str">
        <f>Raw!C56</f>
        <v>ICMS</v>
      </c>
      <c r="D56" s="250" t="str">
        <f>Raw!D56</f>
        <v>Kalamzoo MI</v>
      </c>
      <c r="E56" s="251">
        <f>Raw!E56</f>
        <v>41405</v>
      </c>
      <c r="F56" s="250" t="str">
        <f>Raw!F56</f>
        <v>Viking Age</v>
      </c>
      <c r="G56" s="250" t="str">
        <f>Raw!G56</f>
        <v>Y</v>
      </c>
      <c r="H56" s="250" t="str">
        <f>Raw!H56</f>
        <v/>
      </c>
      <c r="I56" s="250" t="str">
        <f>Raw!I56</f>
        <v>short shaft on block</v>
      </c>
      <c r="J56" s="250" t="str">
        <f>Raw!J56</f>
        <v>NR clay</v>
      </c>
      <c r="K56" s="250" t="str">
        <f>if(isblank(Raw!K56),"",if(Raw!K56&gt;1,concatenate("Use ",Raw!K56," of Expt ",Raw!L56),"Use 1"))</f>
        <v/>
      </c>
      <c r="L56" s="250" t="str">
        <f>Raw!M56</f>
        <v>Circle</v>
      </c>
      <c r="M56" s="250" t="str">
        <f>Raw!N56</f>
        <v>cylinder</v>
      </c>
      <c r="N56" s="250">
        <f>Raw!O56</f>
        <v>72</v>
      </c>
      <c r="O56" s="250">
        <f>Raw!S56</f>
        <v>59</v>
      </c>
      <c r="P56" s="252">
        <f>Raw!T56</f>
        <v>37</v>
      </c>
      <c r="Q56" s="239">
        <f>if(L56="Rectangle",concatenate(Raw!U56," x ",Raw!V56),if(L56="Oval",concatenate(Raw!U56," by ",Raw!V56),if(isnumber(Raw!V56),concatenate(Raw!U56," to ",Raw!V56),Raw!U56)))</f>
        <v>28</v>
      </c>
      <c r="R56" s="239" t="str">
        <f>if(AND(Raw!Z56="Y",isnumber(Raw!X56)),concatenate(Raw!X56," (E)"),Raw!X56)</f>
        <v/>
      </c>
      <c r="S56" s="241">
        <f>Calcs!B56</f>
        <v>615.8</v>
      </c>
      <c r="T56" s="252" t="str">
        <f>Raw!AB56</f>
        <v>7.5 to 4.5</v>
      </c>
      <c r="U56" s="252" t="str">
        <f>Raw!AC56</f>
        <v>15 x 6.5</v>
      </c>
      <c r="V56" s="252" t="str">
        <f>Raw!AD56</f>
        <v>ceramic tube</v>
      </c>
      <c r="W56" s="212" t="str">
        <f>concatenate(Raw!AE56,if(Raw!AF56="Y"," (T)",))</f>
        <v>2.5</v>
      </c>
      <c r="X56" s="212" t="str">
        <f>concatenate(Raw!AG56,if(isblank(Raw!AH56),"",concatenate(" ",Raw!AH56)),if(isblank(Raw!AI56),""," (E)"))</f>
        <v>20 Down</v>
      </c>
      <c r="Y56" s="212" t="str">
        <f>concatenate(Raw!AJ56,if(isblank(Raw!AK56),""," (E)"))</f>
        <v>4</v>
      </c>
      <c r="Z56" s="252" t="str">
        <f>Raw!AL56</f>
        <v>charcoal fines</v>
      </c>
      <c r="AA56" s="212" t="str">
        <f>concatenate(Raw!AO56,if(Raw!AP56="Y"," (E)",))</f>
        <v>15</v>
      </c>
      <c r="AB56" s="252" t="str">
        <f>Raw!AQ56</f>
        <v>electric blower</v>
      </c>
      <c r="AC56" s="212" t="str">
        <f>concatenate(ifs(istext(Raw!AT56),Raw!AT56,AND(Raw!AT56&gt;0,isblank(Raw!AS56)),concatenate(Raw!AT56," (A)"),AND(Raw!AR56&gt;0,Raw!AS56&gt;0),concatenate(Raw!AR56," to ",Raw!AS56),1,Raw!AS56),ifs(Raw!AU56="Y-","- (E)",Raw!AU56="Y"," (E)",1,))</f>
        <v>900</v>
      </c>
      <c r="AD56" s="253">
        <f>Raw!AW56</f>
        <v>738.96</v>
      </c>
      <c r="AE56" s="239" t="str">
        <f>concatenate(Raw!AX56,if(isblank(Raw!AZ56),"",concatenate("/",Raw!AZ56)),if(isblank(Raw!BB56),"",concatenate("/",Raw!BB56)),if(isblank(Raw!BD56),"",concatenate("/",Raw!BD56)),if(isblank(Raw!BF56),"",concatenate("/",Raw!BF56)),if(Raw!BK56&gt;0,if(isblank(Raw!AX56),"Gromps","/Gromps"),))</f>
        <v>DD1Fe</v>
      </c>
      <c r="AF56" s="239" t="str">
        <f>concatenate(round(Raw!AY56,1),if(isblank(Raw!AZ56),"",concatenate("/",round(Raw!BA56,1))),if(isblank(Raw!BB56),"",concatenate("/",round(Raw!BC56,1))),if(isblank(Raw!BD56),"",concatenate("/",round(Raw!BE56,1))),if(isblank(Raw!BF56),"",concatenate("/",round(Raw!BG56,1))),if(isblank(Raw!BK56),,concatenate("/",if(isnumber(Raw!BK56),round(Raw!BK56,1),Raw!BK56))))</f>
        <v>25</v>
      </c>
      <c r="AG56" s="241">
        <f>Raw!BL56</f>
        <v>25</v>
      </c>
      <c r="AH56" s="254">
        <f>Raw!BI56</f>
        <v>0.5884677539</v>
      </c>
      <c r="AI56" s="255" t="str">
        <f>Raw!BJ56</f>
        <v>raw</v>
      </c>
      <c r="AJ56" s="255" t="str">
        <f>Raw!BM56</f>
        <v/>
      </c>
      <c r="AK56" s="255" t="str">
        <f>Raw!BO56</f>
        <v>all to 25</v>
      </c>
      <c r="AL56" s="256" t="str">
        <f>Raw!BV56</f>
        <v>NR</v>
      </c>
      <c r="AM56" s="244" t="str">
        <f>if(ISNUMBER(Raw!BW56),concatenate(floor(Raw!BW56/60,1),":",MOD(Raw!BW56,60)),Raw!BW56)</f>
        <v>2:6</v>
      </c>
      <c r="AN56" s="255">
        <f>Raw!BX56</f>
        <v>68</v>
      </c>
      <c r="AO56" s="256">
        <f>Raw!BZ56</f>
        <v>12.73684211</v>
      </c>
      <c r="AP56" s="256">
        <f>Raw!CA56</f>
        <v>5.789473684</v>
      </c>
      <c r="AQ56" s="255" t="str">
        <f>Raw!CB56</f>
        <v>? hardwood</v>
      </c>
      <c r="AR56" s="255" t="str">
        <f>Raw!CC56</f>
        <v>NR</v>
      </c>
      <c r="AS56" s="244" t="str">
        <f>concatenate(floor(Raw!CE56/60,1),":",text(MOD(Raw!CE56,60),"00"),ifs(Raw!CF56="Y"," (E)", Raw!CF56="Y+"," +", isblank(Raw!CF56),""))</f>
        <v>4:02</v>
      </c>
      <c r="AT56" s="255" t="str">
        <f>Raw!CR56</f>
        <v>bottom</v>
      </c>
      <c r="AU56" s="256">
        <f>Raw!CS56</f>
        <v>5.4</v>
      </c>
      <c r="AV56" s="255" t="str">
        <f>Raw!CT56</f>
        <v>solid</v>
      </c>
      <c r="AW56" s="246">
        <f>if(Raw!CW56&gt;0,Raw!CW56,"None")</f>
        <v>0.216</v>
      </c>
      <c r="AX56" s="246">
        <f>if(Raw!CX56&gt;0,Raw!CX56,"None")</f>
        <v>0.3670549466</v>
      </c>
      <c r="AY56" s="255" t="str">
        <f>Raw!CY56</f>
        <v/>
      </c>
      <c r="AZ56" s="255" t="str">
        <f>Raw!CZ56</f>
        <v/>
      </c>
      <c r="BA56" s="255" t="str">
        <f>Raw!DA56</f>
        <v/>
      </c>
      <c r="BB56" s="255" t="str">
        <f>Raw!DB56</f>
        <v>workshop / demo</v>
      </c>
      <c r="BC56" s="257" t="str">
        <f>Raw!DC56</f>
        <v>excellent demonstration &amp; teaching</v>
      </c>
      <c r="BD56" s="248"/>
    </row>
    <row r="57">
      <c r="A57" s="249">
        <f>Raw!A57</f>
        <v>54</v>
      </c>
      <c r="B57" s="250" t="str">
        <f>Raw!B57</f>
        <v>Intro Smelting</v>
      </c>
      <c r="C57" s="250" t="str">
        <f>Raw!C57</f>
        <v>Evarts, Eamon</v>
      </c>
      <c r="D57" s="250" t="str">
        <f>Raw!D57</f>
        <v>Wareham ON</v>
      </c>
      <c r="E57" s="251">
        <f>Raw!E57</f>
        <v>41420</v>
      </c>
      <c r="F57" s="250" t="str">
        <f>Raw!F57</f>
        <v>Viking Age</v>
      </c>
      <c r="G57" s="250" t="str">
        <f>Raw!G57</f>
        <v>N</v>
      </c>
      <c r="H57" s="250" t="str">
        <f>Raw!H57</f>
        <v>Teaching</v>
      </c>
      <c r="I57" s="250" t="str">
        <f>Raw!I57</f>
        <v>short shaft on block</v>
      </c>
      <c r="J57" s="250" t="str">
        <f>Raw!J57</f>
        <v>manure cobb</v>
      </c>
      <c r="K57" s="250" t="str">
        <f>if(isblank(Raw!K57),"",if(Raw!K57&gt;1,concatenate("Use ",Raw!K57," of Expt ",Raw!L57),"Use 1"))</f>
        <v/>
      </c>
      <c r="L57" s="250" t="str">
        <f>Raw!M57</f>
        <v>Oval</v>
      </c>
      <c r="M57" s="250" t="str">
        <f>Raw!N57</f>
        <v>cylinder</v>
      </c>
      <c r="N57" s="250">
        <f>Raw!O57</f>
        <v>72</v>
      </c>
      <c r="O57" s="250">
        <f>Raw!S57</f>
        <v>57</v>
      </c>
      <c r="P57" s="252">
        <f>Raw!T57</f>
        <v>43</v>
      </c>
      <c r="Q57" s="239" t="str">
        <f>if(L57="Rectangle",concatenate(Raw!U57," x ",Raw!V57),if(L57="Oval",concatenate(Raw!U57," by ",Raw!V57),if(isnumber(Raw!V57),concatenate(Raw!U57," to ",Raw!V57),Raw!U57)))</f>
        <v>29 by 27</v>
      </c>
      <c r="R57" s="239" t="str">
        <f>if(AND(Raw!Z57="Y",isnumber(Raw!X57)),concatenate(Raw!X57," (E)"),Raw!X57)</f>
        <v/>
      </c>
      <c r="S57" s="241">
        <f>Calcs!B57</f>
        <v>615</v>
      </c>
      <c r="T57" s="252" t="str">
        <f>Raw!AB57</f>
        <v>6 to 5</v>
      </c>
      <c r="U57" s="252" t="str">
        <f>Raw!AC57</f>
        <v>18 x 10</v>
      </c>
      <c r="V57" s="252" t="str">
        <f>Raw!AD57</f>
        <v>ceramic tube</v>
      </c>
      <c r="W57" s="212" t="str">
        <f>concatenate(Raw!AE57,if(Raw!AF57="Y"," (T)",))</f>
        <v>2.5</v>
      </c>
      <c r="X57" s="212" t="str">
        <f>concatenate(Raw!AG57,if(isblank(Raw!AH57),"",concatenate(" ",Raw!AH57)),if(isblank(Raw!AI57),""," (E)"))</f>
        <v>22 Down</v>
      </c>
      <c r="Y57" s="212" t="str">
        <f>concatenate(Raw!AJ57,if(isblank(Raw!AK57),""," (E)"))</f>
        <v>4</v>
      </c>
      <c r="Z57" s="252" t="str">
        <f>Raw!AL57</f>
        <v>charcoal fines</v>
      </c>
      <c r="AA57" s="212" t="str">
        <f>concatenate(Raw!AO57,if(Raw!AP57="Y"," (E)",))</f>
        <v>13</v>
      </c>
      <c r="AB57" s="252" t="str">
        <f>Raw!AQ57</f>
        <v>electric blower</v>
      </c>
      <c r="AC57" s="212" t="str">
        <f>concatenate(ifs(istext(Raw!AT57),Raw!AT57,AND(Raw!AT57&gt;0,isblank(Raw!AS57)),concatenate(Raw!AT57," (A)"),AND(Raw!AR57&gt;0,Raw!AS57&gt;0),concatenate(Raw!AR57," to ",Raw!AS57),1,Raw!AS57),ifs(Raw!AU57="Y-","- (E)",Raw!AU57="Y"," (E)",1,))</f>
        <v>800</v>
      </c>
      <c r="AD57" s="253">
        <f>Raw!AW57</f>
        <v>738</v>
      </c>
      <c r="AE57" s="239" t="str">
        <f>concatenate(Raw!AX57,if(isblank(Raw!AZ57),"",concatenate("/",Raw!AZ57)),if(isblank(#REF!),"",concatenate("/",#REF!)),if(isblank(Raw!BB57),"",concatenate("/",Raw!BB57)),if(isblank(Raw!BF57),"",concatenate("/",Raw!BF57)),if(Raw!BK57&gt;0,if(isblank(Raw!AX57),"Gromps","/Gromps"),))</f>
        <v>#REF!</v>
      </c>
      <c r="AF57" s="239" t="str">
        <f>concatenate(round(Raw!AY57,1),if(isblank(Raw!AZ57),"",concatenate("/",round(Raw!BA57,1))),if(isblank(#REF!),"",concatenate("/",round(Raw!BC57,1))),if(isblank(Raw!BB57),"",concatenate("/",round(Raw!BE57,1))),if(isblank(Raw!BF57),"",concatenate("/",round(Raw!BG57,1))),if(isblank(Raw!BK57),,concatenate("/",if(isnumber(Raw!BK57),round(Raw!BK57,1),Raw!BK57))))</f>
        <v>12/14.4/4/0</v>
      </c>
      <c r="AG57" s="241">
        <f>Raw!BL57</f>
        <v>30.4</v>
      </c>
      <c r="AH57" s="254" t="str">
        <f>Raw!BI57</f>
        <v>?</v>
      </c>
      <c r="AI57" s="255" t="str">
        <f>Raw!BJ57</f>
        <v>roasted</v>
      </c>
      <c r="AJ57" s="255" t="str">
        <f>Raw!BM57</f>
        <v/>
      </c>
      <c r="AK57" s="255" t="str">
        <f>Raw!BO57</f>
        <v>all to 5 / 25</v>
      </c>
      <c r="AL57" s="256" t="str">
        <f>Raw!BV57</f>
        <v>NR</v>
      </c>
      <c r="AM57" s="244" t="str">
        <f>if(ISNUMBER(Raw!BW57),concatenate(floor(Raw!BW57/60,1),":",MOD(Raw!BW57,60)),Raw!BW57)</f>
        <v>1:21</v>
      </c>
      <c r="AN57" s="255">
        <f>Raw!BX57</f>
        <v>53</v>
      </c>
      <c r="AO57" s="256">
        <f>Raw!BZ57</f>
        <v>9.25</v>
      </c>
      <c r="AP57" s="256">
        <f>Raw!CA57</f>
        <v>5.243764172</v>
      </c>
      <c r="AQ57" s="255" t="str">
        <f>Raw!CB57</f>
        <v>maple</v>
      </c>
      <c r="AR57" s="255" t="str">
        <f>Raw!CC57</f>
        <v>Maple Leaf</v>
      </c>
      <c r="AS57" s="244" t="str">
        <f>concatenate(floor(Raw!CE57/60,1),":",text(MOD(Raw!CE57,60),"00"),ifs(Raw!CF57="Y"," (E)", Raw!CF57="Y+"," +", isblank(Raw!CF57),""))</f>
        <v>3:05</v>
      </c>
      <c r="AT57" s="255" t="str">
        <f>Raw!CR57</f>
        <v>bottom</v>
      </c>
      <c r="AU57" s="256">
        <f>Raw!CS57</f>
        <v>10.5</v>
      </c>
      <c r="AV57" s="255" t="str">
        <f>Raw!CT57</f>
        <v>crumbly</v>
      </c>
      <c r="AW57" s="246">
        <f>if(Raw!CW57&gt;0,Raw!CW57,"None")</f>
        <v>0.3453947368</v>
      </c>
      <c r="AX57" s="246" t="str">
        <f>if(Raw!CX57&gt;0,Raw!CX57,"None")</f>
        <v>?</v>
      </c>
      <c r="AY57" s="255" t="str">
        <f>Raw!CY57</f>
        <v/>
      </c>
      <c r="AZ57" s="255" t="str">
        <f>Raw!CZ57</f>
        <v/>
      </c>
      <c r="BA57" s="255" t="str">
        <f>Raw!DA57</f>
        <v/>
      </c>
      <c r="BB57" s="255" t="str">
        <f>Raw!DB57</f>
        <v>teaching</v>
      </c>
      <c r="BC57" s="257" t="str">
        <f>Raw!DC57</f>
        <v>good results / teaching</v>
      </c>
      <c r="BD57" s="248"/>
    </row>
    <row r="58">
      <c r="A58" s="249">
        <f>Raw!A58</f>
        <v>55</v>
      </c>
      <c r="B58" s="250" t="str">
        <f>Raw!B58</f>
        <v>Experiment &amp; Iron</v>
      </c>
      <c r="C58" s="250" t="str">
        <f>Raw!C58</f>
        <v>Students</v>
      </c>
      <c r="D58" s="250" t="str">
        <f>Raw!D58</f>
        <v>Washington College MD</v>
      </c>
      <c r="E58" s="251">
        <f>Raw!E58</f>
        <v>41569</v>
      </c>
      <c r="F58" s="250" t="str">
        <f>Raw!F58</f>
        <v>Viking Age</v>
      </c>
      <c r="G58" s="250" t="str">
        <f>Raw!G58</f>
        <v>N</v>
      </c>
      <c r="H58" s="250" t="str">
        <f>Raw!H58</f>
        <v>Teaching</v>
      </c>
      <c r="I58" s="250" t="str">
        <f>Raw!I58</f>
        <v>short shaft on block</v>
      </c>
      <c r="J58" s="250" t="str">
        <f>Raw!J58</f>
        <v>straw cobb</v>
      </c>
      <c r="K58" s="250" t="str">
        <f>if(isblank(Raw!K58),"",if(Raw!K58&gt;1,concatenate("Use ",Raw!K58," of Expt ",Raw!L58),"Use 1"))</f>
        <v/>
      </c>
      <c r="L58" s="250" t="str">
        <f>Raw!M58</f>
        <v>Circle</v>
      </c>
      <c r="M58" s="250" t="str">
        <f>Raw!N58</f>
        <v>cylinder</v>
      </c>
      <c r="N58" s="250">
        <f>Raw!O58</f>
        <v>64</v>
      </c>
      <c r="O58" s="250">
        <f>Raw!S58</f>
        <v>54</v>
      </c>
      <c r="P58" s="252">
        <f>Raw!T58</f>
        <v>36</v>
      </c>
      <c r="Q58" s="239">
        <f>if(L58="Rectangle",concatenate(Raw!U58," x ",Raw!V58),if(L58="Oval",concatenate(Raw!U58," by ",Raw!V58),if(isnumber(Raw!V58),concatenate(Raw!U58," to ",Raw!V58),Raw!U58)))</f>
        <v>28</v>
      </c>
      <c r="R58" s="239" t="str">
        <f>if(AND(Raw!Z58="Y",isnumber(Raw!X58)),concatenate(Raw!X58," (E)"),Raw!X58)</f>
        <v/>
      </c>
      <c r="S58" s="241">
        <f>Calcs!B58</f>
        <v>615.8</v>
      </c>
      <c r="T58" s="252">
        <f>Raw!AB58</f>
        <v>4</v>
      </c>
      <c r="U58" s="252">
        <f>Raw!AC58</f>
        <v>13</v>
      </c>
      <c r="V58" s="252" t="str">
        <f>Raw!AD58</f>
        <v>ceramic tube</v>
      </c>
      <c r="W58" s="212" t="str">
        <f>concatenate(Raw!AE58,if(Raw!AF58="Y"," (T)",))</f>
        <v>2.5</v>
      </c>
      <c r="X58" s="212" t="str">
        <f>concatenate(Raw!AG58,if(isblank(Raw!AH58),"",concatenate(" ",Raw!AH58)),if(isblank(Raw!AI58),""," (E)"))</f>
        <v>23 Down</v>
      </c>
      <c r="Y58" s="212" t="str">
        <f>concatenate(Raw!AJ58,if(isblank(Raw!AK58),""," (E)"))</f>
        <v>5</v>
      </c>
      <c r="Z58" s="252" t="str">
        <f>Raw!AL58</f>
        <v>charcoal fines</v>
      </c>
      <c r="AA58" s="212" t="str">
        <f>concatenate(Raw!AO58,if(Raw!AP58="Y"," (E)",))</f>
        <v>10</v>
      </c>
      <c r="AB58" s="252" t="str">
        <f>Raw!AQ58</f>
        <v>electric blower</v>
      </c>
      <c r="AC58" s="212" t="str">
        <f>concatenate(ifs(istext(Raw!AT58),Raw!AT58,AND(Raw!AT58&gt;0,isblank(Raw!AS58)),concatenate(Raw!AT58," (A)"),AND(Raw!AR58&gt;0,Raw!AS58&gt;0),concatenate(Raw!AR58," to ",Raw!AS58),1,Raw!AS58),ifs(Raw!AU58="Y-","- (E)",Raw!AU58="Y"," (E)",1,))</f>
        <v>1000</v>
      </c>
      <c r="AD58" s="253">
        <f>Raw!AW58</f>
        <v>738.96</v>
      </c>
      <c r="AE58" s="239" t="str">
        <f>concatenate(Raw!AX58,if(isblank(Raw!AZ58),"",concatenate("/",Raw!AZ58)),if(isblank(Raw!BB58),"",concatenate("/",Raw!BB58)),if(isblank(Raw!BD58),"",concatenate("/",Raw!BD58)),if(isblank(Raw!BF58),"",concatenate("/",Raw!BF58)),if(Raw!BK58&gt;0,if(isblank(Raw!AX58),"Gromps","/Gromps"),))</f>
        <v>Bratton's Run Goethite</v>
      </c>
      <c r="AF58" s="239" t="str">
        <f>concatenate(round(Raw!AY58,1),if(isblank(Raw!AZ58),"",concatenate("/",round(Raw!BA58,1))),if(isblank(Raw!BB58),"",concatenate("/",round(Raw!BC58,1))),if(isblank(Raw!BD58),"",concatenate("/",round(Raw!BE58,1))),if(isblank(Raw!BF58),"",concatenate("/",round(Raw!BG58,1))),if(isblank(Raw!BK58),,concatenate("/",if(isnumber(Raw!BK58),round(Raw!BK58,1),Raw!BK58))))</f>
        <v>42.5</v>
      </c>
      <c r="AG58" s="241">
        <f>Raw!BL58</f>
        <v>42.5</v>
      </c>
      <c r="AH58" s="254">
        <f>Raw!BI58</f>
        <v>0.4535109057</v>
      </c>
      <c r="AI58" s="255" t="str">
        <f>Raw!BJ58</f>
        <v>roasted?</v>
      </c>
      <c r="AJ58" s="255" t="str">
        <f>Raw!BM58</f>
        <v/>
      </c>
      <c r="AK58" s="255" t="str">
        <f>Raw!BO58</f>
        <v>all to 5</v>
      </c>
      <c r="AL58" s="256">
        <f>Raw!BV58</f>
        <v>7.428571429</v>
      </c>
      <c r="AM58" s="244" t="str">
        <f>if(ISNUMBER(Raw!BW58),concatenate(floor(Raw!BW58/60,1),":",MOD(Raw!BW58,60)),Raw!BW58)</f>
        <v>1:32</v>
      </c>
      <c r="AN58" s="255">
        <f>Raw!BX58</f>
        <v>56</v>
      </c>
      <c r="AO58" s="256">
        <f>Raw!BZ58</f>
        <v>12</v>
      </c>
      <c r="AP58" s="256">
        <f>Raw!CA58</f>
        <v>6.642857143</v>
      </c>
      <c r="AQ58" s="255" t="str">
        <f>Raw!CB58</f>
        <v>? hardwood</v>
      </c>
      <c r="AR58" s="255" t="str">
        <f>Raw!CC58</f>
        <v>NR</v>
      </c>
      <c r="AS58" s="244" t="str">
        <f>concatenate(floor(Raw!CE58/60,1),":",text(MOD(Raw!CE58,60),"00"),ifs(Raw!CF58="Y"," (E)", Raw!CF58="Y+"," +", isblank(Raw!CF58),""))</f>
        <v>4:24</v>
      </c>
      <c r="AT58" s="255" t="str">
        <f>Raw!CR58</f>
        <v>bottom</v>
      </c>
      <c r="AU58" s="256">
        <f>Raw!CS58</f>
        <v>4.4</v>
      </c>
      <c r="AV58" s="255" t="str">
        <f>Raw!CU58</f>
        <v>3.2 kg as cast</v>
      </c>
      <c r="AW58" s="246">
        <f>if(Raw!CW58&gt;0,Raw!CW58,"None")</f>
        <v>0.1035294118</v>
      </c>
      <c r="AX58" s="246">
        <f>if(Raw!CX58&gt;0,Raw!CX58,"None")</f>
        <v>0.2282842826</v>
      </c>
      <c r="AY58" s="255" t="str">
        <f>Raw!CY58</f>
        <v/>
      </c>
      <c r="AZ58" s="255" t="str">
        <f>Raw!CZ58</f>
        <v/>
      </c>
      <c r="BA58" s="255" t="str">
        <f>Raw!DA58</f>
        <v/>
      </c>
      <c r="BB58" s="255" t="str">
        <f>Raw!DB58</f>
        <v>teaching </v>
      </c>
      <c r="BC58" s="257" t="str">
        <f>Raw!DC58</f>
        <v>good results / teaching</v>
      </c>
      <c r="BD58" s="248"/>
    </row>
    <row r="59">
      <c r="A59" s="249">
        <f>Raw!A59</f>
        <v>56</v>
      </c>
      <c r="B59" s="250" t="str">
        <f>Raw!B59</f>
        <v>T2T prototype</v>
      </c>
      <c r="C59" s="250" t="str">
        <f>Raw!C59</f>
        <v>Peterson +</v>
      </c>
      <c r="D59" s="250" t="str">
        <f>Raw!D59</f>
        <v>Wareham ON</v>
      </c>
      <c r="E59" s="251">
        <f>Raw!E59</f>
        <v>41804</v>
      </c>
      <c r="F59" s="250" t="str">
        <f>Raw!F59</f>
        <v>Pictish 200 - 400 AD</v>
      </c>
      <c r="G59" s="250" t="str">
        <f>Raw!G59</f>
        <v>N</v>
      </c>
      <c r="H59" s="250" t="str">
        <f>Raw!H59</f>
        <v>Turf-to-Tools</v>
      </c>
      <c r="I59" s="250" t="str">
        <f>Raw!I59</f>
        <v>short shaft on stone</v>
      </c>
      <c r="J59" s="250" t="str">
        <f>Raw!J59</f>
        <v>clay / sand over wicker</v>
      </c>
      <c r="K59" s="250" t="str">
        <f>if(isblank(Raw!K59),"",if(Raw!K59&gt;1,concatenate("Use ",Raw!K59," of Expt ",Raw!L59),"Use 1"))</f>
        <v/>
      </c>
      <c r="L59" s="250" t="str">
        <f>Raw!M59</f>
        <v>Circle</v>
      </c>
      <c r="M59" s="250" t="str">
        <f>Raw!N59</f>
        <v>conical</v>
      </c>
      <c r="N59" s="250">
        <f>Raw!O59</f>
        <v>61</v>
      </c>
      <c r="O59" s="250">
        <f>Raw!S59</f>
        <v>45</v>
      </c>
      <c r="P59" s="252" t="str">
        <f>Raw!T59</f>
        <v>52 to 32</v>
      </c>
      <c r="Q59" s="239" t="str">
        <f>if(L59="Rectangle",concatenate(Raw!U59," x ",Raw!V59),if(L59="Oval",concatenate(Raw!U59," by ",Raw!V59),if(isnumber(Raw!V59),concatenate(Raw!U59," to ",Raw!V59),Raw!U59)))</f>
        <v>36 to 24</v>
      </c>
      <c r="R59" s="239" t="str">
        <f>if(AND(Raw!Z59="Y",isnumber(Raw!X59)),concatenate(Raw!X59," (E)"),Raw!X59)</f>
        <v>32 (E)</v>
      </c>
      <c r="S59" s="241" t="str">
        <f>Calcs!B59</f>
        <v>804.2 (E)</v>
      </c>
      <c r="T59" s="252" t="str">
        <f>Raw!AB59</f>
        <v>8 to 5</v>
      </c>
      <c r="U59" s="252" t="str">
        <f>Raw!AC59</f>
        <v>18 x 21</v>
      </c>
      <c r="V59" s="252" t="str">
        <f>Raw!AD59</f>
        <v>ceramic tube</v>
      </c>
      <c r="W59" s="212" t="str">
        <f>concatenate(Raw!AE59,if(Raw!AF59="Y"," (T)",))</f>
        <v>2.5</v>
      </c>
      <c r="X59" s="212" t="str">
        <f>concatenate(Raw!AG59,if(isblank(Raw!AH59),"",concatenate(" ",Raw!AH59)),if(isblank(Raw!AI59),""," (E)"))</f>
        <v>? Down</v>
      </c>
      <c r="Y59" s="212" t="str">
        <f>concatenate(Raw!AJ59,if(isblank(Raw!AK59),""," (E)"))</f>
        <v>NR</v>
      </c>
      <c r="Z59" s="252" t="str">
        <f>Raw!AL59</f>
        <v>charcoal fines</v>
      </c>
      <c r="AA59" s="212" t="str">
        <f>concatenate(Raw!AO59,if(Raw!AP59="Y"," (E)",))</f>
        <v>16</v>
      </c>
      <c r="AB59" s="252" t="str">
        <f>Raw!AQ59</f>
        <v>electric blower</v>
      </c>
      <c r="AC59" s="212" t="str">
        <f>concatenate(ifs(istext(Raw!AT59),Raw!AT59,AND(Raw!AT59&gt;0,isblank(Raw!AS59)),concatenate(Raw!AT59," (A)"),AND(Raw!AR59&gt;0,Raw!AS59&gt;0),concatenate(Raw!AR59," to ",Raw!AS59),1,Raw!AS59),ifs(Raw!AU59="Y-","- (E)",Raw!AU59="Y"," (E)",1,))</f>
        <v>540</v>
      </c>
      <c r="AD59" s="253">
        <f>Raw!AW59</f>
        <v>965.04</v>
      </c>
      <c r="AE59" s="239" t="str">
        <f>concatenate(Raw!AX59,if(isblank(Raw!AZ59),"",concatenate("/",Raw!AZ59)),if(isblank(Raw!BB59),"",concatenate("/",Raw!BB59)),if(isblank(Raw!BD59),"",concatenate("/",Raw!BD59)),if(isblank(Raw!BF59),"",concatenate("/",Raw!BF59)),if(Raw!BK59&gt;0,if(isblank(Raw!AX59),"Gromps","/Gromps"),))</f>
        <v>DD1M</v>
      </c>
      <c r="AF59" s="239" t="str">
        <f>concatenate(round(Raw!AY59,1),if(isblank(Raw!AZ59),"",concatenate("/",round(Raw!BA59,1))),if(isblank(Raw!BB59),"",concatenate("/",round(Raw!BC59,1))),if(isblank(Raw!BD59),"",concatenate("/",round(Raw!BE59,1))),if(isblank(Raw!BF59),"",concatenate("/",round(Raw!BG59,1))),if(isblank(Raw!BK59),,concatenate("/",if(isnumber(Raw!BK59),round(Raw!BK59,1),Raw!BK59))))</f>
        <v>31</v>
      </c>
      <c r="AG59" s="241">
        <f>Raw!BL59</f>
        <v>31</v>
      </c>
      <c r="AH59" s="254">
        <f>Raw!BI59</f>
        <v>0.5123957643</v>
      </c>
      <c r="AI59" s="255" t="str">
        <f>Raw!BJ59</f>
        <v>raw</v>
      </c>
      <c r="AJ59" s="255" t="str">
        <f>Raw!BM59</f>
        <v/>
      </c>
      <c r="AK59" s="255" t="str">
        <f>Raw!BO59</f>
        <v>all to 25</v>
      </c>
      <c r="AL59" s="256">
        <f>Raw!BV59</f>
        <v>6.339622642</v>
      </c>
      <c r="AM59" s="244" t="str">
        <f>if(ISNUMBER(Raw!BW59),concatenate(floor(Raw!BW59/60,1),":",MOD(Raw!BW59,60)),Raw!BW59)</f>
        <v>1:8</v>
      </c>
      <c r="AN59" s="255">
        <f>Raw!BX59</f>
        <v>53</v>
      </c>
      <c r="AO59" s="256">
        <f>Raw!BZ59</f>
        <v>11.11111111</v>
      </c>
      <c r="AP59" s="256">
        <f>Raw!CA59</f>
        <v>5.617977528</v>
      </c>
      <c r="AQ59" s="255" t="str">
        <f>Raw!CB59</f>
        <v>maple / oak - hickory</v>
      </c>
      <c r="AR59" s="255" t="str">
        <f>Raw!CC59</f>
        <v>Basques / Royal Oak</v>
      </c>
      <c r="AS59" s="244" t="str">
        <f>concatenate(floor(Raw!CE59/60,1),":",text(MOD(Raw!CE59,60),"00"),ifs(Raw!CF59="Y"," (E)", Raw!CF59="Y+"," +", isblank(Raw!CF59),""))</f>
        <v>3:20</v>
      </c>
      <c r="AT59" s="255" t="str">
        <f>Raw!CR59</f>
        <v>bottom</v>
      </c>
      <c r="AU59" s="256">
        <f>Raw!CS59</f>
        <v>5.2</v>
      </c>
      <c r="AV59" s="255" t="str">
        <f>Raw!CT59</f>
        <v>solid</v>
      </c>
      <c r="AW59" s="246">
        <f>if(Raw!CW59&gt;0,Raw!CW59,"None")</f>
        <v>0.1677419355</v>
      </c>
      <c r="AX59" s="246">
        <f>if(Raw!CX59&gt;0,Raw!CX59,"None")</f>
        <v>0.3273679198</v>
      </c>
      <c r="AY59" s="255" t="str">
        <f>Raw!CY59</f>
        <v/>
      </c>
      <c r="AZ59" s="255" t="str">
        <f>Raw!CZ59</f>
        <v/>
      </c>
      <c r="BA59" s="255" t="str">
        <f>Raw!DA59</f>
        <v>Culduthel, Scotland</v>
      </c>
      <c r="BB59" s="255" t="str">
        <f>Raw!DB59</f>
        <v>test wicker frame / build</v>
      </c>
      <c r="BC59" s="257" t="str">
        <f>Raw!DC59</f>
        <v>cracking from internal frame</v>
      </c>
      <c r="BD59" s="248"/>
    </row>
    <row r="60">
      <c r="A60" s="249">
        <f>Raw!A60</f>
        <v>57</v>
      </c>
      <c r="B60" s="250" t="str">
        <f>Raw!B60</f>
        <v>T2T 1A</v>
      </c>
      <c r="C60" s="250" t="str">
        <f>Raw!C60</f>
        <v>SSW</v>
      </c>
      <c r="D60" s="250" t="str">
        <f>Raw!D60</f>
        <v>Lumsden Scotland</v>
      </c>
      <c r="E60" s="251">
        <f>Raw!E60</f>
        <v>41862</v>
      </c>
      <c r="F60" s="250" t="str">
        <f>Raw!F60</f>
        <v>Pictish 200 - 400 AD</v>
      </c>
      <c r="G60" s="250" t="str">
        <f>Raw!G60</f>
        <v>N</v>
      </c>
      <c r="H60" s="250" t="str">
        <f>Raw!H60</f>
        <v>Turf-to-Tools</v>
      </c>
      <c r="I60" s="250" t="str">
        <f>Raw!I60</f>
        <v>short shaft on stone</v>
      </c>
      <c r="J60" s="250" t="str">
        <f>Raw!J60</f>
        <v>manure cobb</v>
      </c>
      <c r="K60" s="250" t="str">
        <f>if(isblank(Raw!K60),"",if(Raw!K60&gt;1,concatenate("Use ",Raw!K60," of Expt ",Raw!L60),"Use 1"))</f>
        <v>Use 1</v>
      </c>
      <c r="L60" s="250" t="str">
        <f>Raw!M60</f>
        <v>Oval</v>
      </c>
      <c r="M60" s="250" t="str">
        <f>Raw!N60</f>
        <v>conical</v>
      </c>
      <c r="N60" s="250">
        <f>Raw!O60</f>
        <v>66</v>
      </c>
      <c r="O60" s="250">
        <f>Raw!S60</f>
        <v>45</v>
      </c>
      <c r="P60" s="252" t="str">
        <f>Raw!T60</f>
        <v>45 to 30</v>
      </c>
      <c r="Q60" s="239" t="str">
        <f>if(L60="Rectangle",concatenate(Raw!U60," x ",Raw!V60),if(L60="Oval",concatenate(Raw!U60," by ",Raw!V60),if(isnumber(Raw!V60),concatenate(Raw!U60," to ",Raw!V60),Raw!U60)))</f>
        <v>29 by 20</v>
      </c>
      <c r="R60" s="239" t="str">
        <f>if(AND(Raw!Z60="Y",isnumber(Raw!X60)),concatenate(Raw!X60," (E)"),Raw!X60)</f>
        <v>24 (E)</v>
      </c>
      <c r="S60" s="241" t="str">
        <f>Calcs!B60</f>
        <v>455.5 (E)</v>
      </c>
      <c r="T60" s="252" t="str">
        <f>Raw!AB60</f>
        <v>8 to 5</v>
      </c>
      <c r="U60" s="252" t="str">
        <f>Raw!AC60</f>
        <v>25 x 18</v>
      </c>
      <c r="V60" s="252" t="str">
        <f>Raw!AD60</f>
        <v>ceramic tube</v>
      </c>
      <c r="W60" s="212" t="str">
        <f>concatenate(Raw!AE60,if(Raw!AF60="Y"," (T)",))</f>
        <v>2.5</v>
      </c>
      <c r="X60" s="212" t="str">
        <f>concatenate(Raw!AG60,if(isblank(Raw!AH60),"",concatenate(" ",Raw!AH60)),if(isblank(Raw!AI60),""," (E)"))</f>
        <v>20 Down</v>
      </c>
      <c r="Y60" s="212" t="str">
        <f>concatenate(Raw!AJ60,if(isblank(Raw!AK60),""," (E)"))</f>
        <v>5</v>
      </c>
      <c r="Z60" s="252" t="str">
        <f>Raw!AL60</f>
        <v>charcoal fines</v>
      </c>
      <c r="AA60" s="212" t="str">
        <f>concatenate(Raw!AO60,if(Raw!AP60="Y"," (E)",))</f>
        <v>11</v>
      </c>
      <c r="AB60" s="252" t="str">
        <f>Raw!AQ60</f>
        <v>leaf blower 1</v>
      </c>
      <c r="AC60" s="212" t="str">
        <f>concatenate(ifs(istext(Raw!AT60),Raw!AT60,AND(Raw!AT60&gt;0,isblank(Raw!AS60)),concatenate(Raw!AT60," (A)"),AND(Raw!AR60&gt;0,Raw!AS60&gt;0),concatenate(Raw!AR60," to ",Raw!AS60),1,Raw!AS60),ifs(Raw!AU60="Y-","- (E)",Raw!AU60="Y"," (E)",1,))</f>
        <v>?</v>
      </c>
      <c r="AD60" s="253">
        <f>Raw!AW60</f>
        <v>546.6</v>
      </c>
      <c r="AE60" s="239" t="str">
        <f>concatenate(Raw!AX60,if(isblank(Raw!AZ60),"",concatenate("/",Raw!AZ60)),if(isblank(Raw!BB60),"",concatenate("/",Raw!BB60)),if(isblank(Raw!BD60),"",concatenate("/",Raw!BD60)),if(isblank(Raw!BF60),"",concatenate("/",Raw!BF60)),if(Raw!BK60&gt;0,if(isblank(Raw!AX60),"Gromps","/Gromps"),))</f>
        <v>Macaulayite/Scotland Taconite/DD1-SSW</v>
      </c>
      <c r="AF60" s="239" t="str">
        <f>concatenate(round(Raw!AY60,1),if(isblank(Raw!AZ60),"",concatenate("/",round(Raw!BA60,1))),if(isblank(Raw!BB60),"",concatenate("/",round(Raw!BC60,1))),if(isblank(Raw!BD60),"",concatenate("/",round(Raw!BE60,1))),if(isblank(Raw!BF60),"",concatenate("/",round(Raw!BG60,1))),if(isblank(Raw!BK60),,concatenate("/",if(isnumber(Raw!BK60),round(Raw!BK60,1),Raw!BK60))))</f>
        <v>16.2/7.8/6</v>
      </c>
      <c r="AG60" s="241">
        <f>Raw!BL60</f>
        <v>30</v>
      </c>
      <c r="AH60" s="254">
        <f>Raw!BI60</f>
        <v>0.4162579599</v>
      </c>
      <c r="AI60" s="255" t="str">
        <f>Raw!BJ60</f>
        <v>roasted</v>
      </c>
      <c r="AJ60" s="255" t="str">
        <f>Raw!BM60</f>
        <v/>
      </c>
      <c r="AK60" s="255" t="str">
        <f>Raw!BO60</f>
        <v>all to 5 / 25</v>
      </c>
      <c r="AL60" s="256" t="str">
        <f>Raw!BV60</f>
        <v>NR</v>
      </c>
      <c r="AM60" s="244" t="str">
        <f>if(ISNUMBER(Raw!BW60),concatenate(floor(Raw!BW60/60,1),":",MOD(Raw!BW60,60)),Raw!BW60)</f>
        <v>0:22</v>
      </c>
      <c r="AN60" s="255">
        <f>Raw!BX60</f>
        <v>60</v>
      </c>
      <c r="AO60" s="256">
        <f>Raw!BZ60</f>
        <v>10.89473684</v>
      </c>
      <c r="AP60" s="256">
        <f>Raw!CA60</f>
        <v>5.447368421</v>
      </c>
      <c r="AQ60" s="255" t="str">
        <f>Raw!CB60</f>
        <v>beech</v>
      </c>
      <c r="AR60" s="255" t="str">
        <f>Raw!CC60</f>
        <v>Scotland</v>
      </c>
      <c r="AS60" s="244" t="str">
        <f>concatenate(floor(Raw!CE60/60,1),":",text(MOD(Raw!CE60,60),"00"),ifs(Raw!CF60="Y"," (E)", Raw!CF60="Y+"," +", isblank(Raw!CF60),""))</f>
        <v>3:27</v>
      </c>
      <c r="AT60" s="255" t="str">
        <f>Raw!CR60</f>
        <v>bottom</v>
      </c>
      <c r="AU60" s="256">
        <f>Raw!CS60</f>
        <v>2.3</v>
      </c>
      <c r="AV60" s="255" t="str">
        <f>Raw!CT60</f>
        <v>thin disk</v>
      </c>
      <c r="AW60" s="246">
        <f>if(Raw!CW60&gt;0,Raw!CW60,"None")</f>
        <v>0.07666666667</v>
      </c>
      <c r="AX60" s="246">
        <f>if(Raw!CX60&gt;0,Raw!CX60,"None")</f>
        <v>0.1841806621</v>
      </c>
      <c r="AY60" s="255" t="str">
        <f>Raw!CY60</f>
        <v/>
      </c>
      <c r="AZ60" s="255" t="str">
        <f>Raw!CZ60</f>
        <v/>
      </c>
      <c r="BA60" s="255" t="str">
        <f>Raw!DA60</f>
        <v>Culduthel, Scotland</v>
      </c>
      <c r="BB60" s="255" t="str">
        <f>Raw!DB60</f>
        <v>build / resource test</v>
      </c>
      <c r="BC60" s="257" t="str">
        <f>Raw!DC60</f>
        <v>questionable ore body</v>
      </c>
      <c r="BD60" s="248"/>
    </row>
    <row r="61">
      <c r="A61" s="249">
        <f>Raw!A61</f>
        <v>58</v>
      </c>
      <c r="B61" s="250" t="str">
        <f>Raw!B61</f>
        <v>T2T 1B</v>
      </c>
      <c r="C61" s="250" t="str">
        <f>Raw!C61</f>
        <v>SSW</v>
      </c>
      <c r="D61" s="250" t="str">
        <f>Raw!D61</f>
        <v>Lumsden Scotland</v>
      </c>
      <c r="E61" s="251">
        <f>Raw!E61</f>
        <v>41865</v>
      </c>
      <c r="F61" s="250" t="str">
        <f>Raw!F61</f>
        <v>Pictish 200 - 400 AD</v>
      </c>
      <c r="G61" s="250" t="str">
        <f>Raw!G61</f>
        <v>N</v>
      </c>
      <c r="H61" s="250" t="str">
        <f>Raw!H61</f>
        <v>Turf-to-Tools</v>
      </c>
      <c r="I61" s="250" t="str">
        <f>Raw!I61</f>
        <v>short shaft on stone</v>
      </c>
      <c r="J61" s="250" t="str">
        <f>Raw!J61</f>
        <v>manure cobb</v>
      </c>
      <c r="K61" s="250" t="str">
        <f>if(isblank(Raw!K61),"",if(Raw!K61&gt;1,concatenate("Use ",Raw!K61," of Expt ",Raw!L61),"Use 1"))</f>
        <v>Use 2 of Expt 57</v>
      </c>
      <c r="L61" s="250" t="str">
        <f>Raw!M61</f>
        <v>Oval</v>
      </c>
      <c r="M61" s="250" t="str">
        <f>Raw!N61</f>
        <v>conical</v>
      </c>
      <c r="N61" s="250">
        <f>Raw!O61</f>
        <v>66</v>
      </c>
      <c r="O61" s="250">
        <f>Raw!S61</f>
        <v>45</v>
      </c>
      <c r="P61" s="252" t="str">
        <f>Raw!T61</f>
        <v>45 to 30</v>
      </c>
      <c r="Q61" s="239" t="str">
        <f>if(L61="Rectangle",concatenate(Raw!U61," x ",Raw!V61),if(L61="Oval",concatenate(Raw!U61," by ",Raw!V61),if(isnumber(Raw!V61),concatenate(Raw!U61," to ",Raw!V61),Raw!U61)))</f>
        <v>29 by 20</v>
      </c>
      <c r="R61" s="239" t="str">
        <f>if(AND(Raw!Z61="Y",isnumber(Raw!X61)),concatenate(Raw!X61," (E)"),Raw!X61)</f>
        <v>24 (E)</v>
      </c>
      <c r="S61" s="241" t="str">
        <f>Calcs!B61</f>
        <v>455.5 (E)</v>
      </c>
      <c r="T61" s="252" t="str">
        <f>Raw!AB61</f>
        <v>8 to 5</v>
      </c>
      <c r="U61" s="252" t="str">
        <f>Raw!AC61</f>
        <v>25 x 18</v>
      </c>
      <c r="V61" s="252" t="str">
        <f>Raw!AD61</f>
        <v>ceramic tube</v>
      </c>
      <c r="W61" s="212" t="str">
        <f>concatenate(Raw!AE61,if(Raw!AF61="Y"," (T)",))</f>
        <v>2.5</v>
      </c>
      <c r="X61" s="212" t="str">
        <f>concatenate(Raw!AG61,if(isblank(Raw!AH61),"",concatenate(" ",Raw!AH61)),if(isblank(Raw!AI61),""," (E)"))</f>
        <v>20 Down</v>
      </c>
      <c r="Y61" s="212" t="str">
        <f>concatenate(Raw!AJ61,if(isblank(Raw!AK61),""," (E)"))</f>
        <v>4</v>
      </c>
      <c r="Z61" s="252" t="str">
        <f>Raw!AL61</f>
        <v>charcoal fines</v>
      </c>
      <c r="AA61" s="212" t="str">
        <f>concatenate(Raw!AO61,if(Raw!AP61="Y"," (E)",))</f>
        <v>15</v>
      </c>
      <c r="AB61" s="252" t="str">
        <f>Raw!AQ61</f>
        <v>leaf blower 1</v>
      </c>
      <c r="AC61" s="212" t="str">
        <f>concatenate(ifs(istext(Raw!AT61),Raw!AT61,AND(Raw!AT61&gt;0,isblank(Raw!AS61)),concatenate(Raw!AT61," (A)"),AND(Raw!AR61&gt;0,Raw!AS61&gt;0),concatenate(Raw!AR61," to ",Raw!AS61),1,Raw!AS61),ifs(Raw!AU61="Y-","- (E)",Raw!AU61="Y"," (E)",1,))</f>
        <v>?</v>
      </c>
      <c r="AD61" s="253">
        <f>Raw!AW61</f>
        <v>546.6</v>
      </c>
      <c r="AE61" s="239" t="str">
        <f>concatenate(Raw!AX61,if(isblank(Raw!AZ61),"",concatenate("/",Raw!AZ61)),if(isblank(Raw!BB61),"",concatenate("/",Raw!BB61)),if(isblank(Raw!BD61),"",concatenate("/",Raw!BD61)),if(isblank(Raw!BF61),"",concatenate("/",Raw!BF61)),if(Raw!BK61&gt;0,if(isblank(Raw!AX61),"Gromps","/Gromps"),))</f>
        <v>DD1-SSW/Scotland Taconite</v>
      </c>
      <c r="AF61" s="239" t="str">
        <f>concatenate(round(Raw!AY61,1),if(isblank(Raw!AZ61),"",concatenate("/",round(Raw!BA61,1))),if(isblank(Raw!BB61),"",concatenate("/",round(Raw!BC61,1))),if(isblank(Raw!BD61),"",concatenate("/",round(Raw!BE61,1))),if(isblank(Raw!BF61),"",concatenate("/",round(Raw!BG61,1))),if(isblank(Raw!BK61),,concatenate("/",if(isnumber(Raw!BK61),round(Raw!BK61,1),Raw!BK61))))</f>
        <v>27/14</v>
      </c>
      <c r="AG61" s="241">
        <f>Raw!BL61</f>
        <v>41</v>
      </c>
      <c r="AH61" s="254">
        <f>Raw!BI61</f>
        <v>0.584357617</v>
      </c>
      <c r="AI61" s="255" t="str">
        <f>Raw!BJ61</f>
        <v>roasted</v>
      </c>
      <c r="AJ61" s="255" t="str">
        <f>Raw!BM61</f>
        <v/>
      </c>
      <c r="AK61" s="255" t="str">
        <f>Raw!BO61</f>
        <v>all to 5 / 25</v>
      </c>
      <c r="AL61" s="256" t="str">
        <f>Raw!BV61</f>
        <v>NR</v>
      </c>
      <c r="AM61" s="244" t="str">
        <f>if(ISNUMBER(Raw!BW61),concatenate(floor(Raw!BW61/60,1),":",MOD(Raw!BW61,60)),Raw!BW61)</f>
        <v>1:12</v>
      </c>
      <c r="AN61" s="255">
        <f>Raw!BX61</f>
        <v>62</v>
      </c>
      <c r="AO61" s="256">
        <f>Raw!BZ61</f>
        <v>4.025</v>
      </c>
      <c r="AP61" s="256">
        <f>Raw!CA61</f>
        <v>8.05</v>
      </c>
      <c r="AQ61" s="255" t="str">
        <f>Raw!CB61</f>
        <v>beech</v>
      </c>
      <c r="AR61" s="255" t="str">
        <f>Raw!CC61</f>
        <v>Scotland</v>
      </c>
      <c r="AS61" s="244" t="str">
        <f>concatenate(floor(Raw!CE61/60,1),":",text(MOD(Raw!CE61,60),"00"),ifs(Raw!CF61="Y"," (E)", Raw!CF61="Y+"," +", isblank(Raw!CF61),""))</f>
        <v>2:41</v>
      </c>
      <c r="AT61" s="255" t="str">
        <f>Raw!CR61</f>
        <v>bottom</v>
      </c>
      <c r="AU61" s="256">
        <f>Raw!CS61</f>
        <v>4.7</v>
      </c>
      <c r="AV61" s="255" t="str">
        <f>Raw!CT61</f>
        <v>fragmented</v>
      </c>
      <c r="AW61" s="246">
        <f>if(Raw!CW61&gt;0,Raw!CW61,"None")</f>
        <v>0.1146341463</v>
      </c>
      <c r="AX61" s="246">
        <f>if(Raw!CX61&gt;0,Raw!CX61,"None")</f>
        <v>0.1961712195</v>
      </c>
      <c r="AY61" s="255" t="str">
        <f>Raw!CY61</f>
        <v/>
      </c>
      <c r="AZ61" s="255" t="str">
        <f>Raw!CZ61</f>
        <v/>
      </c>
      <c r="BA61" s="255" t="str">
        <f>Raw!DA61</f>
        <v>Culduthel, Scotland</v>
      </c>
      <c r="BB61" s="255" t="str">
        <f>Raw!DB61</f>
        <v>build test / skills development</v>
      </c>
      <c r="BC61" s="257" t="str">
        <f>Raw!DC61</f>
        <v>uncertain why low yield</v>
      </c>
      <c r="BD61" s="248"/>
    </row>
    <row r="62">
      <c r="A62" s="249">
        <f>Raw!A62</f>
        <v>59</v>
      </c>
      <c r="B62" s="250" t="str">
        <f>Raw!B62</f>
        <v>T2T 1C</v>
      </c>
      <c r="C62" s="250" t="str">
        <f>Raw!C62</f>
        <v>SSW</v>
      </c>
      <c r="D62" s="250" t="str">
        <f>Raw!D62</f>
        <v>Lumsden Scotland</v>
      </c>
      <c r="E62" s="251">
        <f>Raw!E62</f>
        <v>41868</v>
      </c>
      <c r="F62" s="250" t="str">
        <f>Raw!F62</f>
        <v>Pictish 200 - 400 AD</v>
      </c>
      <c r="G62" s="250" t="str">
        <f>Raw!G62</f>
        <v>Y</v>
      </c>
      <c r="H62" s="250" t="str">
        <f>Raw!H62</f>
        <v>Turf-to-Tools</v>
      </c>
      <c r="I62" s="250" t="str">
        <f>Raw!I62</f>
        <v>short shaft on stone</v>
      </c>
      <c r="J62" s="250" t="str">
        <f>Raw!J62</f>
        <v>manure cobb</v>
      </c>
      <c r="K62" s="250" t="str">
        <f>if(isblank(Raw!K62),"",if(Raw!K62&gt;1,concatenate("Use ",Raw!K62," of Expt ",Raw!L62),"Use 1"))</f>
        <v>Use 1</v>
      </c>
      <c r="L62" s="250" t="str">
        <f>Raw!M62</f>
        <v>Circle</v>
      </c>
      <c r="M62" s="250" t="str">
        <f>Raw!N62</f>
        <v>conical</v>
      </c>
      <c r="N62" s="250">
        <f>Raw!O62</f>
        <v>64</v>
      </c>
      <c r="O62" s="250">
        <f>Raw!S62</f>
        <v>58</v>
      </c>
      <c r="P62" s="252" t="str">
        <f>Raw!T62</f>
        <v>NR to 30</v>
      </c>
      <c r="Q62" s="239" t="str">
        <f>if(L62="Rectangle",concatenate(Raw!U62," x ",Raw!V62),if(L62="Oval",concatenate(Raw!U62," by ",Raw!V62),if(isnumber(Raw!V62),concatenate(Raw!U62," to ",Raw!V62),Raw!U62)))</f>
        <v>NR to 20</v>
      </c>
      <c r="R62" s="239" t="str">
        <f>if(AND(Raw!Z62="Y",isnumber(Raw!X62)),concatenate(Raw!X62," (E)"),Raw!X62)</f>
        <v>23 (E)</v>
      </c>
      <c r="S62" s="241" t="str">
        <f>Calcs!B62</f>
        <v>415.5 (E)</v>
      </c>
      <c r="T62" s="252" t="str">
        <f>Raw!AB62</f>
        <v>8 to 5</v>
      </c>
      <c r="U62" s="252" t="str">
        <f>Raw!AC62</f>
        <v>NR</v>
      </c>
      <c r="V62" s="252" t="str">
        <f>Raw!AD62</f>
        <v>ceramic tube</v>
      </c>
      <c r="W62" s="212" t="str">
        <f>concatenate(Raw!AE62,if(Raw!AF62="Y"," (T)",))</f>
        <v>2.5</v>
      </c>
      <c r="X62" s="212" t="str">
        <f>concatenate(Raw!AG62,if(isblank(Raw!AH62),"",concatenate(" ",Raw!AH62)),if(isblank(Raw!AI62),""," (E)"))</f>
        <v>22 Down</v>
      </c>
      <c r="Y62" s="212" t="str">
        <f>concatenate(Raw!AJ62,if(isblank(Raw!AK62),""," (E)"))</f>
        <v>5</v>
      </c>
      <c r="Z62" s="252" t="str">
        <f>Raw!AL62</f>
        <v>charcoal fines</v>
      </c>
      <c r="AA62" s="212" t="str">
        <f>concatenate(Raw!AO62,if(Raw!AP62="Y"," (E)",))</f>
        <v>15</v>
      </c>
      <c r="AB62" s="252" t="str">
        <f>Raw!AQ62</f>
        <v>leaf blower 2</v>
      </c>
      <c r="AC62" s="212" t="str">
        <f>concatenate(ifs(istext(Raw!AT62),Raw!AT62,AND(Raw!AT62&gt;0,isblank(Raw!AS62)),concatenate(Raw!AT62," (A)"),AND(Raw!AR62&gt;0,Raw!AS62&gt;0),concatenate(Raw!AR62," to ",Raw!AS62),1,Raw!AS62),ifs(Raw!AU62="Y-","- (E)",Raw!AU62="Y"," (E)",1,))</f>
        <v>?</v>
      </c>
      <c r="AD62" s="253">
        <f>Raw!AW62</f>
        <v>498.6</v>
      </c>
      <c r="AE62" s="239" t="str">
        <f>concatenate(Raw!AX62,if(isblank(Raw!AZ62),"",concatenate("/",Raw!AZ62)),if(isblank(Raw!BB62),"",concatenate("/",Raw!BB62)),if(isblank(Raw!BD62),"",concatenate("/",Raw!BD62)),if(isblank(Raw!BF62),"",concatenate("/",Raw!BF62)),if(Raw!BK62&gt;0,if(isblank(Raw!AX62),"Gromps","/Gromps"),))</f>
        <v>Scotland Taconite/DD1-SSW</v>
      </c>
      <c r="AF62" s="239" t="str">
        <f>concatenate(round(Raw!AY62,1),if(isblank(Raw!AZ62),"",concatenate("/",round(Raw!BA62,1))),if(isblank(Raw!BB62),"",concatenate("/",round(Raw!BC62,1))),if(isblank(Raw!BD62),"",concatenate("/",round(Raw!BE62,1))),if(isblank(Raw!BF62),"",concatenate("/",round(Raw!BG62,1))),if(isblank(Raw!BK62),,concatenate("/",if(isnumber(Raw!BK62),round(Raw!BK62,1),Raw!BK62))))</f>
        <v>33.5/7.5</v>
      </c>
      <c r="AG62" s="241">
        <f>Raw!BL62</f>
        <v>41</v>
      </c>
      <c r="AH62" s="254">
        <f>Raw!BI62</f>
        <v>0.6346316106</v>
      </c>
      <c r="AI62" s="255" t="str">
        <f>Raw!BJ62</f>
        <v>roasted</v>
      </c>
      <c r="AJ62" s="255" t="str">
        <f>Raw!BM62</f>
        <v/>
      </c>
      <c r="AK62" s="255" t="str">
        <f>Raw!BO62</f>
        <v>all to 25 / 5</v>
      </c>
      <c r="AL62" s="256" t="str">
        <f>Raw!BV62</f>
        <v>NR</v>
      </c>
      <c r="AM62" s="244" t="str">
        <f>if(ISNUMBER(Raw!BW62),concatenate(floor(Raw!BW62/60,1),":",MOD(Raw!BW62,60)),Raw!BW62)</f>
        <v>0:19</v>
      </c>
      <c r="AN62" s="255">
        <f>Raw!BX62</f>
        <v>61</v>
      </c>
      <c r="AO62" s="256">
        <f>Raw!BZ62</f>
        <v>13.25</v>
      </c>
      <c r="AP62" s="256">
        <f>Raw!CA62</f>
        <v>6.973684211</v>
      </c>
      <c r="AQ62" s="255" t="str">
        <f>Raw!CB62</f>
        <v>beech</v>
      </c>
      <c r="AR62" s="255" t="str">
        <f>Raw!CC62</f>
        <v>Scotland</v>
      </c>
      <c r="AS62" s="244" t="str">
        <f>concatenate(floor(Raw!CE62/60,1),":",text(MOD(Raw!CE62,60),"00"),ifs(Raw!CF62="Y"," (E)", Raw!CF62="Y+"," +", isblank(Raw!CF62),""))</f>
        <v>4:25</v>
      </c>
      <c r="AT62" s="255" t="str">
        <f>Raw!CR62</f>
        <v>bottom</v>
      </c>
      <c r="AU62" s="256">
        <f>Raw!CS62</f>
        <v>11.6</v>
      </c>
      <c r="AV62" s="255" t="str">
        <f>Raw!CT62</f>
        <v>dense</v>
      </c>
      <c r="AW62" s="246">
        <f>if(Raw!CW62&gt;0,Raw!CW62,"None")</f>
        <v>0.2829268293</v>
      </c>
      <c r="AX62" s="246">
        <f>if(Raw!CX62&gt;0,Raw!CX62,"None")</f>
        <v>0.445812696</v>
      </c>
      <c r="AY62" s="255" t="str">
        <f>Raw!CY62</f>
        <v/>
      </c>
      <c r="AZ62" s="255" t="str">
        <f>Raw!CZ62</f>
        <v/>
      </c>
      <c r="BA62" s="255" t="str">
        <f>Raw!DA62</f>
        <v>Culduthel, Scotland</v>
      </c>
      <c r="BB62" s="255" t="str">
        <f>Raw!DB62</f>
        <v>bones test</v>
      </c>
      <c r="BC62" s="257" t="str">
        <f>Raw!DC62</f>
        <v>excellent demonstration results</v>
      </c>
      <c r="BD62" s="248"/>
    </row>
    <row r="63">
      <c r="A63" s="249" t="str">
        <f>Raw!A63</f>
        <v>T1</v>
      </c>
      <c r="B63" s="250" t="str">
        <f>Raw!B63</f>
        <v>Peat Test</v>
      </c>
      <c r="C63" s="250" t="str">
        <f>Raw!C63</f>
        <v>SSW</v>
      </c>
      <c r="D63" s="250" t="str">
        <f>Raw!D63</f>
        <v>Lumsden Scotland</v>
      </c>
      <c r="E63" s="251">
        <f>Raw!E63</f>
        <v>41872</v>
      </c>
      <c r="F63" s="250" t="str">
        <f>Raw!F63</f>
        <v>Scotish</v>
      </c>
      <c r="G63" s="250" t="str">
        <f>Raw!G63</f>
        <v>N</v>
      </c>
      <c r="H63" s="250" t="str">
        <f>Raw!H63</f>
        <v>Turf-to-Tools</v>
      </c>
      <c r="I63" s="250" t="str">
        <f>Raw!I63</f>
        <v>short shaft on stone</v>
      </c>
      <c r="J63" s="250" t="str">
        <f>Raw!J63</f>
        <v>manure cobb</v>
      </c>
      <c r="K63" s="250" t="str">
        <f>if(isblank(Raw!K63),"",if(Raw!K63&gt;1,concatenate("Use ",Raw!K63," of Expt ",Raw!L63),"Use 1"))</f>
        <v>Use 2 of Expt 59</v>
      </c>
      <c r="L63" s="250" t="str">
        <f>Raw!M63</f>
        <v>Circle</v>
      </c>
      <c r="M63" s="250" t="str">
        <f>Raw!N63</f>
        <v>conical</v>
      </c>
      <c r="N63" s="250">
        <f>Raw!O63</f>
        <v>64</v>
      </c>
      <c r="O63" s="250">
        <f>Raw!S63</f>
        <v>58</v>
      </c>
      <c r="P63" s="252" t="str">
        <f>Raw!T63</f>
        <v>NR to 30</v>
      </c>
      <c r="Q63" s="239" t="str">
        <f>if(L63="Rectangle",concatenate(Raw!U63," x ",Raw!V63),if(L63="Oval",concatenate(Raw!U63," by ",Raw!V63),if(isnumber(Raw!V63),concatenate(Raw!U63," to ",Raw!V63),Raw!U63)))</f>
        <v>NR to 20</v>
      </c>
      <c r="R63" s="239" t="str">
        <f>if(AND(Raw!Z63="Y",isnumber(Raw!X63)),concatenate(Raw!X63," (E)"),Raw!X63)</f>
        <v>23 (E)</v>
      </c>
      <c r="S63" s="241" t="str">
        <f>Calcs!B63</f>
        <v>415.5 (E)</v>
      </c>
      <c r="T63" s="252" t="str">
        <f>Raw!AB63</f>
        <v>8 to 5</v>
      </c>
      <c r="U63" s="252" t="str">
        <f>Raw!AC63</f>
        <v>NR</v>
      </c>
      <c r="V63" s="252" t="str">
        <f>Raw!AD63</f>
        <v>ceramic tube</v>
      </c>
      <c r="W63" s="212" t="str">
        <f>concatenate(Raw!AE63,if(Raw!AF63="Y"," (T)",))</f>
        <v>2.5</v>
      </c>
      <c r="X63" s="212" t="str">
        <f>concatenate(Raw!AG63,if(isblank(Raw!AH63),"",concatenate(" ",Raw!AH63)),if(isblank(Raw!AI63),""," (E)"))</f>
        <v>22 Down</v>
      </c>
      <c r="Y63" s="212" t="str">
        <f>concatenate(Raw!AJ63,if(isblank(Raw!AK63),""," (E)"))</f>
        <v>5</v>
      </c>
      <c r="Z63" s="252" t="str">
        <f>Raw!AL63</f>
        <v>charcoal fines</v>
      </c>
      <c r="AA63" s="212" t="str">
        <f>concatenate(Raw!AO63,if(Raw!AP63="Y"," (E)",))</f>
        <v>15</v>
      </c>
      <c r="AB63" s="252" t="str">
        <f>Raw!AQ63</f>
        <v>leaf blower 2</v>
      </c>
      <c r="AC63" s="212" t="str">
        <f>concatenate(ifs(istext(Raw!AT63),Raw!AT63,AND(Raw!AT63&gt;0,isblank(Raw!AS63)),concatenate(Raw!AT63," (A)"),AND(Raw!AR63&gt;0,Raw!AS63&gt;0),concatenate(Raw!AR63," to ",Raw!AS63),1,Raw!AS63),ifs(Raw!AU63="Y-","- (E)",Raw!AU63="Y"," (E)",1,))</f>
        <v>?</v>
      </c>
      <c r="AD63" s="253">
        <f>Raw!AW63</f>
        <v>498.6</v>
      </c>
      <c r="AE63" s="239" t="str">
        <f>concatenate(Raw!AX63,if(isblank(Raw!AZ63),"",concatenate("/",Raw!AZ63)),if(isblank(Raw!BB63),"",concatenate("/",Raw!BB63)),if(isblank(Raw!BD63),"",concatenate("/",Raw!BD63)),if(isblank(Raw!BF63),"",concatenate("/",Raw!BF63)),if(Raw!BK63&gt;0,if(isblank(Raw!AX63),"Gromps","/Gromps"),))</f>
        <v/>
      </c>
      <c r="AF63" s="239" t="str">
        <f>concatenate(round(Raw!AY63,1),if(isblank(Raw!AZ63),"",concatenate("/",round(Raw!BA63,1))),if(isblank(Raw!BB63),"",concatenate("/",round(Raw!BC63,1))),if(isblank(Raw!BD63),"",concatenate("/",round(Raw!BE63,1))),if(isblank(Raw!BF63),"",concatenate("/",round(Raw!BG63,1))),if(isblank(Raw!BK63),,concatenate("/",if(isnumber(Raw!BK63),round(Raw!BK63,1),Raw!BK63))))</f>
        <v>0</v>
      </c>
      <c r="AG63" s="241">
        <f>Raw!BL63</f>
        <v>0</v>
      </c>
      <c r="AH63" s="254" t="str">
        <f>Raw!BI63</f>
        <v>na</v>
      </c>
      <c r="AI63" s="255" t="str">
        <f>Raw!BJ63</f>
        <v/>
      </c>
      <c r="AJ63" s="255" t="str">
        <f>Raw!BM63</f>
        <v/>
      </c>
      <c r="AK63" s="255" t="str">
        <f>Raw!BO63</f>
        <v/>
      </c>
      <c r="AL63" s="255" t="str">
        <f>Raw!BV63</f>
        <v/>
      </c>
      <c r="AM63" s="244" t="str">
        <f>if(ISNUMBER(Raw!BW63),concatenate(floor(Raw!BW63/60,1),":",MOD(Raw!BW63,60)),Raw!BW63)</f>
        <v>0:0</v>
      </c>
      <c r="AN63" s="255">
        <f>Raw!BX63</f>
        <v>42</v>
      </c>
      <c r="AO63" s="255">
        <f>Raw!BZ63</f>
        <v>7</v>
      </c>
      <c r="AP63" s="256" t="str">
        <f>Raw!CA63</f>
        <v/>
      </c>
      <c r="AQ63" s="255" t="str">
        <f>Raw!CB63</f>
        <v>peat pellets</v>
      </c>
      <c r="AR63" s="255" t="str">
        <f>Raw!CC63</f>
        <v>Scotland</v>
      </c>
      <c r="AS63" s="244" t="str">
        <f>concatenate(floor(Raw!CE63/60,1),":",text(MOD(Raw!CE63,60),"00"),ifs(Raw!CF63="Y"," (E)", Raw!CF63="Y+"," +", isblank(Raw!CF63),""))</f>
        <v>1:00</v>
      </c>
      <c r="AT63" s="255" t="str">
        <f>Raw!CR63</f>
        <v>na</v>
      </c>
      <c r="AU63" s="256" t="str">
        <f>Raw!CS63</f>
        <v>na</v>
      </c>
      <c r="AV63" s="255" t="str">
        <f>Raw!CT63</f>
        <v>na</v>
      </c>
      <c r="AW63" s="246" t="str">
        <f>if(Raw!CW63&gt;0,Raw!CW63,"None")</f>
        <v>na</v>
      </c>
      <c r="AX63" s="246" t="str">
        <f>if(Raw!CX63&gt;0,Raw!CX63,"None")</f>
        <v>?</v>
      </c>
      <c r="AY63" s="255" t="str">
        <f>Raw!CY63</f>
        <v/>
      </c>
      <c r="AZ63" s="255" t="str">
        <f>Raw!CZ63</f>
        <v/>
      </c>
      <c r="BA63" s="255" t="str">
        <f>Raw!DA63</f>
        <v>Scotland</v>
      </c>
      <c r="BB63" s="255" t="str">
        <f>Raw!DB63</f>
        <v>peat fuel test</v>
      </c>
      <c r="BC63" s="257" t="str">
        <f>Raw!DC63</f>
        <v>temperatures suggest possible</v>
      </c>
      <c r="BD63" s="248"/>
    </row>
    <row r="64">
      <c r="A64" s="249" t="str">
        <f>Raw!A64</f>
        <v>60 / D28</v>
      </c>
      <c r="B64" s="250" t="str">
        <f>Raw!B64</f>
        <v>Icelandic 6</v>
      </c>
      <c r="C64" s="250" t="str">
        <f>Raw!C64</f>
        <v>DARC</v>
      </c>
      <c r="D64" s="250" t="str">
        <f>Raw!D64</f>
        <v>Wareham ON</v>
      </c>
      <c r="E64" s="251">
        <f>Raw!E64</f>
        <v>42175</v>
      </c>
      <c r="F64" s="250" t="str">
        <f>Raw!F64</f>
        <v>Viking Age Icelandic</v>
      </c>
      <c r="G64" s="250" t="str">
        <f>Raw!G64</f>
        <v>Y</v>
      </c>
      <c r="H64" s="250" t="str">
        <f>Raw!H64</f>
        <v>Icelandic</v>
      </c>
      <c r="I64" s="250" t="str">
        <f>Raw!I64</f>
        <v>banked short shaft</v>
      </c>
      <c r="J64" s="250" t="str">
        <f>Raw!J64</f>
        <v>sod only</v>
      </c>
      <c r="K64" s="250" t="str">
        <f>if(isblank(Raw!K64),"",if(Raw!K64&gt;1,concatenate("Use ",Raw!K64," of Expt ",Raw!L64),"Use 1"))</f>
        <v/>
      </c>
      <c r="L64" s="250" t="str">
        <f>Raw!M64</f>
        <v>Circle</v>
      </c>
      <c r="M64" s="250" t="str">
        <f>Raw!N64</f>
        <v>cylinder</v>
      </c>
      <c r="N64" s="250">
        <f>Raw!O64</f>
        <v>82</v>
      </c>
      <c r="O64" s="250">
        <f>Raw!S64</f>
        <v>50</v>
      </c>
      <c r="P64" s="252" t="str">
        <f>Raw!T64</f>
        <v>turf</v>
      </c>
      <c r="Q64" s="239">
        <f>if(L64="Rectangle",concatenate(Raw!U64," x ",Raw!V64),if(L64="Oval",concatenate(Raw!U64," by ",Raw!V64),if(isnumber(Raw!V64),concatenate(Raw!U64," to ",Raw!V64),Raw!U64)))</f>
        <v>34</v>
      </c>
      <c r="R64" s="239" t="str">
        <f>if(AND(Raw!Z64="Y",isnumber(Raw!X64)),concatenate(Raw!X64," (E)"),Raw!X64)</f>
        <v/>
      </c>
      <c r="S64" s="241">
        <f>Calcs!B64</f>
        <v>907.9</v>
      </c>
      <c r="T64" s="252" t="str">
        <f>Raw!AB64</f>
        <v>none</v>
      </c>
      <c r="U64" s="252" t="str">
        <f>Raw!AC64</f>
        <v>18 x 20</v>
      </c>
      <c r="V64" s="252" t="str">
        <f>Raw!AD64</f>
        <v>ceramic tube</v>
      </c>
      <c r="W64" s="212" t="str">
        <f>concatenate(Raw!AE64,if(Raw!AF64="Y"," (T)",))</f>
        <v>2.5</v>
      </c>
      <c r="X64" s="212" t="str">
        <f>concatenate(Raw!AG64,if(isblank(Raw!AH64),"",concatenate(" ",Raw!AH64)),if(isblank(Raw!AI64),""," (E)"))</f>
        <v>22 to 12 Down</v>
      </c>
      <c r="Y64" s="212" t="str">
        <f>concatenate(Raw!AJ64,if(isblank(Raw!AK64),""," (E)"))</f>
        <v>5.6</v>
      </c>
      <c r="Z64" s="252" t="str">
        <f>Raw!AL64</f>
        <v>charcoal fines</v>
      </c>
      <c r="AA64" s="212" t="str">
        <f>concatenate(Raw!AO64,if(Raw!AP64="Y"," (E)",))</f>
        <v>23</v>
      </c>
      <c r="AB64" s="252" t="str">
        <f>Raw!AQ64</f>
        <v>electric blower</v>
      </c>
      <c r="AC64" s="212" t="str">
        <f>concatenate(ifs(istext(Raw!AT64),Raw!AT64,AND(Raw!AT64&gt;0,isblank(Raw!AS64)),concatenate(Raw!AT64," (A)"),AND(Raw!AR64&gt;0,Raw!AS64&gt;0),concatenate(Raw!AR64," to ",Raw!AS64),1,Raw!AS64),ifs(Raw!AU64="Y-","- (E)",Raw!AU64="Y"," (E)",1,))</f>
        <v>1400- (E)</v>
      </c>
      <c r="AD64" s="253">
        <f>Raw!AW64</f>
        <v>1089.48</v>
      </c>
      <c r="AE64" s="239" t="str">
        <f>concatenate(Raw!AX64,if(isblank(Raw!AZ64),"",concatenate("/",Raw!AZ64)),if(isblank(Raw!BB64),"",concatenate("/",Raw!BB64)),if(isblank(Raw!BD64),"",concatenate("/",Raw!BD64)),if(isblank(Raw!BF64),"",concatenate("/",Raw!BF64)),if(Raw!BK64&gt;0,if(isblank(Raw!AX64),"Gromps","/Gromps"),))</f>
        <v>DD1Fa</v>
      </c>
      <c r="AF64" s="239" t="str">
        <f>concatenate(round(Raw!AY64,1),if(isblank(Raw!AZ64),"",concatenate("/",round(Raw!BA64,1))),if(isblank(Raw!BB64),"",concatenate("/",round(Raw!BC64,1))),if(isblank(Raw!BD64),"",concatenate("/",round(Raw!BE64,1))),if(isblank(Raw!BF64),"",concatenate("/",round(Raw!BG64,1))),if(isblank(Raw!BK64),,concatenate("/",if(isnumber(Raw!BK64),round(Raw!BK64,1),Raw!BK64))))</f>
        <v>31</v>
      </c>
      <c r="AG64" s="241">
        <f>Raw!BL64</f>
        <v>31</v>
      </c>
      <c r="AH64" s="254">
        <f>Raw!BI64</f>
        <v>0.561817121</v>
      </c>
      <c r="AI64" s="255" t="str">
        <f>Raw!BJ64</f>
        <v>raw</v>
      </c>
      <c r="AJ64" s="255" t="str">
        <f>Raw!BM64</f>
        <v/>
      </c>
      <c r="AK64" s="255" t="str">
        <f>Raw!BO64</f>
        <v>all to 25</v>
      </c>
      <c r="AL64" s="256" t="str">
        <f>Raw!BV64</f>
        <v>NR</v>
      </c>
      <c r="AM64" s="244" t="str">
        <f>if(ISNUMBER(Raw!BW64),concatenate(floor(Raw!BW64/60,1),":",MOD(Raw!BW64,60)),Raw!BW64)</f>
        <v>0:41</v>
      </c>
      <c r="AN64" s="255">
        <f>Raw!BX64</f>
        <v>76</v>
      </c>
      <c r="AO64" s="256">
        <f>Raw!BZ64</f>
        <v>12.55</v>
      </c>
      <c r="AP64" s="256">
        <f>Raw!CA64</f>
        <v>6.895604396</v>
      </c>
      <c r="AQ64" s="255" t="str">
        <f>Raw!CB64</f>
        <v>maple</v>
      </c>
      <c r="AR64" s="255" t="str">
        <f>Raw!CC64</f>
        <v>Maple Leaf</v>
      </c>
      <c r="AS64" s="244" t="str">
        <f>concatenate(floor(Raw!CE64/60,1),":",text(MOD(Raw!CE64,60),"00"),ifs(Raw!CF64="Y"," (E)", Raw!CF64="Y+"," +", isblank(Raw!CF64),""))</f>
        <v>4:11</v>
      </c>
      <c r="AT64" s="255" t="str">
        <f>Raw!CR64</f>
        <v>cold</v>
      </c>
      <c r="AU64" s="256">
        <f>Raw!CS64</f>
        <v>7.7</v>
      </c>
      <c r="AV64" s="255" t="str">
        <f>Raw!CT64</f>
        <v>solid</v>
      </c>
      <c r="AW64" s="246">
        <f>if(Raw!CW64&gt;0,Raw!CW64,"None")</f>
        <v>0.2483870968</v>
      </c>
      <c r="AX64" s="246">
        <f>if(Raw!CX64&gt;0,Raw!CX64,"None")</f>
        <v>0.4421137902</v>
      </c>
      <c r="AY64" s="255" t="str">
        <f>Raw!CY64</f>
        <v/>
      </c>
      <c r="AZ64" s="255">
        <f>Raw!CZ64</f>
        <v>17.7</v>
      </c>
      <c r="BA64" s="255" t="str">
        <f>Raw!DA64</f>
        <v>Hals Iceland</v>
      </c>
      <c r="BB64" s="255" t="str">
        <f>Raw!DB64</f>
        <v>build elements</v>
      </c>
      <c r="BC64" s="257" t="str">
        <f>Raw!DC64</f>
        <v>function with raw earth / sod only</v>
      </c>
      <c r="BD64" s="248"/>
    </row>
    <row r="65">
      <c r="A65" s="249" t="str">
        <f>Raw!A65</f>
        <v>61 / D29</v>
      </c>
      <c r="B65" s="250" t="str">
        <f>Raw!B65</f>
        <v>Icelandic 7</v>
      </c>
      <c r="C65" s="250" t="str">
        <f>Raw!C65</f>
        <v>DARC</v>
      </c>
      <c r="D65" s="250" t="str">
        <f>Raw!D65</f>
        <v>Wareham ON</v>
      </c>
      <c r="E65" s="251">
        <f>Raw!E65</f>
        <v>42289</v>
      </c>
      <c r="F65" s="250" t="str">
        <f>Raw!F65</f>
        <v>Viking Age Icelandic</v>
      </c>
      <c r="G65" s="250" t="str">
        <f>Raw!G65</f>
        <v>Y</v>
      </c>
      <c r="H65" s="250" t="str">
        <f>Raw!H65</f>
        <v>Icelandic</v>
      </c>
      <c r="I65" s="250" t="str">
        <f>Raw!I65</f>
        <v>banked short shaft</v>
      </c>
      <c r="J65" s="250" t="str">
        <f>Raw!J65</f>
        <v>sod w clay liner</v>
      </c>
      <c r="K65" s="250" t="str">
        <f>if(isblank(Raw!K65),"",if(Raw!K65&gt;1,concatenate("Use ",Raw!K65," of Expt ",Raw!L65),"Use 1"))</f>
        <v/>
      </c>
      <c r="L65" s="250" t="str">
        <f>Raw!M65</f>
        <v>Circle</v>
      </c>
      <c r="M65" s="250" t="str">
        <f>Raw!N65</f>
        <v>cylinder</v>
      </c>
      <c r="N65" s="250">
        <f>Raw!O65</f>
        <v>97</v>
      </c>
      <c r="O65" s="250">
        <f>Raw!S65</f>
        <v>72</v>
      </c>
      <c r="P65" s="252" t="str">
        <f>Raw!T65</f>
        <v>turf</v>
      </c>
      <c r="Q65" s="239">
        <f>if(L65="Rectangle",concatenate(Raw!U65," x ",Raw!V65),if(L65="Oval",concatenate(Raw!U65," by ",Raw!V65),if(isnumber(Raw!V65),concatenate(Raw!U65," to ",Raw!V65),Raw!U65)))</f>
        <v>29</v>
      </c>
      <c r="R65" s="239" t="str">
        <f>if(AND(Raw!Z65="Y",isnumber(Raw!X65)),concatenate(Raw!X65," (E)"),Raw!X65)</f>
        <v/>
      </c>
      <c r="S65" s="241">
        <f>Calcs!B65</f>
        <v>660.5</v>
      </c>
      <c r="T65" s="252" t="str">
        <f>Raw!AB65</f>
        <v>3-3.5</v>
      </c>
      <c r="U65" s="252" t="str">
        <f>Raw!AC65</f>
        <v>18 x 21</v>
      </c>
      <c r="V65" s="252" t="str">
        <f>Raw!AD65</f>
        <v>ceramic tube</v>
      </c>
      <c r="W65" s="212" t="str">
        <f>concatenate(Raw!AE65,if(Raw!AF65="Y"," (T)",))</f>
        <v>2.5</v>
      </c>
      <c r="X65" s="212" t="str">
        <f>concatenate(Raw!AG65,if(isblank(Raw!AH65),"",concatenate(" ",Raw!AH65)),if(isblank(Raw!AI65),""," (E)"))</f>
        <v>20 Down</v>
      </c>
      <c r="Y65" s="212" t="str">
        <f>concatenate(Raw!AJ65,if(isblank(Raw!AK65),""," (E)"))</f>
        <v>5</v>
      </c>
      <c r="Z65" s="252" t="str">
        <f>Raw!AL65</f>
        <v>charcoal fines</v>
      </c>
      <c r="AA65" s="212" t="str">
        <f>concatenate(Raw!AO65,if(Raw!AP65="Y"," (E)",))</f>
        <v>14</v>
      </c>
      <c r="AB65" s="252" t="str">
        <f>Raw!AQ65</f>
        <v>electric blower</v>
      </c>
      <c r="AC65" s="212" t="str">
        <f>concatenate(ifs(istext(Raw!AT65),Raw!AT65,AND(Raw!AT65&gt;0,isblank(Raw!AS65)),concatenate(Raw!AT65," (A)"),AND(Raw!AR65&gt;0,Raw!AS65&gt;0),concatenate(Raw!AR65," to ",Raw!AS65),1,Raw!AS65),ifs(Raw!AU65="Y-","- (E)",Raw!AU65="Y"," (E)",1,))</f>
        <v>1000</v>
      </c>
      <c r="AD65" s="253">
        <f>Raw!AW65</f>
        <v>792.6</v>
      </c>
      <c r="AE65" s="239" t="str">
        <f>concatenate(Raw!AX65,if(isblank(Raw!AZ65),"",concatenate("/",Raw!AZ65)),if(isblank(Raw!BB65),"",concatenate("/",Raw!BB65)),if(isblank(Raw!BD65),"",concatenate("/",Raw!BD65)),if(isblank(Raw!BF65),"",concatenate("/",Raw!BF65)),if(Raw!BK65&gt;0,if(isblank(Raw!AX65),"Gromps","/Gromps"),))</f>
        <v>DD1Fa</v>
      </c>
      <c r="AF65" s="239" t="str">
        <f>concatenate(round(Raw!AY65,1),if(isblank(Raw!AZ65),"",concatenate("/",round(Raw!BA65,1))),if(isblank(Raw!BB65),"",concatenate("/",round(Raw!BC65,1))),if(isblank(Raw!BD65),"",concatenate("/",round(Raw!BE65,1))),if(isblank(Raw!BF65),"",concatenate("/",round(Raw!BG65,1))),if(isblank(Raw!BK65),,concatenate("/",if(isnumber(Raw!BK65),round(Raw!BK65,1),Raw!BK65))))</f>
        <v>30.5</v>
      </c>
      <c r="AG65" s="241">
        <f>Raw!BL65</f>
        <v>30.5</v>
      </c>
      <c r="AH65" s="254">
        <f>Raw!BI65</f>
        <v>0.561817121</v>
      </c>
      <c r="AI65" s="255" t="str">
        <f>Raw!BJ65</f>
        <v/>
      </c>
      <c r="AJ65" s="255" t="str">
        <f>Raw!BM65</f>
        <v/>
      </c>
      <c r="AK65" s="255" t="str">
        <f>Raw!BO65</f>
        <v>all to 25</v>
      </c>
      <c r="AL65" s="256" t="str">
        <f>Raw!BV65</f>
        <v>NR</v>
      </c>
      <c r="AM65" s="244" t="str">
        <f>if(ISNUMBER(Raw!BW65),concatenate(floor(Raw!BW65/60,1),":",MOD(Raw!BW65,60)),Raw!BW65)</f>
        <v>2:47</v>
      </c>
      <c r="AN65" s="255">
        <f>Raw!BX65</f>
        <v>56</v>
      </c>
      <c r="AO65" s="256">
        <f>Raw!BZ65</f>
        <v>14.94736842</v>
      </c>
      <c r="AP65" s="256">
        <f>Raw!CA65</f>
        <v>7.867036011</v>
      </c>
      <c r="AQ65" s="255" t="str">
        <f>Raw!CB65</f>
        <v>? hardwood</v>
      </c>
      <c r="AR65" s="255" t="str">
        <f>Raw!CC65</f>
        <v>NR</v>
      </c>
      <c r="AS65" s="244" t="str">
        <f>concatenate(floor(Raw!CE65/60,1),":",text(MOD(Raw!CE65,60),"00"),ifs(Raw!CF65="Y"," (E)", Raw!CF65="Y+"," +", isblank(Raw!CF65),""))</f>
        <v>4:44</v>
      </c>
      <c r="AT65" s="255" t="str">
        <f>Raw!CR65</f>
        <v>bottom</v>
      </c>
      <c r="AU65" s="256">
        <f>Raw!CS65</f>
        <v>4.3</v>
      </c>
      <c r="AV65" s="255" t="str">
        <f>Raw!CT65</f>
        <v>solid</v>
      </c>
      <c r="AW65" s="246">
        <f>if(Raw!CW65&gt;0,Raw!CW65,"None")</f>
        <v>0.1409836066</v>
      </c>
      <c r="AX65" s="246">
        <f>if(Raw!CX65&gt;0,Raw!CX65,"None")</f>
        <v>0.2509421683</v>
      </c>
      <c r="AY65" s="255" t="str">
        <f>Raw!CY65</f>
        <v/>
      </c>
      <c r="AZ65" s="255">
        <f>Raw!CZ65</f>
        <v>18.83</v>
      </c>
      <c r="BA65" s="255" t="str">
        <f>Raw!DA65</f>
        <v>Hals, Iceland</v>
      </c>
      <c r="BB65" s="255" t="str">
        <f>Raw!DB65</f>
        <v>build elements</v>
      </c>
      <c r="BC65" s="257" t="str">
        <f>Raw!DC65</f>
        <v>thinner liner endures</v>
      </c>
      <c r="BD65" s="248"/>
    </row>
    <row r="66">
      <c r="A66" s="249">
        <f>Raw!A66</f>
        <v>62</v>
      </c>
      <c r="B66" s="250" t="str">
        <f>Raw!B66</f>
        <v>Production</v>
      </c>
      <c r="C66" s="250" t="str">
        <f>Raw!C66</f>
        <v/>
      </c>
      <c r="D66" s="250" t="str">
        <f>Raw!D66</f>
        <v>Wareham ON</v>
      </c>
      <c r="E66" s="251">
        <f>Raw!E66</f>
        <v>42512</v>
      </c>
      <c r="F66" s="250" t="str">
        <f>Raw!F66</f>
        <v>modern</v>
      </c>
      <c r="G66" s="250" t="str">
        <f>Raw!G66</f>
        <v>N</v>
      </c>
      <c r="H66" s="250" t="str">
        <f>Raw!H66</f>
        <v/>
      </c>
      <c r="I66" s="250" t="str">
        <f>Raw!I66</f>
        <v>short shaft on block</v>
      </c>
      <c r="J66" s="250" t="str">
        <f>Raw!J66</f>
        <v>manure cobb in can</v>
      </c>
      <c r="K66" s="250" t="str">
        <f>if(isblank(Raw!K66),"",if(Raw!K66&gt;1,concatenate("Use ",Raw!K66," of Expt ",Raw!L66),"Use 1"))</f>
        <v>Use 2 of Expt 50</v>
      </c>
      <c r="L66" s="250" t="str">
        <f>Raw!M66</f>
        <v>Circle</v>
      </c>
      <c r="M66" s="250" t="str">
        <f>Raw!N66</f>
        <v>conical</v>
      </c>
      <c r="N66" s="250">
        <f>Raw!O66</f>
        <v>77</v>
      </c>
      <c r="O66" s="250">
        <f>Raw!S66</f>
        <v>48</v>
      </c>
      <c r="P66" s="252" t="str">
        <f>Raw!T66</f>
        <v>40 to 35</v>
      </c>
      <c r="Q66" s="239" t="str">
        <f>if(L66="Rectangle",concatenate(Raw!U66," x ",Raw!V66),if(L66="Oval",concatenate(Raw!U66," by ",Raw!V66),if(isnumber(Raw!V66),concatenate(Raw!U66," to ",Raw!V66),Raw!U66)))</f>
        <v>29 to 25.5</v>
      </c>
      <c r="R66" s="239">
        <f>if(AND(Raw!Z66="Y",isnumber(Raw!X66)),concatenate(Raw!X66," (E)"),Raw!X66)</f>
        <v>28</v>
      </c>
      <c r="S66" s="241">
        <f>Calcs!B66</f>
        <v>615.8</v>
      </c>
      <c r="T66" s="252" t="str">
        <f>Raw!AB66</f>
        <v>NR to 5</v>
      </c>
      <c r="U66" s="252" t="str">
        <f>Raw!AC66</f>
        <v>23 x 23</v>
      </c>
      <c r="V66" s="252" t="str">
        <f>Raw!AD66</f>
        <v>forged copper</v>
      </c>
      <c r="W66" s="212" t="str">
        <f>concatenate(Raw!AE66,if(Raw!AF66="Y"," (T)",))</f>
        <v>2.5 (T)</v>
      </c>
      <c r="X66" s="212" t="str">
        <f>concatenate(Raw!AG66,if(isblank(Raw!AH66),"",concatenate(" ",Raw!AH66)),if(isblank(Raw!AI66),""," (E)"))</f>
        <v>20 Down</v>
      </c>
      <c r="Y66" s="212" t="str">
        <f>concatenate(Raw!AJ66,if(isblank(Raw!AK66),""," (E)"))</f>
        <v>5</v>
      </c>
      <c r="Z66" s="252" t="str">
        <f>Raw!AL66</f>
        <v>charcoal fines</v>
      </c>
      <c r="AA66" s="212" t="str">
        <f>concatenate(Raw!AO66,if(Raw!AP66="Y"," (E)",))</f>
        <v>15</v>
      </c>
      <c r="AB66" s="252" t="str">
        <f>Raw!AQ66</f>
        <v>electric blower</v>
      </c>
      <c r="AC66" s="212" t="str">
        <f>concatenate(ifs(istext(Raw!AT66),Raw!AT66,AND(Raw!AT66&gt;0,isblank(Raw!AS66)),concatenate(Raw!AT66," (A)"),AND(Raw!AR66&gt;0,Raw!AS66&gt;0),concatenate(Raw!AR66," to ",Raw!AS66),1,Raw!AS66),ifs(Raw!AU66="Y-","- (E)",Raw!AU66="Y"," (E)",1,))</f>
        <v>800</v>
      </c>
      <c r="AD66" s="253">
        <f>Raw!AW66</f>
        <v>738.96</v>
      </c>
      <c r="AE66" s="239" t="str">
        <f>concatenate(Raw!AX66,if(isblank(Raw!AZ66),"",concatenate("/",Raw!AZ66)),if(isblank(Raw!BB66),"",concatenate("/",Raw!BB66)),if(isblank(Raw!BD66),"",concatenate("/",Raw!BD66)),if(isblank(Raw!BF66),"",concatenate("/",Raw!BF66)),if(Raw!BK66&gt;0,if(isblank(Raw!AX66),"Gromps","/Gromps"),))</f>
        <v>DD1Fa</v>
      </c>
      <c r="AF66" s="239" t="str">
        <f>concatenate(round(Raw!AY66,1),if(isblank(Raw!AZ66),"",concatenate("/",round(Raw!BA66,1))),if(isblank(Raw!BB66),"",concatenate("/",round(Raw!BC66,1))),if(isblank(Raw!BD66),"",concatenate("/",round(Raw!BE66,1))),if(isblank(Raw!BF66),"",concatenate("/",round(Raw!BG66,1))),if(isblank(Raw!BK66),,concatenate("/",if(isnumber(Raw!BK66),round(Raw!BK66,1),Raw!BK66))))</f>
        <v>29</v>
      </c>
      <c r="AG66" s="241">
        <f>Raw!BL66</f>
        <v>29</v>
      </c>
      <c r="AH66" s="254">
        <f>Raw!BI66</f>
        <v>0.561817121</v>
      </c>
      <c r="AI66" s="255" t="str">
        <f>Raw!BJ66</f>
        <v>raw</v>
      </c>
      <c r="AJ66" s="255" t="str">
        <f>Raw!BM66</f>
        <v/>
      </c>
      <c r="AK66" s="255" t="str">
        <f>Raw!BO66</f>
        <v>all to 25</v>
      </c>
      <c r="AL66" s="256">
        <f>Raw!BV66</f>
        <v>6.7</v>
      </c>
      <c r="AM66" s="244" t="str">
        <f>if(ISNUMBER(Raw!BW66),concatenate(floor(Raw!BW66/60,1),":",MOD(Raw!BW66,60)),Raw!BW66)</f>
        <v>1:7</v>
      </c>
      <c r="AN66" s="255">
        <f>Raw!BX66</f>
        <v>50</v>
      </c>
      <c r="AO66" s="256">
        <f>Raw!BZ66</f>
        <v>11.9</v>
      </c>
      <c r="AP66" s="256">
        <f>Raw!CA66</f>
        <v>6.761363636</v>
      </c>
      <c r="AQ66" s="255" t="str">
        <f>Raw!CB66</f>
        <v>? hardwood</v>
      </c>
      <c r="AR66" s="255" t="str">
        <f>Raw!CC66</f>
        <v>NR</v>
      </c>
      <c r="AS66" s="244" t="str">
        <f>concatenate(floor(Raw!CE66/60,1),":",text(MOD(Raw!CE66,60),"00"),ifs(Raw!CF66="Y"," (E)", Raw!CF66="Y+"," +", isblank(Raw!CF66),""))</f>
        <v>3:58</v>
      </c>
      <c r="AT66" s="255" t="str">
        <f>Raw!CR66</f>
        <v>bottom</v>
      </c>
      <c r="AU66" s="256" t="str">
        <f>Raw!CS66</f>
        <v>NR</v>
      </c>
      <c r="AV66" s="255" t="str">
        <f>Raw!CT66</f>
        <v>solid</v>
      </c>
      <c r="AW66" s="246" t="str">
        <f>if(Raw!CW66&gt;0,Raw!CW66,"None")</f>
        <v>NR</v>
      </c>
      <c r="AX66" s="246" t="str">
        <f>if(Raw!CX66&gt;0,Raw!CX66,"None")</f>
        <v>NR</v>
      </c>
      <c r="AY66" s="255" t="str">
        <f>Raw!CY66</f>
        <v/>
      </c>
      <c r="AZ66" s="255" t="str">
        <f>Raw!CZ66</f>
        <v/>
      </c>
      <c r="BA66" s="255" t="str">
        <f>Raw!DA66</f>
        <v/>
      </c>
      <c r="BB66" s="255" t="str">
        <f>Raw!DB66</f>
        <v>use of May 2012 furnace</v>
      </c>
      <c r="BC66" s="257" t="str">
        <f>Raw!DC66</f>
        <v>resonable return</v>
      </c>
      <c r="BD66" s="248"/>
    </row>
    <row r="67">
      <c r="A67" s="249">
        <f>Raw!A67</f>
        <v>63</v>
      </c>
      <c r="B67" s="250" t="str">
        <f>Raw!B67</f>
        <v>50 Year / demo</v>
      </c>
      <c r="C67" s="250" t="str">
        <f>Raw!C67</f>
        <v>SCA</v>
      </c>
      <c r="D67" s="250" t="str">
        <f>Raw!D67</f>
        <v>Danville IN</v>
      </c>
      <c r="E67" s="251">
        <f>Raw!E67</f>
        <v>42541</v>
      </c>
      <c r="F67" s="250" t="str">
        <f>Raw!F67</f>
        <v>Viking Age</v>
      </c>
      <c r="G67" s="250" t="str">
        <f>Raw!G67</f>
        <v>Y</v>
      </c>
      <c r="H67" s="250" t="str">
        <f>Raw!H67</f>
        <v>Air</v>
      </c>
      <c r="I67" s="250" t="str">
        <f>Raw!I67</f>
        <v>short shaft on stone</v>
      </c>
      <c r="J67" s="250" t="str">
        <f>Raw!J67</f>
        <v>manure cobb</v>
      </c>
      <c r="K67" s="250" t="str">
        <f>if(isblank(Raw!K67),"",if(Raw!K67&gt;1,concatenate("Use ",Raw!K67," of Expt ",Raw!L67),"Use 1"))</f>
        <v/>
      </c>
      <c r="L67" s="250" t="str">
        <f>Raw!M67</f>
        <v>Circle</v>
      </c>
      <c r="M67" s="250" t="str">
        <f>Raw!N67</f>
        <v>cylinder</v>
      </c>
      <c r="N67" s="250">
        <f>Raw!O67</f>
        <v>75</v>
      </c>
      <c r="O67" s="250" t="str">
        <f>Raw!S67</f>
        <v>NR</v>
      </c>
      <c r="P67" s="252" t="str">
        <f>Raw!T67</f>
        <v>41 to 36</v>
      </c>
      <c r="Q67" s="239">
        <f>if(L67="Rectangle",concatenate(Raw!U67," x ",Raw!V67),if(L67="Oval",concatenate(Raw!U67," by ",Raw!V67),if(isnumber(Raw!V67),concatenate(Raw!U67," to ",Raw!V67),Raw!U67)))</f>
        <v>26</v>
      </c>
      <c r="R67" s="239" t="str">
        <f>if(AND(Raw!Z67="Y",isnumber(Raw!X67)),concatenate(Raw!X67," (E)"),Raw!X67)</f>
        <v/>
      </c>
      <c r="S67" s="241">
        <f>Calcs!B67</f>
        <v>530.9</v>
      </c>
      <c r="T67" s="252" t="str">
        <f>Raw!AB67</f>
        <v>7.7 to 4.8</v>
      </c>
      <c r="U67" s="252" t="str">
        <f>Raw!AC67</f>
        <v>25 x 15</v>
      </c>
      <c r="V67" s="252" t="str">
        <f>Raw!AD67</f>
        <v>forged copper</v>
      </c>
      <c r="W67" s="212" t="str">
        <f>concatenate(Raw!AE67,if(Raw!AF67="Y"," (T)",))</f>
        <v>2.5 (T)</v>
      </c>
      <c r="X67" s="212" t="str">
        <f>concatenate(Raw!AG67,if(isblank(Raw!AH67),"",concatenate(" ",Raw!AH67)),if(isblank(Raw!AI67),""," (E)"))</f>
        <v>20 Down</v>
      </c>
      <c r="Y67" s="212" t="str">
        <f>concatenate(Raw!AJ67,if(isblank(Raw!AK67),""," (E)"))</f>
        <v>4</v>
      </c>
      <c r="Z67" s="252" t="str">
        <f>Raw!AL67</f>
        <v>charcoal fines</v>
      </c>
      <c r="AA67" s="212" t="str">
        <f>concatenate(Raw!AO67,if(Raw!AP67="Y"," (E)",))</f>
        <v>NR</v>
      </c>
      <c r="AB67" s="252" t="str">
        <f>Raw!AQ67</f>
        <v>multiple twin</v>
      </c>
      <c r="AC67" s="212" t="str">
        <f>concatenate(ifs(istext(Raw!AT67),Raw!AT67,AND(Raw!AT67&gt;0,isblank(Raw!AS67)),concatenate(Raw!AT67," (A)"),AND(Raw!AR67&gt;0,Raw!AS67&gt;0),concatenate(Raw!AR67," to ",Raw!AS67),1,Raw!AS67),ifs(Raw!AU67="Y-","- (E)",Raw!AU67="Y"," (E)",1,))</f>
        <v>NR</v>
      </c>
      <c r="AD67" s="253">
        <f>Raw!AW67</f>
        <v>637.08</v>
      </c>
      <c r="AE67" s="239" t="str">
        <f>concatenate(Raw!AX67,if(isblank(Raw!AZ67),"",concatenate("/",Raw!AZ67)),if(isblank(Raw!BB67),"",concatenate("/",Raw!BB67)),if(isblank(Raw!BD67),"",concatenate("/",Raw!BD67)),if(isblank(Raw!BF67),"",concatenate("/",Raw!BF67)),if(Raw!BK67&gt;0,if(isblank(Raw!AX67),"Gromps","/Gromps"),))</f>
        <v>DD1Fd/Bratton's Run Goethite</v>
      </c>
      <c r="AF67" s="239" t="str">
        <f>concatenate(round(Raw!AY67,1),if(isblank(Raw!AZ67),"",concatenate("/",round(Raw!BA67,1))),if(isblank(Raw!BB67),"",concatenate("/",round(Raw!BC67,1))),if(isblank(Raw!BD67),"",concatenate("/",round(Raw!BE67,1))),if(isblank(Raw!BF67),"",concatenate("/",round(Raw!BG67,1))),if(isblank(Raw!BK67),,concatenate("/",if(isnumber(Raw!BK67),round(Raw!BK67,1),Raw!BK67))))</f>
        <v>13.4/6.3</v>
      </c>
      <c r="AG67" s="241">
        <f>Raw!BL67</f>
        <v>19.7</v>
      </c>
      <c r="AH67" s="254">
        <f>Raw!BI67</f>
        <v>0.5333272807</v>
      </c>
      <c r="AI67" s="255" t="str">
        <f>Raw!BJ67</f>
        <v/>
      </c>
      <c r="AJ67" s="255" t="str">
        <f>Raw!BM67</f>
        <v/>
      </c>
      <c r="AK67" s="255" t="str">
        <f>Raw!BO67</f>
        <v>all to 25 / 10</v>
      </c>
      <c r="AL67" s="256" t="str">
        <f>Raw!BV67</f>
        <v>NR</v>
      </c>
      <c r="AM67" s="244" t="str">
        <f>if(ISNUMBER(Raw!BW67),concatenate(floor(Raw!BW67/60,1),":",MOD(Raw!BW67,60)),Raw!BW67)</f>
        <v>NR</v>
      </c>
      <c r="AN67" s="255">
        <f>Raw!BX67</f>
        <v>36</v>
      </c>
      <c r="AO67" s="256">
        <f>Raw!BZ67</f>
        <v>22.10526316</v>
      </c>
      <c r="AP67" s="256">
        <f>Raw!CA67</f>
        <v>19.44444444</v>
      </c>
      <c r="AQ67" s="255" t="str">
        <f>Raw!CB67</f>
        <v>maple</v>
      </c>
      <c r="AR67" s="255" t="str">
        <f>Raw!CC67</f>
        <v>Maple Leaf</v>
      </c>
      <c r="AS67" s="244" t="str">
        <f>concatenate(floor(Raw!CE67/60,1),":",text(MOD(Raw!CE67,60),"00"),ifs(Raw!CF67="Y"," (E)", Raw!CF67="Y+"," +", isblank(Raw!CF67),""))</f>
        <v>7:00</v>
      </c>
      <c r="AT67" s="255" t="str">
        <f>Raw!CR67</f>
        <v>bottom</v>
      </c>
      <c r="AU67" s="256">
        <f>Raw!CS67</f>
        <v>4.9</v>
      </c>
      <c r="AV67" s="255" t="str">
        <f>Raw!CT67</f>
        <v>solid</v>
      </c>
      <c r="AW67" s="246">
        <f>if(Raw!CW67&gt;0,Raw!CW67,"None")</f>
        <v>0.2487309645</v>
      </c>
      <c r="AX67" s="246">
        <f>if(Raw!CX67&gt;0,Raw!CX67,"None")</f>
        <v>0.4663758511</v>
      </c>
      <c r="AY67" s="255" t="str">
        <f>Raw!CY67</f>
        <v/>
      </c>
      <c r="AZ67" s="255" t="str">
        <f>Raw!CZ67</f>
        <v/>
      </c>
      <c r="BA67" s="255" t="str">
        <f>Raw!DA67</f>
        <v>speculative</v>
      </c>
      <c r="BB67" s="255" t="str">
        <f>Raw!DB67</f>
        <v>multiple small bellows with bladder test</v>
      </c>
      <c r="BC67" s="257" t="str">
        <f>Raw!DC67</f>
        <v>proof of historic method</v>
      </c>
      <c r="BD67" s="248"/>
    </row>
    <row r="68">
      <c r="A68" s="249">
        <f>Raw!A68</f>
        <v>64</v>
      </c>
      <c r="B68" s="250" t="str">
        <f>Raw!B68</f>
        <v>ARTEfakty A</v>
      </c>
      <c r="C68" s="250" t="str">
        <f>Raw!C68</f>
        <v>ARTEfakty</v>
      </c>
      <c r="D68" s="250" t="str">
        <f>Raw!D68</f>
        <v>Proszkow Poland</v>
      </c>
      <c r="E68" s="251">
        <f>Raw!E68</f>
        <v>42622</v>
      </c>
      <c r="F68" s="250" t="str">
        <f>Raw!F68</f>
        <v>Viking Age</v>
      </c>
      <c r="G68" s="250" t="str">
        <f>Raw!G68</f>
        <v>Y</v>
      </c>
      <c r="H68" s="250" t="str">
        <f>Raw!H68</f>
        <v/>
      </c>
      <c r="I68" s="250" t="str">
        <f>Raw!I68</f>
        <v>short shaft</v>
      </c>
      <c r="J68" s="250" t="str">
        <f>Raw!J68</f>
        <v>clay</v>
      </c>
      <c r="K68" s="250" t="str">
        <f>if(isblank(Raw!K68),"",if(Raw!K68&gt;1,concatenate("Use ",Raw!K68," of Expt ",Raw!L68),"Use 1"))</f>
        <v/>
      </c>
      <c r="L68" s="250" t="str">
        <f>Raw!M68</f>
        <v>Circle</v>
      </c>
      <c r="M68" s="250" t="str">
        <f>Raw!N68</f>
        <v>cylinder</v>
      </c>
      <c r="N68" s="250">
        <f>Raw!O68</f>
        <v>70</v>
      </c>
      <c r="O68" s="250">
        <f>Raw!S68</f>
        <v>60</v>
      </c>
      <c r="P68" s="252" t="str">
        <f>Raw!T68</f>
        <v>NR to 32</v>
      </c>
      <c r="Q68" s="239">
        <f>if(L68="Rectangle",concatenate(Raw!U68," x ",Raw!V68),if(L68="Oval",concatenate(Raw!U68," by ",Raw!V68),if(isnumber(Raw!V68),concatenate(Raw!U68," to ",Raw!V68),Raw!U68)))</f>
        <v>28</v>
      </c>
      <c r="R68" s="239" t="str">
        <f>if(AND(Raw!Z68="Y",isnumber(Raw!X68)),concatenate(Raw!X68," (E)"),Raw!X68)</f>
        <v/>
      </c>
      <c r="S68" s="241">
        <f>Calcs!B68</f>
        <v>615.8</v>
      </c>
      <c r="T68" s="252" t="str">
        <f>Raw!AB68</f>
        <v>NR to 3</v>
      </c>
      <c r="U68" s="252" t="str">
        <f>Raw!AC68</f>
        <v>20 x 15</v>
      </c>
      <c r="V68" s="252" t="str">
        <f>Raw!AD68</f>
        <v>forged copper</v>
      </c>
      <c r="W68" s="212" t="str">
        <f>concatenate(Raw!AE68,if(Raw!AF68="Y"," (T)",))</f>
        <v>2.5 (T)</v>
      </c>
      <c r="X68" s="212" t="str">
        <f>concatenate(Raw!AG68,if(isblank(Raw!AH68),"",concatenate(" ",Raw!AH68)),if(isblank(Raw!AI68),""," (E)"))</f>
        <v>20 Down (E)</v>
      </c>
      <c r="Y68" s="212" t="str">
        <f>concatenate(Raw!AJ68,if(isblank(Raw!AK68),""," (E)"))</f>
        <v>5</v>
      </c>
      <c r="Z68" s="252" t="str">
        <f>Raw!AL68</f>
        <v>natural</v>
      </c>
      <c r="AA68" s="212" t="str">
        <f>concatenate(Raw!AO68,if(Raw!AP68="Y"," (E)",))</f>
        <v>20</v>
      </c>
      <c r="AB68" s="252" t="str">
        <f>Raw!AQ68</f>
        <v>danish vacuum</v>
      </c>
      <c r="AC68" s="212" t="str">
        <f>concatenate(ifs(istext(Raw!AT68),Raw!AT68,AND(Raw!AT68&gt;0,isblank(Raw!AS68)),concatenate(Raw!AT68," (A)"),AND(Raw!AR68&gt;0,Raw!AS68&gt;0),concatenate(Raw!AR68," to ",Raw!AS68),1,Raw!AS68),ifs(Raw!AU68="Y-","- (E)",Raw!AU68="Y"," (E)",1,))</f>
        <v>?</v>
      </c>
      <c r="AD68" s="253">
        <f>Raw!AW68</f>
        <v>738.96</v>
      </c>
      <c r="AE68" s="239" t="str">
        <f>concatenate(Raw!AX68,if(isblank(Raw!AZ68),"",concatenate("/",Raw!AZ68)),if(isblank(Raw!BB68),"",concatenate("/",Raw!BB68)),if(isblank(Raw!BD68),"",concatenate("/",Raw!BD68)),if(isblank(Raw!BF68),"",concatenate("/",Raw!BF68)),if(Raw!BK68&gt;0,if(isblank(Raw!AX68),"Gromps","/Gromps"),))</f>
        <v>Harres Bog Ore/Guldager Bog Ore</v>
      </c>
      <c r="AF68" s="239" t="str">
        <f>concatenate(round(Raw!AY68,1),if(isblank(Raw!AZ68),"",concatenate("/",round(Raw!BA68,1))),if(isblank(Raw!BB68),"",concatenate("/",round(Raw!BC68,1))),if(isblank(Raw!BD68),"",concatenate("/",round(Raw!BE68,1))),if(isblank(Raw!BF68),"",concatenate("/",round(Raw!BG68,1))),if(isblank(Raw!BK68),,concatenate("/",if(isnumber(Raw!BK68),round(Raw!BK68,1),Raw!BK68))))</f>
        <v>15/15</v>
      </c>
      <c r="AG68" s="241">
        <f>Raw!BL68</f>
        <v>30</v>
      </c>
      <c r="AH68" s="254" t="str">
        <f>Raw!BI68</f>
        <v>?</v>
      </c>
      <c r="AI68" s="255" t="str">
        <f>Raw!BJ68</f>
        <v>raw</v>
      </c>
      <c r="AJ68" s="255" t="str">
        <f>Raw!BM68</f>
        <v/>
      </c>
      <c r="AK68" s="255" t="str">
        <f>Raw!BO68</f>
        <v>all to 25</v>
      </c>
      <c r="AL68" s="256" t="str">
        <f>Raw!BV68</f>
        <v>NR</v>
      </c>
      <c r="AM68" s="244" t="str">
        <f>if(ISNUMBER(Raw!BW68),concatenate(floor(Raw!BW68/60,1),":",MOD(Raw!BW68,60)),Raw!BW68)</f>
        <v>1:30</v>
      </c>
      <c r="AN68" s="255">
        <f>Raw!BX68</f>
        <v>46</v>
      </c>
      <c r="AO68" s="256">
        <f>Raw!BZ68</f>
        <v>11.71428571</v>
      </c>
      <c r="AP68" s="256">
        <f>Raw!CA68</f>
        <v>5.857142857</v>
      </c>
      <c r="AQ68" s="255" t="str">
        <f>Raw!CB68</f>
        <v>? hardwood</v>
      </c>
      <c r="AR68" s="255" t="str">
        <f>Raw!CC68</f>
        <v>Poland</v>
      </c>
      <c r="AS68" s="244" t="str">
        <f>concatenate(floor(Raw!CE68/60,1),":",text(MOD(Raw!CE68,60),"00"),ifs(Raw!CF68="Y"," (E)", Raw!CF68="Y+"," +", isblank(Raw!CF68),""))</f>
        <v>2:44</v>
      </c>
      <c r="AT68" s="255" t="str">
        <f>Raw!CR68</f>
        <v>bottom</v>
      </c>
      <c r="AU68" s="256">
        <f>Raw!CS68</f>
        <v>5.8</v>
      </c>
      <c r="AV68" s="255" t="str">
        <f>Raw!CT68</f>
        <v>solid</v>
      </c>
      <c r="AW68" s="246">
        <f>if(Raw!CW68&gt;0,Raw!CW68,"None")</f>
        <v>0.1933333333</v>
      </c>
      <c r="AX68" s="246" t="str">
        <f>if(Raw!CX68&gt;0,Raw!CX68,"None")</f>
        <v>?</v>
      </c>
      <c r="AY68" s="255" t="str">
        <f>Raw!CY68</f>
        <v/>
      </c>
      <c r="AZ68" s="255" t="str">
        <f>Raw!CZ68</f>
        <v/>
      </c>
      <c r="BA68" s="255" t="str">
        <f>Raw!DA68</f>
        <v/>
      </c>
      <c r="BB68" s="255" t="str">
        <f>Raw!DB68</f>
        <v>to museum</v>
      </c>
      <c r="BC68" s="257" t="str">
        <f>Raw!DC68</f>
        <v>excellent demonstration results</v>
      </c>
      <c r="BD68" s="248"/>
    </row>
    <row r="69">
      <c r="A69" s="249">
        <f>Raw!A69</f>
        <v>65</v>
      </c>
      <c r="B69" s="250" t="str">
        <f>Raw!B69</f>
        <v>ARTEfakty B</v>
      </c>
      <c r="C69" s="250" t="str">
        <f>Raw!C69</f>
        <v>ARTEfakty</v>
      </c>
      <c r="D69" s="250" t="str">
        <f>Raw!D69</f>
        <v>Proszkow Poland</v>
      </c>
      <c r="E69" s="251">
        <f>Raw!E69</f>
        <v>42624</v>
      </c>
      <c r="F69" s="250" t="str">
        <f>Raw!F69</f>
        <v>Viking Age</v>
      </c>
      <c r="G69" s="250" t="str">
        <f>Raw!G69</f>
        <v>Y</v>
      </c>
      <c r="H69" s="250" t="str">
        <f>Raw!H69</f>
        <v/>
      </c>
      <c r="I69" s="250" t="str">
        <f>Raw!I69</f>
        <v>short shaft on clay</v>
      </c>
      <c r="J69" s="250" t="str">
        <f>Raw!J69</f>
        <v>clay</v>
      </c>
      <c r="K69" s="250" t="str">
        <f>if(isblank(Raw!K69),"",if(Raw!K69&gt;1,concatenate("Use ",Raw!K69," of Expt ",Raw!L69),"Use 1"))</f>
        <v/>
      </c>
      <c r="L69" s="250" t="str">
        <f>Raw!M69</f>
        <v>Circle</v>
      </c>
      <c r="M69" s="250" t="str">
        <f>Raw!N69</f>
        <v>conical</v>
      </c>
      <c r="N69" s="250">
        <f>Raw!O69</f>
        <v>60</v>
      </c>
      <c r="O69" s="250">
        <f>Raw!S69</f>
        <v>42</v>
      </c>
      <c r="P69" s="252" t="str">
        <f>Raw!T69</f>
        <v>44 to 30</v>
      </c>
      <c r="Q69" s="239" t="str">
        <f>if(L69="Rectangle",concatenate(Raw!U69," x ",Raw!V69),if(L69="Oval",concatenate(Raw!U69," by ",Raw!V69),if(isnumber(Raw!V69),concatenate(Raw!U69," to ",Raw!V69),Raw!U69)))</f>
        <v>30 to 22</v>
      </c>
      <c r="R69" s="239" t="str">
        <f>if(AND(Raw!Z69="Y",isnumber(Raw!X69)),concatenate(Raw!X69," (E)"),Raw!X69)</f>
        <v>28 (E)</v>
      </c>
      <c r="S69" s="241" t="str">
        <f>Calcs!B69</f>
        <v>615.8 (E)</v>
      </c>
      <c r="T69" s="252" t="str">
        <f>Raw!AB69</f>
        <v>7 to 3</v>
      </c>
      <c r="U69" s="252" t="str">
        <f>Raw!AC69</f>
        <v>28 x 20</v>
      </c>
      <c r="V69" s="252" t="str">
        <f>Raw!AD69</f>
        <v>forged copper</v>
      </c>
      <c r="W69" s="212" t="str">
        <f>concatenate(Raw!AE69,if(Raw!AF69="Y"," (T)",))</f>
        <v>2.5 (T)</v>
      </c>
      <c r="X69" s="212" t="str">
        <f>concatenate(Raw!AG69,if(isblank(Raw!AH69),"",concatenate(" ",Raw!AH69)),if(isblank(Raw!AI69),""," (E)"))</f>
        <v>20 Down (E)</v>
      </c>
      <c r="Y69" s="212" t="str">
        <f>concatenate(Raw!AJ69,if(isblank(Raw!AK69),""," (E)"))</f>
        <v>5</v>
      </c>
      <c r="Z69" s="252" t="str">
        <f>Raw!AL69</f>
        <v>charcoal fines</v>
      </c>
      <c r="AA69" s="212" t="str">
        <f>concatenate(Raw!AO69,if(Raw!AP69="Y"," (E)",))</f>
        <v>15</v>
      </c>
      <c r="AB69" s="252" t="str">
        <f>Raw!AQ69</f>
        <v>danish vacuum</v>
      </c>
      <c r="AC69" s="212" t="str">
        <f>concatenate(ifs(istext(Raw!AT69),Raw!AT69,AND(Raw!AT69&gt;0,isblank(Raw!AS69)),concatenate(Raw!AT69," (A)"),AND(Raw!AR69&gt;0,Raw!AS69&gt;0),concatenate(Raw!AR69," to ",Raw!AS69),1,Raw!AS69),ifs(Raw!AU69="Y-","- (E)",Raw!AU69="Y"," (E)",1,))</f>
        <v>?</v>
      </c>
      <c r="AD69" s="253">
        <f>Raw!AW69</f>
        <v>738.96</v>
      </c>
      <c r="AE69" s="239" t="str">
        <f>concatenate(Raw!AX69,if(isblank(Raw!AZ69),"",concatenate("/",Raw!AZ69)),if(isblank(Raw!BB69),"",concatenate("/",Raw!BB69)),if(isblank(Raw!BD69),"",concatenate("/",Raw!BD69)),if(isblank(Raw!BF69),"",concatenate("/",Raw!BF69)),if(Raw!BK69&gt;0,if(isblank(Raw!AX69),"Gromps","/Gromps"),))</f>
        <v>Harres Bog Ore/Guldager Bog Ore</v>
      </c>
      <c r="AF69" s="239" t="str">
        <f>concatenate(round(Raw!AY69,1),if(isblank(Raw!AZ69),"",concatenate("/",round(Raw!BA69,1))),if(isblank(Raw!BB69),"",concatenate("/",round(Raw!BC69,1))),if(isblank(Raw!BD69),"",concatenate("/",round(Raw!BE69,1))),if(isblank(Raw!BF69),"",concatenate("/",round(Raw!BG69,1))),if(isblank(Raw!BK69),,concatenate("/",if(isnumber(Raw!BK69),round(Raw!BK69,1),Raw!BK69))))</f>
        <v>20.5/20.5</v>
      </c>
      <c r="AG69" s="241">
        <f>Raw!BL69</f>
        <v>41</v>
      </c>
      <c r="AH69" s="254" t="str">
        <f>Raw!BI69</f>
        <v>?</v>
      </c>
      <c r="AI69" s="255" t="str">
        <f>Raw!BJ69</f>
        <v>raw</v>
      </c>
      <c r="AJ69" s="255">
        <f>Raw!BM69</f>
        <v>2</v>
      </c>
      <c r="AK69" s="255" t="str">
        <f>Raw!BO69</f>
        <v>all to 25</v>
      </c>
      <c r="AL69" s="256" t="str">
        <f>Raw!BV69</f>
        <v>NR</v>
      </c>
      <c r="AM69" s="244" t="str">
        <f>if(ISNUMBER(Raw!BW69),concatenate(floor(Raw!BW69/60,1),":",MOD(Raw!BW69,60)),Raw!BW69)</f>
        <v>1:20</v>
      </c>
      <c r="AN69" s="255">
        <f>Raw!BX69</f>
        <v>70.5</v>
      </c>
      <c r="AO69" s="256">
        <f>Raw!BZ69</f>
        <v>11.61904762</v>
      </c>
      <c r="AP69" s="256">
        <f>Raw!CA69</f>
        <v>5.80952381</v>
      </c>
      <c r="AQ69" s="255" t="str">
        <f>Raw!CB69</f>
        <v>? hardwood</v>
      </c>
      <c r="AR69" s="255" t="str">
        <f>Raw!CC69</f>
        <v>Poland</v>
      </c>
      <c r="AS69" s="244" t="str">
        <f>concatenate(floor(Raw!CE69/60,1),":",text(MOD(Raw!CE69,60),"00"),ifs(Raw!CF69="Y"," (E)", Raw!CF69="Y+"," +", isblank(Raw!CF69),""))</f>
        <v>4:04</v>
      </c>
      <c r="AT69" s="255" t="str">
        <f>Raw!CR69</f>
        <v>bottom</v>
      </c>
      <c r="AU69" s="256">
        <f>Raw!CS69</f>
        <v>8.2</v>
      </c>
      <c r="AV69" s="255" t="str">
        <f>Raw!CT69</f>
        <v>solid</v>
      </c>
      <c r="AW69" s="246">
        <f>if(Raw!CW69&gt;0,Raw!CW69,"None")</f>
        <v>0.2</v>
      </c>
      <c r="AX69" s="246" t="str">
        <f>if(Raw!CX69&gt;0,Raw!CX69,"None")</f>
        <v>?</v>
      </c>
      <c r="AY69" s="255" t="str">
        <f>Raw!CY69</f>
        <v/>
      </c>
      <c r="AZ69" s="255" t="str">
        <f>Raw!CZ69</f>
        <v/>
      </c>
      <c r="BA69" s="255" t="str">
        <f>Raw!DA69</f>
        <v/>
      </c>
      <c r="BB69" s="255" t="str">
        <f>Raw!DB69</f>
        <v>to museum</v>
      </c>
      <c r="BC69" s="257" t="str">
        <f>Raw!DC69</f>
        <v>excellent demonstration results</v>
      </c>
      <c r="BD69" s="248"/>
    </row>
    <row r="70">
      <c r="A70" s="249">
        <f>Raw!A70</f>
        <v>66</v>
      </c>
      <c r="B70" s="250" t="str">
        <f>Raw!B70</f>
        <v>T2T 2A</v>
      </c>
      <c r="C70" s="250" t="str">
        <f>Raw!C70</f>
        <v>SSW</v>
      </c>
      <c r="D70" s="250" t="str">
        <f>Raw!D70</f>
        <v>Lumsden Scotland</v>
      </c>
      <c r="E70" s="251">
        <f>Raw!E70</f>
        <v>42630</v>
      </c>
      <c r="F70" s="250" t="str">
        <f>Raw!F70</f>
        <v>Pictish 200 - 400 AD</v>
      </c>
      <c r="G70" s="250" t="str">
        <f>Raw!G70</f>
        <v>N</v>
      </c>
      <c r="H70" s="250" t="str">
        <f>Raw!H70</f>
        <v>Turf-to-Tools</v>
      </c>
      <c r="I70" s="250" t="str">
        <f>Raw!I70</f>
        <v>short shaft on stone</v>
      </c>
      <c r="J70" s="250" t="str">
        <f>Raw!J70</f>
        <v>manure cobb</v>
      </c>
      <c r="K70" s="250" t="str">
        <f>if(isblank(Raw!K70),"",if(Raw!K70&gt;1,concatenate("Use ",Raw!K70," of Expt ",Raw!L70),"Use 1"))</f>
        <v>Use 1</v>
      </c>
      <c r="L70" s="250" t="str">
        <f>Raw!M70</f>
        <v>Circle</v>
      </c>
      <c r="M70" s="250" t="str">
        <f>Raw!N70</f>
        <v>conical</v>
      </c>
      <c r="N70" s="250">
        <f>Raw!O70</f>
        <v>68</v>
      </c>
      <c r="O70" s="250">
        <f>Raw!S70</f>
        <v>49</v>
      </c>
      <c r="P70" s="252" t="str">
        <f>Raw!T70</f>
        <v>46 to 28</v>
      </c>
      <c r="Q70" s="239" t="str">
        <f>if(L70="Rectangle",concatenate(Raw!U70," x ",Raw!V70),if(L70="Oval",concatenate(Raw!U70," by ",Raw!V70),if(isnumber(Raw!V70),concatenate(Raw!U70," to ",Raw!V70),Raw!U70)))</f>
        <v>30 to 20</v>
      </c>
      <c r="R70" s="239">
        <f>if(AND(Raw!Z70="Y",isnumber(Raw!X70)),concatenate(Raw!X70," (E)"),Raw!X70)</f>
        <v>25</v>
      </c>
      <c r="S70" s="241">
        <f>Calcs!B70</f>
        <v>490.9</v>
      </c>
      <c r="T70" s="252" t="str">
        <f>Raw!AB70</f>
        <v>8 to 4</v>
      </c>
      <c r="U70" s="252" t="str">
        <f>Raw!AC70</f>
        <v>27 x 15</v>
      </c>
      <c r="V70" s="252" t="str">
        <f>Raw!AD70</f>
        <v>forged copper</v>
      </c>
      <c r="W70" s="212" t="str">
        <f>concatenate(Raw!AE70,if(Raw!AF70="Y"," (T)",))</f>
        <v>2.5 (T)</v>
      </c>
      <c r="X70" s="212" t="str">
        <f>concatenate(Raw!AG70,if(isblank(Raw!AH70),"",concatenate(" ",Raw!AH70)),if(isblank(Raw!AI70),""," (E)"))</f>
        <v>20 Down (E)</v>
      </c>
      <c r="Y70" s="212" t="str">
        <f>concatenate(Raw!AJ70,if(isblank(Raw!AK70),""," (E)"))</f>
        <v>5</v>
      </c>
      <c r="Z70" s="252" t="str">
        <f>Raw!AL70</f>
        <v>charcoal fines</v>
      </c>
      <c r="AA70" s="212" t="str">
        <f>concatenate(Raw!AO70,if(Raw!AP70="Y"," (E)",))</f>
        <v>16</v>
      </c>
      <c r="AB70" s="252" t="str">
        <f>Raw!AQ70</f>
        <v>leaf blower 2</v>
      </c>
      <c r="AC70" s="212" t="str">
        <f>concatenate(ifs(istext(Raw!AT70),Raw!AT70,AND(Raw!AT70&gt;0,isblank(Raw!AS70)),concatenate(Raw!AT70," (A)"),AND(Raw!AR70&gt;0,Raw!AS70&gt;0),concatenate(Raw!AR70," to ",Raw!AS70),1,Raw!AS70),ifs(Raw!AU70="Y-","- (E)",Raw!AU70="Y"," (E)",1,))</f>
        <v>?</v>
      </c>
      <c r="AD70" s="253">
        <f>Raw!AW70</f>
        <v>589.08</v>
      </c>
      <c r="AE70" s="239" t="str">
        <f>concatenate(Raw!AX70,if(isblank(Raw!AZ70),"",concatenate("/",Raw!AZ70)),if(isblank(Raw!BB70),"",concatenate("/",Raw!BB70)),if(isblank(Raw!BD70),"",concatenate("/",Raw!BD70)),if(isblank(Raw!BF70),"",concatenate("/",Raw!BF70)),if(Raw!BK70&gt;0,if(isblank(Raw!AX70),"Gromps","/Gromps"),))</f>
        <v>Lecht Scotland Goethite</v>
      </c>
      <c r="AF70" s="239" t="str">
        <f>concatenate(round(Raw!AY70,1),if(isblank(Raw!AZ70),"",concatenate("/",round(Raw!BA70,1))),if(isblank(Raw!BB70),"",concatenate("/",round(Raw!BC70,1))),if(isblank(Raw!BD70),"",concatenate("/",round(Raw!BE70,1))),if(isblank(Raw!BF70),"",concatenate("/",round(Raw!BG70,1))),if(isblank(Raw!BK70),,concatenate("/",if(isnumber(Raw!BK70),round(Raw!BK70,1),Raw!BK70))))</f>
        <v>36.5</v>
      </c>
      <c r="AG70" s="241">
        <f>Raw!BL70</f>
        <v>36.5</v>
      </c>
      <c r="AH70" s="254" t="str">
        <f>Raw!BI70</f>
        <v>?</v>
      </c>
      <c r="AI70" s="255" t="str">
        <f>Raw!BJ70</f>
        <v>roasted</v>
      </c>
      <c r="AJ70" s="255" t="str">
        <f>Raw!BM70</f>
        <v/>
      </c>
      <c r="AK70" s="255" t="str">
        <f>Raw!BO70</f>
        <v>all to 10</v>
      </c>
      <c r="AL70" s="256">
        <f>Raw!BV70</f>
        <v>7.882352941</v>
      </c>
      <c r="AM70" s="244" t="str">
        <f>if(ISNUMBER(Raw!BW70),concatenate(floor(Raw!BW70/60,1),":",MOD(Raw!BW70,60)),Raw!BW70)</f>
        <v>2:10</v>
      </c>
      <c r="AN70" s="255">
        <f>Raw!BX70</f>
        <v>42.5</v>
      </c>
      <c r="AO70" s="256">
        <f>Raw!BZ70</f>
        <v>11.14285714</v>
      </c>
      <c r="AP70" s="256">
        <f>Raw!CA70</f>
        <v>8.253968254</v>
      </c>
      <c r="AQ70" s="255" t="str">
        <f>Raw!CB70</f>
        <v>beech</v>
      </c>
      <c r="AR70" s="255" t="str">
        <f>Raw!CC70</f>
        <v>Scotland</v>
      </c>
      <c r="AS70" s="244" t="str">
        <f>concatenate(floor(Raw!CE70/60,1),":",text(MOD(Raw!CE70,60),"00"),ifs(Raw!CF70="Y"," (E)", Raw!CF70="Y+"," +", isblank(Raw!CF70),""))</f>
        <v>3:54</v>
      </c>
      <c r="AT70" s="255" t="str">
        <f>Raw!CR70</f>
        <v>bottom</v>
      </c>
      <c r="AU70" s="256">
        <f>Raw!CS70</f>
        <v>3.5</v>
      </c>
      <c r="AV70" s="255" t="str">
        <f>Raw!CT70</f>
        <v>crumbly</v>
      </c>
      <c r="AW70" s="246">
        <f>if(Raw!CW70&gt;0,Raw!CW70,"None")</f>
        <v>0.09589041096</v>
      </c>
      <c r="AX70" s="246" t="str">
        <f>if(Raw!CX70&gt;0,Raw!CX70,"None")</f>
        <v>?</v>
      </c>
      <c r="AY70" s="255" t="str">
        <f>Raw!CY70</f>
        <v/>
      </c>
      <c r="AZ70" s="255" t="str">
        <f>Raw!CZ70</f>
        <v/>
      </c>
      <c r="BA70" s="255" t="str">
        <f>Raw!DA70</f>
        <v>Culduthel, Scotland</v>
      </c>
      <c r="BB70" s="255" t="str">
        <f>Raw!DB70</f>
        <v>local resource test</v>
      </c>
      <c r="BC70" s="257" t="str">
        <f>Raw!DC70</f>
        <v>questionable ore body</v>
      </c>
      <c r="BD70" s="248"/>
    </row>
    <row r="71">
      <c r="A71" s="249">
        <f>Raw!A71</f>
        <v>67</v>
      </c>
      <c r="B71" s="250" t="str">
        <f>Raw!B71</f>
        <v>T2T 2B</v>
      </c>
      <c r="C71" s="250" t="str">
        <f>Raw!C71</f>
        <v>SSW</v>
      </c>
      <c r="D71" s="250" t="str">
        <f>Raw!D71</f>
        <v>Lumsden Scotland</v>
      </c>
      <c r="E71" s="251">
        <f>Raw!E71</f>
        <v>42637</v>
      </c>
      <c r="F71" s="250" t="str">
        <f>Raw!F71</f>
        <v>Pictish 200 - 400 AD</v>
      </c>
      <c r="G71" s="250" t="str">
        <f>Raw!G71</f>
        <v>N</v>
      </c>
      <c r="H71" s="250" t="str">
        <f>Raw!H71</f>
        <v>Turf-to-Tools</v>
      </c>
      <c r="I71" s="250" t="str">
        <f>Raw!I71</f>
        <v>short shaft on stone</v>
      </c>
      <c r="J71" s="250" t="str">
        <f>Raw!J71</f>
        <v>manure cobb</v>
      </c>
      <c r="K71" s="250" t="str">
        <f>if(isblank(Raw!K71),"",if(Raw!K71&gt;1,concatenate("Use ",Raw!K71," of Expt ",Raw!L71),"Use 1"))</f>
        <v>Use 2 of Expt 66</v>
      </c>
      <c r="L71" s="250" t="str">
        <f>Raw!M71</f>
        <v>Circle</v>
      </c>
      <c r="M71" s="250" t="str">
        <f>Raw!N71</f>
        <v>conical</v>
      </c>
      <c r="N71" s="250">
        <f>Raw!O71</f>
        <v>68</v>
      </c>
      <c r="O71" s="250">
        <f>Raw!S71</f>
        <v>49</v>
      </c>
      <c r="P71" s="252" t="str">
        <f>Raw!T71</f>
        <v>46 to 28</v>
      </c>
      <c r="Q71" s="239" t="str">
        <f>if(L71="Rectangle",concatenate(Raw!U71," x ",Raw!V71),if(L71="Oval",concatenate(Raw!U71," by ",Raw!V71),if(isnumber(Raw!V71),concatenate(Raw!U71," to ",Raw!V71),Raw!U71)))</f>
        <v>30 to 20</v>
      </c>
      <c r="R71" s="239">
        <f>if(AND(Raw!Z71="Y",isnumber(Raw!X71)),concatenate(Raw!X71," (E)"),Raw!X71)</f>
        <v>25</v>
      </c>
      <c r="S71" s="241">
        <f>Calcs!B71</f>
        <v>490.9</v>
      </c>
      <c r="T71" s="252" t="str">
        <f>Raw!AB71</f>
        <v>8 to 4</v>
      </c>
      <c r="U71" s="252" t="str">
        <f>Raw!AC71</f>
        <v>27 x 15</v>
      </c>
      <c r="V71" s="252" t="str">
        <f>Raw!AD71</f>
        <v>forged copper</v>
      </c>
      <c r="W71" s="212" t="str">
        <f>concatenate(Raw!AE71,if(Raw!AF71="Y"," (T)",))</f>
        <v>2.5 (T)</v>
      </c>
      <c r="X71" s="212" t="str">
        <f>concatenate(Raw!AG71,if(isblank(Raw!AH71),"",concatenate(" ",Raw!AH71)),if(isblank(Raw!AI71),""," (E)"))</f>
        <v>20 Down (E)</v>
      </c>
      <c r="Y71" s="212" t="str">
        <f>concatenate(Raw!AJ71,if(isblank(Raw!AK71),""," (E)"))</f>
        <v>5</v>
      </c>
      <c r="Z71" s="252" t="str">
        <f>Raw!AL71</f>
        <v>charcoal fines</v>
      </c>
      <c r="AA71" s="212" t="str">
        <f>concatenate(Raw!AO71,if(Raw!AP71="Y"," (E)",))</f>
        <v>19</v>
      </c>
      <c r="AB71" s="252" t="str">
        <f>Raw!AQ71</f>
        <v>leaf blower 2</v>
      </c>
      <c r="AC71" s="212" t="str">
        <f>concatenate(ifs(istext(Raw!AT71),Raw!AT71,AND(Raw!AT71&gt;0,isblank(Raw!AS71)),concatenate(Raw!AT71," (A)"),AND(Raw!AR71&gt;0,Raw!AS71&gt;0),concatenate(Raw!AR71," to ",Raw!AS71),1,Raw!AS71),ifs(Raw!AU71="Y-","- (E)",Raw!AU71="Y"," (E)",1,))</f>
        <v>?</v>
      </c>
      <c r="AD71" s="253">
        <f>Raw!AW71</f>
        <v>589.08</v>
      </c>
      <c r="AE71" s="239" t="str">
        <f>concatenate(Raw!AX71,if(isblank(Raw!AZ71),"",concatenate("/",Raw!AZ71)),if(isblank(Raw!BB71),"",concatenate("/",Raw!BB71)),if(isblank(Raw!BD71),"",concatenate("/",Raw!BD71)),if(isblank(Raw!BF71),"",concatenate("/",Raw!BF71)),if(Raw!BK71&gt;0,if(isblank(Raw!AX71),"Gromps","/Gromps"),))</f>
        <v>DD1-SSW</v>
      </c>
      <c r="AF71" s="239" t="str">
        <f>concatenate(round(Raw!AY71,1),if(isblank(Raw!AZ71),"",concatenate("/",round(Raw!BA71,1))),if(isblank(Raw!BB71),"",concatenate("/",round(Raw!BC71,1))),if(isblank(Raw!BD71),"",concatenate("/",round(Raw!BE71,1))),if(isblank(Raw!BF71),"",concatenate("/",round(Raw!BG71,1))),if(isblank(Raw!BK71),,concatenate("/",if(isnumber(Raw!BK71),round(Raw!BK71,1),Raw!BK71))))</f>
        <v>36.4</v>
      </c>
      <c r="AG71" s="241">
        <f>Raw!BL71</f>
        <v>36.4</v>
      </c>
      <c r="AH71" s="254">
        <f>Raw!BI71</f>
        <v>0.5482634678</v>
      </c>
      <c r="AI71" s="255" t="str">
        <f>Raw!BJ71</f>
        <v>roasted</v>
      </c>
      <c r="AJ71" s="255">
        <f>Raw!BM71</f>
        <v>3</v>
      </c>
      <c r="AK71" s="255" t="str">
        <f>Raw!BO71</f>
        <v>all to 25</v>
      </c>
      <c r="AL71" s="256">
        <f>Raw!BV71</f>
        <v>5.576470588</v>
      </c>
      <c r="AM71" s="244" t="str">
        <f>if(ISNUMBER(Raw!BW71),concatenate(floor(Raw!BW71/60,1),":",MOD(Raw!BW71,60)),Raw!BW71)</f>
        <v>1:25</v>
      </c>
      <c r="AN71" s="255">
        <f>Raw!BX71</f>
        <v>42.5</v>
      </c>
      <c r="AO71" s="256">
        <f>Raw!BZ71</f>
        <v>6.111111111</v>
      </c>
      <c r="AP71" s="256">
        <f>Raw!CA71</f>
        <v>4.700854701</v>
      </c>
      <c r="AQ71" s="255" t="str">
        <f>Raw!CB71</f>
        <v>beech</v>
      </c>
      <c r="AR71" s="255" t="str">
        <f>Raw!CC71</f>
        <v>Scotland</v>
      </c>
      <c r="AS71" s="244" t="str">
        <f>concatenate(floor(Raw!CE71/60,1),":",text(MOD(Raw!CE71,60),"00"),ifs(Raw!CF71="Y"," (E)", Raw!CF71="Y+"," +", isblank(Raw!CF71),""))</f>
        <v>1:50</v>
      </c>
      <c r="AT71" s="255" t="str">
        <f>Raw!CR71</f>
        <v>bottom</v>
      </c>
      <c r="AU71" s="256">
        <f>Raw!CS71</f>
        <v>1.5</v>
      </c>
      <c r="AV71" s="255" t="str">
        <f>Raw!CT71</f>
        <v>fragmented</v>
      </c>
      <c r="AW71" s="246">
        <f>if(Raw!CW71&gt;0,Raw!CW71,"None")</f>
        <v>0.04120879121</v>
      </c>
      <c r="AX71" s="246">
        <f>if(Raw!CX71&gt;0,Raw!CX71,"None")</f>
        <v>0.07516238748</v>
      </c>
      <c r="AY71" s="255" t="str">
        <f>Raw!CY71</f>
        <v/>
      </c>
      <c r="AZ71" s="255" t="str">
        <f>Raw!CZ71</f>
        <v/>
      </c>
      <c r="BA71" s="255" t="str">
        <f>Raw!DA71</f>
        <v>Culduthel, Scotland</v>
      </c>
      <c r="BB71" s="255" t="str">
        <f>Raw!DB71</f>
        <v>peat fuel test</v>
      </c>
      <c r="BC71" s="257" t="str">
        <f>Raw!DC71</f>
        <v>uncertain why low yield</v>
      </c>
      <c r="BD71" s="248"/>
    </row>
    <row r="72">
      <c r="A72" s="249">
        <f>Raw!A72</f>
        <v>68</v>
      </c>
      <c r="B72" s="250" t="str">
        <f>Raw!B72</f>
        <v>T2T 2C</v>
      </c>
      <c r="C72" s="250" t="str">
        <f>Raw!C72</f>
        <v>SSW</v>
      </c>
      <c r="D72" s="250" t="str">
        <f>Raw!D72</f>
        <v>Lumsden Scotland</v>
      </c>
      <c r="E72" s="251">
        <f>Raw!E72</f>
        <v>42640</v>
      </c>
      <c r="F72" s="250" t="str">
        <f>Raw!F72</f>
        <v>Pictish 200 - 400 AD</v>
      </c>
      <c r="G72" s="250" t="str">
        <f>Raw!G72</f>
        <v>Y</v>
      </c>
      <c r="H72" s="250" t="str">
        <f>Raw!H72</f>
        <v>Turf-to-Tools</v>
      </c>
      <c r="I72" s="250" t="str">
        <f>Raw!I72</f>
        <v>short shaft on stone</v>
      </c>
      <c r="J72" s="250" t="str">
        <f>Raw!J72</f>
        <v>manure cobb</v>
      </c>
      <c r="K72" s="250" t="str">
        <f>if(isblank(Raw!K72),"",if(Raw!K72&gt;1,concatenate("Use ",Raw!K72," of Expt ",Raw!L72),"Use 1"))</f>
        <v>Use 3 of Expt 66</v>
      </c>
      <c r="L72" s="250" t="str">
        <f>Raw!M72</f>
        <v>Circle</v>
      </c>
      <c r="M72" s="250" t="str">
        <f>Raw!N72</f>
        <v>conical</v>
      </c>
      <c r="N72" s="250">
        <f>Raw!O72</f>
        <v>68</v>
      </c>
      <c r="O72" s="250">
        <f>Raw!S72</f>
        <v>49</v>
      </c>
      <c r="P72" s="252" t="str">
        <f>Raw!T72</f>
        <v>46 to 28</v>
      </c>
      <c r="Q72" s="239" t="str">
        <f>if(L72="Rectangle",concatenate(Raw!U72," x ",Raw!V72),if(L72="Oval",concatenate(Raw!U72," by ",Raw!V72),if(isnumber(Raw!V72),concatenate(Raw!U72," to ",Raw!V72),Raw!U72)))</f>
        <v>30 to 20</v>
      </c>
      <c r="R72" s="239">
        <f>if(AND(Raw!Z72="Y",isnumber(Raw!X72)),concatenate(Raw!X72," (E)"),Raw!X72)</f>
        <v>25</v>
      </c>
      <c r="S72" s="241">
        <f>Calcs!B72</f>
        <v>490.9</v>
      </c>
      <c r="T72" s="252" t="str">
        <f>Raw!AB72</f>
        <v>8 to 4</v>
      </c>
      <c r="U72" s="252" t="str">
        <f>Raw!AC72</f>
        <v>27 x 15</v>
      </c>
      <c r="V72" s="252" t="str">
        <f>Raw!AD72</f>
        <v>forged copper</v>
      </c>
      <c r="W72" s="212" t="str">
        <f>concatenate(Raw!AE72,if(Raw!AF72="Y"," (T)",))</f>
        <v>2.5 (T)</v>
      </c>
      <c r="X72" s="212" t="str">
        <f>concatenate(Raw!AG72,if(isblank(Raw!AH72),"",concatenate(" ",Raw!AH72)),if(isblank(Raw!AI72),""," (E)"))</f>
        <v>20 Down (E)</v>
      </c>
      <c r="Y72" s="212" t="str">
        <f>concatenate(Raw!AJ72,if(isblank(Raw!AK72),""," (E)"))</f>
        <v>5</v>
      </c>
      <c r="Z72" s="252" t="str">
        <f>Raw!AL72</f>
        <v>charcoal fines</v>
      </c>
      <c r="AA72" s="212" t="str">
        <f>concatenate(Raw!AO72,if(Raw!AP72="Y"," (E)",))</f>
        <v>19</v>
      </c>
      <c r="AB72" s="252" t="str">
        <f>Raw!AQ72</f>
        <v>leaf blower 2</v>
      </c>
      <c r="AC72" s="212" t="str">
        <f>concatenate(ifs(istext(Raw!AT72),Raw!AT72,AND(Raw!AT72&gt;0,isblank(Raw!AS72)),concatenate(Raw!AT72," (A)"),AND(Raw!AR72&gt;0,Raw!AS72&gt;0),concatenate(Raw!AR72," to ",Raw!AS72),1,Raw!AS72),ifs(Raw!AU72="Y-","- (E)",Raw!AU72="Y"," (E)",1,))</f>
        <v>?</v>
      </c>
      <c r="AD72" s="253">
        <f>Raw!AW72</f>
        <v>589.08</v>
      </c>
      <c r="AE72" s="239" t="str">
        <f>concatenate(Raw!AX72,if(isblank(Raw!AZ72),"",concatenate("/",Raw!AZ72)),if(isblank(Raw!BB72),"",concatenate("/",Raw!BB72)),if(isblank(Raw!BD72),"",concatenate("/",Raw!BD72)),if(isblank(Raw!BF72),"",concatenate("/",Raw!BF72)),if(Raw!BK72&gt;0,if(isblank(Raw!AX72),"Gromps","/Gromps"),))</f>
        <v>Scotland Taconite/Lecht Scotland Goethite/Gromps</v>
      </c>
      <c r="AF72" s="239" t="str">
        <f>concatenate(round(Raw!AY72,1),if(isblank(Raw!AZ72),"",concatenate("/",round(Raw!BA72,1))),if(isblank(Raw!BB72),"",concatenate("/",round(Raw!BC72,1))),if(isblank(Raw!BD72),"",concatenate("/",round(Raw!BE72,1))),if(isblank(Raw!BF72),"",concatenate("/",round(Raw!BG72,1))),if(isblank(Raw!BK72),,concatenate("/",if(isnumber(Raw!BK72),round(Raw!BK72,1),Raw!BK72))))</f>
        <v>22/6/6</v>
      </c>
      <c r="AG72" s="241">
        <f>Raw!BL72</f>
        <v>34</v>
      </c>
      <c r="AH72" s="254" t="str">
        <f>Raw!BI72</f>
        <v>?</v>
      </c>
      <c r="AI72" s="255" t="str">
        <f>Raw!BJ72</f>
        <v>roasted</v>
      </c>
      <c r="AJ72" s="255">
        <f>Raw!BM72</f>
        <v>3</v>
      </c>
      <c r="AK72" s="255" t="str">
        <f>Raw!BO72</f>
        <v>all to 25</v>
      </c>
      <c r="AL72" s="256" t="str">
        <f>Raw!BV72</f>
        <v>NR</v>
      </c>
      <c r="AM72" s="244" t="str">
        <f>if(ISNUMBER(Raw!BW72),concatenate(floor(Raw!BW72/60,1),":",MOD(Raw!BW72,60)),Raw!BW72)</f>
        <v>0:47</v>
      </c>
      <c r="AN72" s="255">
        <f>Raw!BX72</f>
        <v>51</v>
      </c>
      <c r="AO72" s="256">
        <f>Raw!BZ72</f>
        <v>8.611111111</v>
      </c>
      <c r="AP72" s="256">
        <f>Raw!CA72</f>
        <v>4.84375</v>
      </c>
      <c r="AQ72" s="255" t="str">
        <f>Raw!CB72</f>
        <v>beech</v>
      </c>
      <c r="AR72" s="255" t="str">
        <f>Raw!CC72</f>
        <v>Scotland</v>
      </c>
      <c r="AS72" s="244" t="str">
        <f>concatenate(floor(Raw!CE72/60,1),":",text(MOD(Raw!CE72,60),"00"),ifs(Raw!CF72="Y"," (E)", Raw!CF72="Y+"," +", isblank(Raw!CF72),""))</f>
        <v>2:35</v>
      </c>
      <c r="AT72" s="255" t="str">
        <f>Raw!CR72</f>
        <v>bottom</v>
      </c>
      <c r="AU72" s="256">
        <f>Raw!CS72</f>
        <v>9</v>
      </c>
      <c r="AV72" s="255" t="str">
        <f>Raw!CT72</f>
        <v>fragmented</v>
      </c>
      <c r="AW72" s="246">
        <f>if(Raw!CW72&gt;0,Raw!CW72,"None")</f>
        <v>0.2647058824</v>
      </c>
      <c r="AX72" s="246" t="str">
        <f>if(Raw!CX72&gt;0,Raw!CX72,"None")</f>
        <v>?</v>
      </c>
      <c r="AY72" s="255" t="str">
        <f>Raw!CY72</f>
        <v/>
      </c>
      <c r="AZ72" s="255" t="str">
        <f>Raw!CZ72</f>
        <v/>
      </c>
      <c r="BA72" s="255" t="str">
        <f>Raw!DA72</f>
        <v>Culduthel, Scotland</v>
      </c>
      <c r="BB72" s="255" t="str">
        <f>Raw!DB72</f>
        <v>public demonstration</v>
      </c>
      <c r="BC72" s="257" t="str">
        <f>Raw!DC72</f>
        <v>excellent demonstration results</v>
      </c>
      <c r="BD72" s="248"/>
    </row>
    <row r="73">
      <c r="A73" s="249">
        <f>Raw!A73</f>
        <v>69</v>
      </c>
      <c r="B73" s="250" t="str">
        <f>Raw!B73</f>
        <v>Celtic Iron</v>
      </c>
      <c r="C73" s="250" t="str">
        <f>Raw!C73</f>
        <v>SCC</v>
      </c>
      <c r="D73" s="250" t="str">
        <f>Raw!D73</f>
        <v>Aberfeldy Scotland</v>
      </c>
      <c r="E73" s="251">
        <f>Raw!E73</f>
        <v>42622</v>
      </c>
      <c r="F73" s="250" t="str">
        <f>Raw!F73</f>
        <v>Celtic Iron Age</v>
      </c>
      <c r="G73" s="250" t="str">
        <f>Raw!G73</f>
        <v>N</v>
      </c>
      <c r="H73" s="250" t="str">
        <f>Raw!H73</f>
        <v>Teaching</v>
      </c>
      <c r="I73" s="250" t="str">
        <f>Raw!I73</f>
        <v>short shaft</v>
      </c>
      <c r="J73" s="250" t="str">
        <f>Raw!J73</f>
        <v>NR clay</v>
      </c>
      <c r="K73" s="250" t="str">
        <f>if(isblank(Raw!K73),"",if(Raw!K73&gt;1,concatenate("Use ",Raw!K73," of Expt ",Raw!L73),"Use 1"))</f>
        <v/>
      </c>
      <c r="L73" s="250" t="str">
        <f>Raw!M73</f>
        <v>Circle</v>
      </c>
      <c r="M73" s="250" t="str">
        <f>Raw!N73</f>
        <v>conical</v>
      </c>
      <c r="N73" s="250">
        <f>Raw!O73</f>
        <v>56</v>
      </c>
      <c r="O73" s="250">
        <f>Raw!S73</f>
        <v>41</v>
      </c>
      <c r="P73" s="252" t="str">
        <f>Raw!T73</f>
        <v>NR</v>
      </c>
      <c r="Q73" s="239" t="str">
        <f>if(L73="Rectangle",concatenate(Raw!U73," x ",Raw!V73),if(L73="Oval",concatenate(Raw!U73," by ",Raw!V73),if(isnumber(Raw!V73),concatenate(Raw!U73," to ",Raw!V73),Raw!U73)))</f>
        <v>40 to 20</v>
      </c>
      <c r="R73" s="239">
        <f>if(AND(Raw!Z73="Y",isnumber(Raw!X73)),concatenate(Raw!X73," (E)"),Raw!X73)</f>
        <v>35</v>
      </c>
      <c r="S73" s="241">
        <f>Calcs!B73</f>
        <v>962.1</v>
      </c>
      <c r="T73" s="252" t="str">
        <f>Raw!AB73</f>
        <v>NR</v>
      </c>
      <c r="U73" s="252" t="str">
        <f>Raw!AC73</f>
        <v>25 x 22</v>
      </c>
      <c r="V73" s="252" t="str">
        <f>Raw!AD73</f>
        <v>steel pipe</v>
      </c>
      <c r="W73" s="212" t="str">
        <f>concatenate(Raw!AE73,if(Raw!AF73="Y"," (T)",))</f>
        <v>2.5</v>
      </c>
      <c r="X73" s="212" t="str">
        <f>concatenate(Raw!AG73,if(isblank(Raw!AH73),"",concatenate(" ",Raw!AH73)),if(isblank(Raw!AI73),""," (E)"))</f>
        <v>20 Down</v>
      </c>
      <c r="Y73" s="212" t="str">
        <f>concatenate(Raw!AJ73,if(isblank(Raw!AK73),""," (E)"))</f>
        <v>4.5</v>
      </c>
      <c r="Z73" s="252" t="str">
        <f>Raw!AL73</f>
        <v>charcoal fines</v>
      </c>
      <c r="AA73" s="212" t="str">
        <f>concatenate(Raw!AO73,if(Raw!AP73="Y"," (E)",))</f>
        <v>15</v>
      </c>
      <c r="AB73" s="252" t="str">
        <f>Raw!AQ73</f>
        <v>shop vac</v>
      </c>
      <c r="AC73" s="212" t="str">
        <f>concatenate(ifs(istext(Raw!AT73),Raw!AT73,AND(Raw!AT73&gt;0,isblank(Raw!AS73)),concatenate(Raw!AT73," (A)"),AND(Raw!AR73&gt;0,Raw!AS73&gt;0),concatenate(Raw!AR73," to ",Raw!AS73),1,Raw!AS73),ifs(Raw!AU73="Y-","- (E)",Raw!AU73="Y"," (E)",1,))</f>
        <v>?</v>
      </c>
      <c r="AD73" s="253">
        <f>Raw!AW73</f>
        <v>1154.52</v>
      </c>
      <c r="AE73" s="239" t="str">
        <f>concatenate(Raw!AX73,if(isblank(Raw!AZ73),"",concatenate("/",Raw!AZ73)),if(isblank(Raw!BB73),"",concatenate("/",Raw!BB73)),if(isblank(Raw!BD73),"",concatenate("/",Raw!BD73)),if(isblank(Raw!BF73),"",concatenate("/",Raw!BF73)),if(Raw!BK73&gt;0,if(isblank(Raw!AX73),"Gromps","/Gromps"),))</f>
        <v/>
      </c>
      <c r="AF73" s="239" t="str">
        <f>concatenate(round(Raw!AY73,1),if(isblank(Raw!AZ73),"",concatenate("/",round(Raw!BA73,1))),if(isblank(Raw!BB73),"",concatenate("/",round(Raw!BC73,1))),if(isblank(Raw!BD73),"",concatenate("/",round(Raw!BE73,1))),if(isblank(Raw!BF73),"",concatenate("/",round(Raw!BG73,1))),if(isblank(Raw!BK73),,concatenate("/",if(isnumber(Raw!BK73),round(Raw!BK73,1),Raw!BK73))))</f>
        <v>0</v>
      </c>
      <c r="AG73" s="241">
        <f>Raw!BL73</f>
        <v>0</v>
      </c>
      <c r="AH73" s="254" t="str">
        <f>Raw!BI73</f>
        <v>na</v>
      </c>
      <c r="AI73" s="255" t="str">
        <f>Raw!BJ73</f>
        <v/>
      </c>
      <c r="AJ73" s="255" t="str">
        <f>Raw!BM73</f>
        <v/>
      </c>
      <c r="AK73" s="255" t="str">
        <f>Raw!BO73</f>
        <v/>
      </c>
      <c r="AL73" s="255" t="str">
        <f>Raw!BV73</f>
        <v>na</v>
      </c>
      <c r="AM73" s="244" t="str">
        <f>if(ISNUMBER(Raw!BW73),concatenate(floor(Raw!BW73/60,1),":",MOD(Raw!BW73,60)),Raw!BW73)</f>
        <v>0:14</v>
      </c>
      <c r="AN73" s="255">
        <f>Raw!BX73</f>
        <v>16.3</v>
      </c>
      <c r="AO73" s="256" t="str">
        <f>Raw!BZ73</f>
        <v>na</v>
      </c>
      <c r="AP73" s="256" t="str">
        <f>Raw!CA73</f>
        <v>na</v>
      </c>
      <c r="AQ73" s="255" t="str">
        <f>Raw!CB73</f>
        <v>mixed hardwood</v>
      </c>
      <c r="AR73" s="255" t="str">
        <f>Raw!CC73</f>
        <v>Scotland</v>
      </c>
      <c r="AS73" s="244" t="str">
        <f>concatenate(floor(Raw!CE73/60,1),":",text(MOD(Raw!CE73,60),"00"),ifs(Raw!CF73="Y"," (E)", Raw!CF73="Y+"," +", isblank(Raw!CF73),""))</f>
        <v>#VALUE!</v>
      </c>
      <c r="AT73" s="255" t="str">
        <f>Raw!CR73</f>
        <v>na</v>
      </c>
      <c r="AU73" s="256" t="str">
        <f>Raw!CS73</f>
        <v>na</v>
      </c>
      <c r="AV73" s="255" t="str">
        <f>Raw!CT73</f>
        <v>na</v>
      </c>
      <c r="AW73" s="246" t="str">
        <f>if(Raw!CW73&gt;0,Raw!CW73,"None")</f>
        <v>na</v>
      </c>
      <c r="AX73" s="246" t="str">
        <f>if(Raw!CX73&gt;0,Raw!CX73,"None")</f>
        <v>?</v>
      </c>
      <c r="AY73" s="255" t="str">
        <f>Raw!CY73</f>
        <v/>
      </c>
      <c r="AZ73" s="255" t="str">
        <f>Raw!CZ73</f>
        <v/>
      </c>
      <c r="BA73" s="255" t="str">
        <f>Raw!DA73</f>
        <v>Celtic Iron Age ?</v>
      </c>
      <c r="BB73" s="255" t="str">
        <f>Raw!DB73</f>
        <v>build and firing test only</v>
      </c>
      <c r="BC73" s="257" t="str">
        <f>Raw!DC73</f>
        <v>build and firing only</v>
      </c>
      <c r="BD73" s="248"/>
    </row>
    <row r="74">
      <c r="A74" s="249" t="str">
        <f>Raw!A74</f>
        <v>70 / D30</v>
      </c>
      <c r="B74" s="250" t="str">
        <f>Raw!B74</f>
        <v>Icelandic 8</v>
      </c>
      <c r="C74" s="250" t="str">
        <f>Raw!C74</f>
        <v>DARC</v>
      </c>
      <c r="D74" s="250" t="str">
        <f>Raw!D74</f>
        <v>Amaranth ON</v>
      </c>
      <c r="E74" s="251">
        <f>Raw!E74</f>
        <v>42672</v>
      </c>
      <c r="F74" s="250" t="str">
        <f>Raw!F74</f>
        <v>Viking Age Icelandic</v>
      </c>
      <c r="G74" s="250" t="str">
        <f>Raw!G74</f>
        <v>N</v>
      </c>
      <c r="H74" s="250" t="str">
        <f>Raw!H74</f>
        <v>Icelandic</v>
      </c>
      <c r="I74" s="250" t="str">
        <f>Raw!I74</f>
        <v>mounded short shaft</v>
      </c>
      <c r="J74" s="250" t="str">
        <f>Raw!J74</f>
        <v>sod w clay liner</v>
      </c>
      <c r="K74" s="250" t="str">
        <f>if(isblank(Raw!K74),"",if(Raw!K74&gt;1,concatenate("Use ",Raw!K74," of Expt ",Raw!L74),"Use 1"))</f>
        <v/>
      </c>
      <c r="L74" s="250" t="str">
        <f>Raw!M74</f>
        <v>Cut-teardrop</v>
      </c>
      <c r="M74" s="250" t="str">
        <f>Raw!N74</f>
        <v>cylinder</v>
      </c>
      <c r="N74" s="250">
        <f>Raw!O74</f>
        <v>75</v>
      </c>
      <c r="O74" s="250">
        <f>Raw!S74</f>
        <v>55</v>
      </c>
      <c r="P74" s="252" t="str">
        <f>Raw!T74</f>
        <v>turf</v>
      </c>
      <c r="Q74" s="239" t="str">
        <f>if(L74="Rectangle",concatenate(Raw!U74," x ",Raw!V74),if(L74="Oval",concatenate(Raw!U74," by ",Raw!V74),if(isnumber(Raw!V74),concatenate(Raw!U74," to ",Raw!V74),Raw!U74)))</f>
        <v>33 to 26</v>
      </c>
      <c r="R74" s="239" t="str">
        <f>if(AND(Raw!Z74="Y",isnumber(Raw!X74)),concatenate(Raw!X74," (E)"),Raw!X74)</f>
        <v/>
      </c>
      <c r="S74" s="241">
        <f>Calcs!B74</f>
        <v>785.4645792</v>
      </c>
      <c r="T74" s="252" t="str">
        <f>Raw!AB74</f>
        <v>varies</v>
      </c>
      <c r="U74" s="252" t="str">
        <f>Raw!AC74</f>
        <v>24 x 12</v>
      </c>
      <c r="V74" s="252" t="str">
        <f>Raw!AD74</f>
        <v>forged copper</v>
      </c>
      <c r="W74" s="212" t="str">
        <f>concatenate(Raw!AE74,if(Raw!AF74="Y"," (T)",))</f>
        <v>2.5 (T)</v>
      </c>
      <c r="X74" s="212" t="str">
        <f>concatenate(Raw!AG74,if(isblank(Raw!AH74),"",concatenate(" ",Raw!AH74)),if(isblank(Raw!AI74),""," (E)"))</f>
        <v>25 Down</v>
      </c>
      <c r="Y74" s="212" t="str">
        <f>concatenate(Raw!AJ74,if(isblank(Raw!AK74),""," (E)"))</f>
        <v>4</v>
      </c>
      <c r="Z74" s="252" t="str">
        <f>Raw!AL74</f>
        <v>wood ash</v>
      </c>
      <c r="AA74" s="212" t="str">
        <f>concatenate(Raw!AO74,if(Raw!AP74="Y"," (E)",))</f>
        <v>11</v>
      </c>
      <c r="AB74" s="252" t="str">
        <f>Raw!AQ74</f>
        <v>electric blower</v>
      </c>
      <c r="AC74" s="212" t="str">
        <f>concatenate(ifs(istext(Raw!AT74),Raw!AT74,AND(Raw!AT74&gt;0,isblank(Raw!AS74)),concatenate(Raw!AT74," (A)"),AND(Raw!AR74&gt;0,Raw!AS74&gt;0),concatenate(Raw!AR74," to ",Raw!AS74),1,Raw!AS74),ifs(Raw!AU74="Y-","- (E)",Raw!AU74="Y"," (E)",1,))</f>
        <v>1400- (E)</v>
      </c>
      <c r="AD74" s="253">
        <f>Raw!AW74</f>
        <v>942.5574951</v>
      </c>
      <c r="AE74" s="239" t="str">
        <f>concatenate(Raw!AX74,if(isblank(Raw!AZ74),"",concatenate("/",Raw!AZ74)),if(isblank(Raw!BB74),"",concatenate("/",Raw!BB74)),if(isblank(Raw!BD74),"",concatenate("/",Raw!BD74)),if(isblank(Raw!BF74),"",concatenate("/",Raw!BF74)),if(Raw!BK74&gt;0,if(isblank(Raw!AX74),"Gromps","/Gromps"),))</f>
        <v>DD1</v>
      </c>
      <c r="AF74" s="239" t="str">
        <f>concatenate(round(Raw!AY74,1),if(isblank(Raw!AZ74),"",concatenate("/",round(Raw!BA74,1))),if(isblank(Raw!BB74),"",concatenate("/",round(Raw!BC74,1))),if(isblank(Raw!BD74),"",concatenate("/",round(Raw!BE74,1))),if(isblank(Raw!BF74),"",concatenate("/",round(Raw!BG74,1))),if(isblank(Raw!BK74),,concatenate("/",if(isnumber(Raw!BK74),round(Raw!BK74,1),Raw!BK74))))</f>
        <v>25</v>
      </c>
      <c r="AG74" s="241">
        <f>Raw!BL74</f>
        <v>25</v>
      </c>
      <c r="AH74" s="254">
        <f>Raw!BI74</f>
        <v>0.5482634678</v>
      </c>
      <c r="AI74" s="255" t="str">
        <f>Raw!BJ74</f>
        <v>raw</v>
      </c>
      <c r="AJ74" s="255" t="str">
        <f>Raw!BM74</f>
        <v/>
      </c>
      <c r="AK74" s="255" t="str">
        <f>Raw!BO74</f>
        <v>all to 25</v>
      </c>
      <c r="AL74" s="256">
        <f>Raw!BV74</f>
        <v>5.634920635</v>
      </c>
      <c r="AM74" s="244" t="str">
        <f>if(ISNUMBER(Raw!BW74),concatenate(floor(Raw!BW74/60,1),":",MOD(Raw!BW74,60)),Raw!BW74)</f>
        <v>0:55</v>
      </c>
      <c r="AN74" s="255">
        <f>Raw!BX74</f>
        <v>63</v>
      </c>
      <c r="AO74" s="256">
        <f>Raw!BZ74</f>
        <v>13.05882353</v>
      </c>
      <c r="AP74" s="256">
        <f>Raw!CA74</f>
        <v>6.626865672</v>
      </c>
      <c r="AQ74" s="255" t="str">
        <f>Raw!CB74</f>
        <v>maple</v>
      </c>
      <c r="AR74" s="255" t="str">
        <f>Raw!CC74</f>
        <v>Maple Leaf</v>
      </c>
      <c r="AS74" s="244" t="str">
        <f>concatenate(floor(Raw!CE74/60,1),":",text(MOD(Raw!CE74,60),"00"),ifs(Raw!CF74="Y"," (E)", Raw!CF74="Y+"," +", isblank(Raw!CF74),""))</f>
        <v>3:42</v>
      </c>
      <c r="AT74" s="255" t="str">
        <f>Raw!CR74</f>
        <v>bottom</v>
      </c>
      <c r="AU74" s="256">
        <f>Raw!CS74</f>
        <v>2.5</v>
      </c>
      <c r="AV74" s="255" t="str">
        <f>Raw!CT74</f>
        <v>crumbly</v>
      </c>
      <c r="AW74" s="246">
        <f>if(Raw!CW74&gt;0,Raw!CW74,"None")</f>
        <v>0.1</v>
      </c>
      <c r="AX74" s="246">
        <f>if(Raw!CX74&gt;0,Raw!CX74,"None")</f>
        <v>0.1823940603</v>
      </c>
      <c r="AY74" s="255" t="str">
        <f>Raw!CY74</f>
        <v/>
      </c>
      <c r="AZ74" s="255" t="str">
        <f>Raw!CZ74</f>
        <v/>
      </c>
      <c r="BA74" s="255" t="str">
        <f>Raw!DA74</f>
        <v>Hals, Iceland</v>
      </c>
      <c r="BB74" s="255" t="str">
        <f>Raw!DB74</f>
        <v>full scale build</v>
      </c>
      <c r="BC74" s="257" t="str">
        <f>Raw!DC74</f>
        <v>liner applied down cut shaft = problems</v>
      </c>
      <c r="BD74" s="248"/>
    </row>
    <row r="75">
      <c r="A75" s="249">
        <f>Raw!A75</f>
        <v>71</v>
      </c>
      <c r="B75" s="250" t="str">
        <f>Raw!B75</f>
        <v>ExARC Iron</v>
      </c>
      <c r="C75" s="250" t="str">
        <f>Raw!C75</f>
        <v>ReARC</v>
      </c>
      <c r="D75" s="250" t="str">
        <f>Raw!D75</f>
        <v>Williamsburg VA</v>
      </c>
      <c r="E75" s="251">
        <f>Raw!E75</f>
        <v>42693</v>
      </c>
      <c r="F75" s="250" t="str">
        <f>Raw!F75</f>
        <v>Viking Age</v>
      </c>
      <c r="G75" s="250" t="str">
        <f>Raw!G75</f>
        <v>Y</v>
      </c>
      <c r="H75" s="250" t="str">
        <f>Raw!H75</f>
        <v>Teaching</v>
      </c>
      <c r="I75" s="250" t="str">
        <f>Raw!I75</f>
        <v>short shaft on brick</v>
      </c>
      <c r="J75" s="250" t="str">
        <f>Raw!J75</f>
        <v>NR clay</v>
      </c>
      <c r="K75" s="250" t="str">
        <f>if(isblank(Raw!K75),"",if(Raw!K75&gt;1,concatenate("Use ",Raw!K75," of Expt ",Raw!L75),"Use 1"))</f>
        <v/>
      </c>
      <c r="L75" s="250" t="str">
        <f>Raw!M75</f>
        <v>Circle</v>
      </c>
      <c r="M75" s="250" t="str">
        <f>Raw!N75</f>
        <v>cylinder</v>
      </c>
      <c r="N75" s="250">
        <f>Raw!O75</f>
        <v>65</v>
      </c>
      <c r="O75" s="250">
        <f>Raw!S75</f>
        <v>45</v>
      </c>
      <c r="P75" s="252" t="str">
        <f>Raw!T75</f>
        <v>37 to 33</v>
      </c>
      <c r="Q75" s="239">
        <f>if(L75="Rectangle",concatenate(Raw!U75," x ",Raw!V75),if(L75="Oval",concatenate(Raw!U75," by ",Raw!V75),if(isnumber(Raw!V75),concatenate(Raw!U75," to ",Raw!V75),Raw!U75)))</f>
        <v>25</v>
      </c>
      <c r="R75" s="239" t="str">
        <f>if(AND(Raw!Z75="Y",isnumber(Raw!X75)),concatenate(Raw!X75," (E)"),Raw!X75)</f>
        <v/>
      </c>
      <c r="S75" s="241">
        <f>Calcs!B75</f>
        <v>490.9</v>
      </c>
      <c r="T75" s="252" t="str">
        <f>Raw!AB75</f>
        <v>6 to 4</v>
      </c>
      <c r="U75" s="252" t="str">
        <f>Raw!AC75</f>
        <v>28 x 12</v>
      </c>
      <c r="V75" s="252" t="str">
        <f>Raw!AD75</f>
        <v>forged copper</v>
      </c>
      <c r="W75" s="212" t="str">
        <f>concatenate(Raw!AE75,if(Raw!AF75="Y"," (T)",))</f>
        <v>2.5 (T)</v>
      </c>
      <c r="X75" s="212" t="str">
        <f>concatenate(Raw!AG75,if(isblank(Raw!AH75),"",concatenate(" ",Raw!AH75)),if(isblank(Raw!AI75),""," (E)"))</f>
        <v>20 Down</v>
      </c>
      <c r="Y75" s="212" t="str">
        <f>concatenate(Raw!AJ75,if(isblank(Raw!AK75),""," (E)"))</f>
        <v>5</v>
      </c>
      <c r="Z75" s="252" t="str">
        <f>Raw!AL75</f>
        <v>charcoal fines</v>
      </c>
      <c r="AA75" s="212" t="str">
        <f>concatenate(Raw!AO75,if(Raw!AP75="Y"," (E)",))</f>
        <v>20</v>
      </c>
      <c r="AB75" s="252" t="str">
        <f>Raw!AQ75</f>
        <v>smelt bellows</v>
      </c>
      <c r="AC75" s="212" t="str">
        <f>concatenate(ifs(istext(Raw!AT75),Raw!AT75,AND(Raw!AT75&gt;0,isblank(Raw!AS75)),concatenate(Raw!AT75," (A)"),AND(Raw!AR75&gt;0,Raw!AS75&gt;0),concatenate(Raw!AR75," to ",Raw!AS75),1,Raw!AS75),ifs(Raw!AU75="Y-","- (E)",Raw!AU75="Y"," (E)",1,))</f>
        <v>400 (A) (E)</v>
      </c>
      <c r="AD75" s="253">
        <f>Raw!AW75</f>
        <v>589.08</v>
      </c>
      <c r="AE75" s="239" t="str">
        <f>concatenate(Raw!AX75,if(isblank(Raw!AZ75),"",concatenate("/",Raw!AZ75)),if(isblank(Raw!BB75),"",concatenate("/",Raw!BB75)),if(isblank(Raw!BD75),"",concatenate("/",Raw!BD75)),if(isblank(Raw!BF75),"",concatenate("/",Raw!BF75)),if(Raw!BK75&gt;0,if(isblank(Raw!AX75),"Gromps","/Gromps"),))</f>
        <v>DD1</v>
      </c>
      <c r="AF75" s="239" t="str">
        <f>concatenate(round(Raw!AY75,1),if(isblank(Raw!AZ75),"",concatenate("/",round(Raw!BA75,1))),if(isblank(Raw!BB75),"",concatenate("/",round(Raw!BC75,1))),if(isblank(Raw!BD75),"",concatenate("/",round(Raw!BE75,1))),if(isblank(Raw!BF75),"",concatenate("/",round(Raw!BG75,1))),if(isblank(Raw!BK75),,concatenate("/",if(isnumber(Raw!BK75),round(Raw!BK75,1),Raw!BK75))))</f>
        <v>4</v>
      </c>
      <c r="AG75" s="241">
        <f>Raw!BL75</f>
        <v>4</v>
      </c>
      <c r="AH75" s="254">
        <f>Raw!BI75</f>
        <v>0.5482634678</v>
      </c>
      <c r="AI75" s="255" t="str">
        <f>Raw!BJ75</f>
        <v>raw</v>
      </c>
      <c r="AJ75" s="255">
        <f>Raw!BM75</f>
        <v>2</v>
      </c>
      <c r="AK75" s="255" t="str">
        <f>Raw!BO75</f>
        <v>all to 25</v>
      </c>
      <c r="AL75" s="256" t="str">
        <f>Raw!BV75</f>
        <v>NR</v>
      </c>
      <c r="AM75" s="244" t="str">
        <f>if(ISNUMBER(Raw!BW75),concatenate(floor(Raw!BW75/60,1),":",MOD(Raw!BW75,60)),Raw!BW75)</f>
        <v>2:56</v>
      </c>
      <c r="AN75" s="255">
        <f>Raw!BX75</f>
        <v>18</v>
      </c>
      <c r="AO75" s="256">
        <f>Raw!BZ75</f>
        <v>17.5</v>
      </c>
      <c r="AP75" s="256">
        <f>Raw!CA75</f>
        <v>9.722222222</v>
      </c>
      <c r="AQ75" s="255" t="str">
        <f>Raw!CB75</f>
        <v>mixed hardwood</v>
      </c>
      <c r="AR75" s="255" t="str">
        <f>Raw!CC75</f>
        <v>Nature-Glo</v>
      </c>
      <c r="AS75" s="244" t="str">
        <f>concatenate(floor(Raw!CE75/60,1),":",text(MOD(Raw!CE75,60),"00"),ifs(Raw!CF75="Y"," (E)", Raw!CF75="Y+"," +", isblank(Raw!CF75),""))</f>
        <v>1:10</v>
      </c>
      <c r="AT75" s="255" t="str">
        <f>Raw!CR75</f>
        <v>bottom</v>
      </c>
      <c r="AU75" s="256">
        <f>Raw!CS75</f>
        <v>0</v>
      </c>
      <c r="AV75" s="255" t="str">
        <f>Raw!CT75</f>
        <v>gromps only</v>
      </c>
      <c r="AW75" s="246" t="str">
        <f>if(Raw!CW75&gt;0,Raw!CW75,"None")</f>
        <v>na</v>
      </c>
      <c r="AX75" s="246" t="str">
        <f>if(Raw!CX75&gt;0,Raw!CX75,"None")</f>
        <v>na</v>
      </c>
      <c r="AY75" s="255" t="str">
        <f>Raw!CY75</f>
        <v/>
      </c>
      <c r="AZ75" s="255" t="str">
        <f>Raw!CZ75</f>
        <v/>
      </c>
      <c r="BA75" s="255" t="str">
        <f>Raw!DA75</f>
        <v/>
      </c>
      <c r="BB75" s="255" t="str">
        <f>Raw!DB75</f>
        <v>teaching, use of smelting bellows</v>
      </c>
      <c r="BC75" s="257" t="str">
        <f>Raw!DC75</f>
        <v>haulted due to schedule</v>
      </c>
      <c r="BD75" s="248"/>
    </row>
    <row r="76">
      <c r="A76" s="249">
        <f>Raw!A76</f>
        <v>72</v>
      </c>
      <c r="B76" s="250" t="str">
        <f>Raw!B76</f>
        <v>Intro Smelting</v>
      </c>
      <c r="C76" s="250" t="str">
        <f>Raw!C76</f>
        <v>von Eschen</v>
      </c>
      <c r="D76" s="250" t="str">
        <f>Raw!D76</f>
        <v>Wareham ON</v>
      </c>
      <c r="E76" s="251">
        <f>Raw!E76</f>
        <v>42704</v>
      </c>
      <c r="F76" s="250" t="str">
        <f>Raw!F76</f>
        <v>Viking Age</v>
      </c>
      <c r="G76" s="250" t="str">
        <f>Raw!G76</f>
        <v>N</v>
      </c>
      <c r="H76" s="250" t="str">
        <f>Raw!H76</f>
        <v>Teaching</v>
      </c>
      <c r="I76" s="250" t="str">
        <f>Raw!I76</f>
        <v>short shaft on block</v>
      </c>
      <c r="J76" s="250" t="str">
        <f>Raw!J76</f>
        <v>manure cobb</v>
      </c>
      <c r="K76" s="250" t="str">
        <f>if(isblank(Raw!K76),"",if(Raw!K76&gt;1,concatenate("Use ",Raw!K76," of Expt ",Raw!L76),"Use 1"))</f>
        <v/>
      </c>
      <c r="L76" s="250" t="str">
        <f>Raw!M76</f>
        <v>Circle</v>
      </c>
      <c r="M76" s="250" t="str">
        <f>Raw!N76</f>
        <v>cylinder</v>
      </c>
      <c r="N76" s="250">
        <f>Raw!O76</f>
        <v>65</v>
      </c>
      <c r="O76" s="250">
        <f>Raw!S76</f>
        <v>50</v>
      </c>
      <c r="P76" s="252" t="str">
        <f>Raw!T76</f>
        <v>37 to 33</v>
      </c>
      <c r="Q76" s="239">
        <f>if(L76="Rectangle",concatenate(Raw!U76," x ",Raw!V76),if(L76="Oval",concatenate(Raw!U76," by ",Raw!V76),if(isnumber(Raw!V76),concatenate(Raw!U76," to ",Raw!V76),Raw!U76)))</f>
        <v>25</v>
      </c>
      <c r="R76" s="239" t="str">
        <f>if(AND(Raw!Z76="Y",isnumber(Raw!X76)),concatenate(Raw!X76," (E)"),Raw!X76)</f>
        <v/>
      </c>
      <c r="S76" s="241">
        <f>Calcs!B76</f>
        <v>490.9</v>
      </c>
      <c r="T76" s="252" t="str">
        <f>Raw!AB76</f>
        <v>6 to 4</v>
      </c>
      <c r="U76" s="252" t="str">
        <f>Raw!AC76</f>
        <v>24 x 8</v>
      </c>
      <c r="V76" s="252" t="str">
        <f>Raw!AD76</f>
        <v>forged copper</v>
      </c>
      <c r="W76" s="212" t="str">
        <f>concatenate(Raw!AE76,if(Raw!AF76="Y"," (T)",))</f>
        <v>2.5 (T)</v>
      </c>
      <c r="X76" s="212" t="str">
        <f>concatenate(Raw!AG76,if(isblank(Raw!AH76),"",concatenate(" ",Raw!AH76)),if(isblank(Raw!AI76),""," (E)"))</f>
        <v>23.5 Down</v>
      </c>
      <c r="Y76" s="212" t="str">
        <f>concatenate(Raw!AJ76,if(isblank(Raw!AK76),""," (E)"))</f>
        <v>5</v>
      </c>
      <c r="Z76" s="252" t="str">
        <f>Raw!AL76</f>
        <v>charcoal fines</v>
      </c>
      <c r="AA76" s="212" t="str">
        <f>concatenate(Raw!AO76,if(Raw!AP76="Y"," (E)",))</f>
        <v>15</v>
      </c>
      <c r="AB76" s="252" t="str">
        <f>Raw!AQ76</f>
        <v>electric blower</v>
      </c>
      <c r="AC76" s="212" t="str">
        <f>concatenate(ifs(istext(Raw!AT76),Raw!AT76,AND(Raw!AT76&gt;0,isblank(Raw!AS76)),concatenate(Raw!AT76," (A)"),AND(Raw!AR76&gt;0,Raw!AS76&gt;0),concatenate(Raw!AR76," to ",Raw!AS76),1,Raw!AS76),ifs(Raw!AU76="Y-","- (E)",Raw!AU76="Y"," (E)",1,))</f>
        <v>465</v>
      </c>
      <c r="AD76" s="253">
        <f>Raw!AW76</f>
        <v>589.08</v>
      </c>
      <c r="AE76" s="239" t="str">
        <f>concatenate(Raw!AX76,if(isblank(Raw!AZ76),"",concatenate("/",Raw!AZ76)),if(isblank(Raw!BB76),"",concatenate("/",Raw!BB76)),if(isblank(Raw!BD76),"",concatenate("/",Raw!BD76)),if(isblank(Raw!BF76),"",concatenate("/",Raw!BF76)),if(Raw!BK76&gt;0,if(isblank(Raw!AX76),"Gromps","/Gromps"),))</f>
        <v>DD1Fa/Guy's Run Goethite</v>
      </c>
      <c r="AF76" s="239" t="str">
        <f>concatenate(round(Raw!AY76,1),if(isblank(Raw!AZ76),"",concatenate("/",round(Raw!BA76,1))),if(isblank(Raw!BB76),"",concatenate("/",round(Raw!BC76,1))),if(isblank(Raw!BD76),"",concatenate("/",round(Raw!BE76,1))),if(isblank(Raw!BF76),"",concatenate("/",round(Raw!BG76,1))),if(isblank(Raw!BK76),,concatenate("/",if(isnumber(Raw!BK76),round(Raw!BK76,1),Raw!BK76))))</f>
        <v>25.2/6.5</v>
      </c>
      <c r="AG76" s="241">
        <f>Raw!BL76</f>
        <v>31.7</v>
      </c>
      <c r="AH76" s="254">
        <f>Raw!BI76</f>
        <v>0.5655454716</v>
      </c>
      <c r="AI76" s="255" t="str">
        <f>Raw!BJ76</f>
        <v>roasted</v>
      </c>
      <c r="AJ76" s="255" t="str">
        <f>Raw!BM76</f>
        <v/>
      </c>
      <c r="AK76" s="255" t="str">
        <f>Raw!BO76</f>
        <v>all to 25 / 10</v>
      </c>
      <c r="AL76" s="256">
        <f>Raw!BV76</f>
        <v>7.589285714</v>
      </c>
      <c r="AM76" s="244" t="str">
        <f>if(ISNUMBER(Raw!BW76),concatenate(floor(Raw!BW76/60,1),":",MOD(Raw!BW76,60)),Raw!BW76)</f>
        <v>3:10</v>
      </c>
      <c r="AN76" s="255">
        <f>Raw!BX76</f>
        <v>56</v>
      </c>
      <c r="AO76" s="256">
        <f>Raw!BZ76</f>
        <v>14.26315789</v>
      </c>
      <c r="AP76" s="256">
        <f>Raw!CA76</f>
        <v>7.42872807</v>
      </c>
      <c r="AQ76" s="255" t="str">
        <f>Raw!CB76</f>
        <v>maple</v>
      </c>
      <c r="AR76" s="255" t="str">
        <f>Raw!CC76</f>
        <v>Maple Leaf</v>
      </c>
      <c r="AS76" s="244" t="str">
        <f>concatenate(floor(Raw!CE76/60,1),":",text(MOD(Raw!CE76,60),"00"),ifs(Raw!CF76="Y"," (E)", Raw!CF76="Y+"," +", isblank(Raw!CF76),""))</f>
        <v>4:31</v>
      </c>
      <c r="AT76" s="255" t="str">
        <f>Raw!CR76</f>
        <v>bottom</v>
      </c>
      <c r="AU76" s="256">
        <f>Raw!CS76</f>
        <v>7.8</v>
      </c>
      <c r="AV76" s="255" t="str">
        <f>Raw!CT76</f>
        <v>crumbly</v>
      </c>
      <c r="AW76" s="246">
        <f>if(Raw!CW76&gt;0,Raw!CW76,"None")</f>
        <v>0.2460567823</v>
      </c>
      <c r="AX76" s="246">
        <f>if(Raw!CX76&gt;0,Raw!CX76,"None")</f>
        <v>0.435078689</v>
      </c>
      <c r="AY76" s="255" t="str">
        <f>Raw!CY76</f>
        <v/>
      </c>
      <c r="AZ76" s="255" t="str">
        <f>Raw!CZ76</f>
        <v/>
      </c>
      <c r="BA76" s="255" t="str">
        <f>Raw!DA76</f>
        <v/>
      </c>
      <c r="BB76" s="255" t="str">
        <f>Raw!DB76</f>
        <v>teaching</v>
      </c>
      <c r="BC76" s="257" t="str">
        <f>Raw!DC76</f>
        <v/>
      </c>
      <c r="BD76" s="248"/>
    </row>
    <row r="77">
      <c r="A77" s="249">
        <f>Raw!A77</f>
        <v>73</v>
      </c>
      <c r="B77" s="250" t="str">
        <f>Raw!B77</f>
        <v>Intro Smelting</v>
      </c>
      <c r="C77" s="250" t="str">
        <f>Raw!C77</f>
        <v>SCA</v>
      </c>
      <c r="D77" s="250" t="str">
        <f>Raw!D77</f>
        <v>Milton ON</v>
      </c>
      <c r="E77" s="251">
        <f>Raw!E77</f>
        <v>42907</v>
      </c>
      <c r="F77" s="250" t="str">
        <f>Raw!F77</f>
        <v>Viking Age</v>
      </c>
      <c r="G77" s="250" t="str">
        <f>Raw!G77</f>
        <v>N</v>
      </c>
      <c r="H77" s="250" t="str">
        <f>Raw!H77</f>
        <v>Teaching</v>
      </c>
      <c r="I77" s="250" t="str">
        <f>Raw!I77</f>
        <v>short shaft on stone</v>
      </c>
      <c r="J77" s="250" t="str">
        <f>Raw!J77</f>
        <v>NR clay</v>
      </c>
      <c r="K77" s="250" t="str">
        <f>if(isblank(Raw!K77),"",if(Raw!K77&gt;1,concatenate("Use ",Raw!K77," of Expt ",Raw!L77),"Use 1"))</f>
        <v/>
      </c>
      <c r="L77" s="250" t="str">
        <f>Raw!M77</f>
        <v>Circle</v>
      </c>
      <c r="M77" s="250" t="str">
        <f>Raw!N77</f>
        <v>cylinder</v>
      </c>
      <c r="N77" s="250">
        <f>Raw!O77</f>
        <v>77</v>
      </c>
      <c r="O77" s="250">
        <f>Raw!S77</f>
        <v>61</v>
      </c>
      <c r="P77" s="252" t="str">
        <f>Raw!T77</f>
        <v>41 to 35</v>
      </c>
      <c r="Q77" s="239">
        <f>if(L77="Rectangle",concatenate(Raw!U77," x ",Raw!V77),if(L77="Oval",concatenate(Raw!U77," by ",Raw!V77),if(isnumber(Raw!V77),concatenate(Raw!U77," to ",Raw!V77),Raw!U77)))</f>
        <v>25</v>
      </c>
      <c r="R77" s="239" t="str">
        <f>if(AND(Raw!Z77="Y",isnumber(Raw!X77)),concatenate(Raw!X77," (E)"),Raw!X77)</f>
        <v/>
      </c>
      <c r="S77" s="241">
        <f>Calcs!B77</f>
        <v>490.9</v>
      </c>
      <c r="T77" s="252" t="str">
        <f>Raw!AB77</f>
        <v>8 to 5</v>
      </c>
      <c r="U77" s="252" t="str">
        <f>Raw!AC77</f>
        <v>17 x 10</v>
      </c>
      <c r="V77" s="252" t="str">
        <f>Raw!AD77</f>
        <v>forged copper</v>
      </c>
      <c r="W77" s="212" t="str">
        <f>concatenate(Raw!AE77,if(Raw!AF77="Y"," (T)",))</f>
        <v>2.5 (T)</v>
      </c>
      <c r="X77" s="212" t="str">
        <f>concatenate(Raw!AG77,if(isblank(Raw!AH77),"",concatenate(" ",Raw!AH77)),if(isblank(Raw!AI77),""," (E)"))</f>
        <v>23 Down</v>
      </c>
      <c r="Y77" s="212" t="str">
        <f>concatenate(Raw!AJ77,if(isblank(Raw!AK77),""," (E)"))</f>
        <v>5</v>
      </c>
      <c r="Z77" s="252" t="str">
        <f>Raw!AL77</f>
        <v>charcoal fines</v>
      </c>
      <c r="AA77" s="212" t="str">
        <f>concatenate(Raw!AO77,if(Raw!AP77="Y"," (E)",))</f>
        <v>16</v>
      </c>
      <c r="AB77" s="252" t="str">
        <f>Raw!AQ77</f>
        <v>smelt bellows</v>
      </c>
      <c r="AC77" s="212" t="str">
        <f>concatenate(ifs(istext(Raw!AT77),Raw!AT77,AND(Raw!AT77&gt;0,isblank(Raw!AS77)),concatenate(Raw!AT77," (A)"),AND(Raw!AR77&gt;0,Raw!AS77&gt;0),concatenate(Raw!AR77," to ",Raw!AS77),1,Raw!AS77),ifs(Raw!AU77="Y-","- (E)",Raw!AU77="Y"," (E)",1,))</f>
        <v>480 (A)</v>
      </c>
      <c r="AD77" s="253">
        <f>Raw!AW77</f>
        <v>589.08</v>
      </c>
      <c r="AE77" s="239" t="str">
        <f>concatenate(Raw!AX77,if(isblank(Raw!AZ77),"",concatenate("/",Raw!AZ77)),if(isblank(Raw!BB77),"",concatenate("/",Raw!BB77)),if(isblank(Raw!BD77),"",concatenate("/",Raw!BD77)),if(isblank(Raw!BF77),"",concatenate("/",Raw!BF77)),if(Raw!BK77&gt;0,if(isblank(Raw!AX77),"Gromps","/Gromps"),))</f>
        <v>DD1Fa</v>
      </c>
      <c r="AF77" s="239" t="str">
        <f>concatenate(round(Raw!AY77,1),if(isblank(Raw!AZ77),"",concatenate("/",round(Raw!BA77,1))),if(isblank(Raw!BB77),"",concatenate("/",round(Raw!BC77,1))),if(isblank(Raw!BD77),"",concatenate("/",round(Raw!BE77,1))),if(isblank(Raw!BF77),"",concatenate("/",round(Raw!BG77,1))),if(isblank(Raw!BK77),,concatenate("/",if(isnumber(Raw!BK77),round(Raw!BK77,1),Raw!BK77))))</f>
        <v>26.9</v>
      </c>
      <c r="AG77" s="241">
        <f>Raw!BL77</f>
        <v>26.9</v>
      </c>
      <c r="AH77" s="254">
        <f>Raw!BI77</f>
        <v>0.561817121</v>
      </c>
      <c r="AI77" s="255" t="str">
        <f>Raw!BJ77</f>
        <v>raw</v>
      </c>
      <c r="AJ77" s="255">
        <f>Raw!BM77</f>
        <v>3</v>
      </c>
      <c r="AK77" s="255" t="str">
        <f>Raw!BO77</f>
        <v>all to 25</v>
      </c>
      <c r="AL77" s="256" t="str">
        <f>Raw!BV77</f>
        <v>NR</v>
      </c>
      <c r="AM77" s="244" t="str">
        <f>if(ISNUMBER(Raw!BW77),concatenate(floor(Raw!BW77/60,1),":",MOD(Raw!BW77,60)),Raw!BW77)</f>
        <v>2:5</v>
      </c>
      <c r="AN77" s="255">
        <f>Raw!BX77</f>
        <v>61</v>
      </c>
      <c r="AO77" s="256">
        <f>Raw!BZ77</f>
        <v>26.66666667</v>
      </c>
      <c r="AP77" s="256">
        <f>Raw!CA77</f>
        <v>12.2324159</v>
      </c>
      <c r="AQ77" s="255" t="str">
        <f>Raw!CB77</f>
        <v>maple</v>
      </c>
      <c r="AR77" s="255" t="str">
        <f>Raw!CC77</f>
        <v>Maple Leaf</v>
      </c>
      <c r="AS77" s="244" t="str">
        <f>concatenate(floor(Raw!CE77/60,1),":",text(MOD(Raw!CE77,60),"00"),ifs(Raw!CF77="Y"," (E)", Raw!CF77="Y+"," +", isblank(Raw!CF77),""))</f>
        <v>6:40</v>
      </c>
      <c r="AT77" s="255" t="str">
        <f>Raw!CR77</f>
        <v>bottom</v>
      </c>
      <c r="AU77" s="256">
        <f>Raw!CS77</f>
        <v>4.9</v>
      </c>
      <c r="AV77" s="255" t="str">
        <f>Raw!CT77</f>
        <v>crumbly</v>
      </c>
      <c r="AW77" s="246">
        <f>if(Raw!CW77&gt;0,Raw!CW77,"None")</f>
        <v>0.1821561338</v>
      </c>
      <c r="AX77" s="246">
        <f>if(Raw!CX77&gt;0,Raw!CX77,"None")</f>
        <v>0.3242267403</v>
      </c>
      <c r="AY77" s="255" t="str">
        <f>Raw!CY77</f>
        <v/>
      </c>
      <c r="AZ77" s="255" t="str">
        <f>Raw!CZ77</f>
        <v/>
      </c>
      <c r="BA77" s="255" t="str">
        <f>Raw!DA77</f>
        <v>Vinland</v>
      </c>
      <c r="BB77" s="255" t="str">
        <f>Raw!DB77</f>
        <v>teaching</v>
      </c>
      <c r="BC77" s="257" t="str">
        <f>Raw!DC77</f>
        <v>air supply varies considerably (221 - 560)</v>
      </c>
      <c r="BD77" s="248"/>
    </row>
    <row r="78">
      <c r="A78" s="249">
        <f>Raw!A78</f>
        <v>74</v>
      </c>
      <c r="B78" s="250" t="str">
        <f>Raw!B78</f>
        <v>Vinland 6</v>
      </c>
      <c r="C78" s="250" t="str">
        <f>Raw!C78</f>
        <v>DARC / Parks Canada</v>
      </c>
      <c r="D78" s="250" t="str">
        <f>Raw!D78</f>
        <v>L'Anse aux Meadows NL</v>
      </c>
      <c r="E78" s="251">
        <f>Raw!E78</f>
        <v>42932</v>
      </c>
      <c r="F78" s="250" t="str">
        <f>Raw!F78</f>
        <v>Viking Age Vinland</v>
      </c>
      <c r="G78" s="250" t="str">
        <f>Raw!G78</f>
        <v>Y</v>
      </c>
      <c r="H78" s="250" t="str">
        <f>Raw!H78</f>
        <v>Vinland</v>
      </c>
      <c r="I78" s="250" t="str">
        <f>Raw!I78</f>
        <v>short shaft</v>
      </c>
      <c r="J78" s="250" t="str">
        <f>Raw!J78</f>
        <v>NR clay, stick core</v>
      </c>
      <c r="K78" s="250" t="str">
        <f>if(isblank(Raw!K78),"",if(Raw!K78&gt;1,concatenate("Use ",Raw!K78," of Expt ",Raw!L78),"Use 1"))</f>
        <v/>
      </c>
      <c r="L78" s="250" t="str">
        <f>Raw!M78</f>
        <v>Circle</v>
      </c>
      <c r="M78" s="250" t="str">
        <f>Raw!N78</f>
        <v>cylinder</v>
      </c>
      <c r="N78" s="250">
        <f>Raw!O78</f>
        <v>64.5</v>
      </c>
      <c r="O78" s="250">
        <f>Raw!S78</f>
        <v>42.5</v>
      </c>
      <c r="P78" s="252" t="str">
        <f>Raw!T78</f>
        <v>NR</v>
      </c>
      <c r="Q78" s="239">
        <f>if(L78="Rectangle",concatenate(Raw!U78," x ",Raw!V78),if(L78="Oval",concatenate(Raw!U78," by ",Raw!V78),if(isnumber(Raw!V78),concatenate(Raw!U78," to ",Raw!V78),Raw!U78)))</f>
        <v>23.5</v>
      </c>
      <c r="R78" s="239" t="str">
        <f>if(AND(Raw!Z78="Y",isnumber(Raw!X78)),concatenate(Raw!X78," (E)"),Raw!X78)</f>
        <v/>
      </c>
      <c r="S78" s="241">
        <f>Calcs!B78</f>
        <v>433.7</v>
      </c>
      <c r="T78" s="252" t="str">
        <f>Raw!AB78</f>
        <v>NR</v>
      </c>
      <c r="U78" s="252" t="str">
        <f>Raw!AC78</f>
        <v>2 x 20</v>
      </c>
      <c r="V78" s="252" t="str">
        <f>Raw!AD78</f>
        <v>ceramic tube</v>
      </c>
      <c r="W78" s="212" t="str">
        <f>concatenate(Raw!AE78,if(Raw!AF78="Y"," (T)",))</f>
        <v>2.5</v>
      </c>
      <c r="X78" s="212" t="str">
        <f>concatenate(Raw!AG78,if(isblank(Raw!AH78),"",concatenate(" ",Raw!AH78)),if(isblank(Raw!AI78),""," (E)"))</f>
        <v>23 Down</v>
      </c>
      <c r="Y78" s="212" t="str">
        <f>concatenate(Raw!AJ78,if(isblank(Raw!AK78),""," (E)"))</f>
        <v>5</v>
      </c>
      <c r="Z78" s="252" t="str">
        <f>Raw!AL78</f>
        <v>ash &amp; fines</v>
      </c>
      <c r="AA78" s="212" t="str">
        <f>concatenate(Raw!AO78,if(Raw!AP78="Y"," (E)",))</f>
        <v>19</v>
      </c>
      <c r="AB78" s="252" t="str">
        <f>Raw!AQ78</f>
        <v>smelt bellows</v>
      </c>
      <c r="AC78" s="212" t="str">
        <f>concatenate(ifs(istext(Raw!AT78),Raw!AT78,AND(Raw!AT78&gt;0,isblank(Raw!AS78)),concatenate(Raw!AT78," (A)"),AND(Raw!AR78&gt;0,Raw!AS78&gt;0),concatenate(Raw!AR78," to ",Raw!AS78),1,Raw!AS78),ifs(Raw!AU78="Y-","- (E)",Raw!AU78="Y"," (E)",1,))</f>
        <v>500</v>
      </c>
      <c r="AD78" s="253">
        <f>Raw!AW78</f>
        <v>520.44</v>
      </c>
      <c r="AE78" s="239" t="str">
        <f>concatenate(Raw!AX78,if(isblank(Raw!AZ78),"",concatenate("/",Raw!AZ78)),if(isblank(Raw!BB78),"",concatenate("/",Raw!BB78)),if(isblank(Raw!BD78),"",concatenate("/",Raw!BD78)),if(isblank(Raw!BF78),"",concatenate("/",Raw!BF78)),if(Raw!BK78&gt;0,if(isblank(Raw!AX78),"Gromps","/Gromps"),))</f>
        <v>DD1</v>
      </c>
      <c r="AF78" s="239" t="str">
        <f>concatenate(round(Raw!AY78,1),if(isblank(Raw!AZ78),"",concatenate("/",round(Raw!BA78,1))),if(isblank(Raw!BB78),"",concatenate("/",round(Raw!BC78,1))),if(isblank(Raw!BD78),"",concatenate("/",round(Raw!BE78,1))),if(isblank(Raw!BF78),"",concatenate("/",round(Raw!BG78,1))),if(isblank(Raw!BK78),,concatenate("/",if(isnumber(Raw!BK78),round(Raw!BK78,1),Raw!BK78))))</f>
        <v>27.5</v>
      </c>
      <c r="AG78" s="241">
        <f>Raw!BL78</f>
        <v>27.5</v>
      </c>
      <c r="AH78" s="254">
        <f>Raw!BI78</f>
        <v>0.5482634678</v>
      </c>
      <c r="AI78" s="255" t="str">
        <f>Raw!BJ78</f>
        <v>raw</v>
      </c>
      <c r="AJ78" s="255" t="str">
        <f>Raw!BM78</f>
        <v/>
      </c>
      <c r="AK78" s="255" t="str">
        <f>Raw!BO78</f>
        <v>all to 25</v>
      </c>
      <c r="AL78" s="256">
        <f>Raw!BV78</f>
        <v>8.862068966</v>
      </c>
      <c r="AM78" s="244" t="str">
        <f>if(ISNUMBER(Raw!BW78),concatenate(floor(Raw!BW78/60,1),":",MOD(Raw!BW78,60)),Raw!BW78)</f>
        <v>3:11</v>
      </c>
      <c r="AN78" s="255">
        <f>Raw!BX78</f>
        <v>58</v>
      </c>
      <c r="AO78" s="256">
        <f>Raw!BZ78</f>
        <v>17</v>
      </c>
      <c r="AP78" s="256">
        <f>Raw!CA78</f>
        <v>8.5</v>
      </c>
      <c r="AQ78" s="255" t="str">
        <f>Raw!CB78</f>
        <v>maple</v>
      </c>
      <c r="AR78" s="255" t="str">
        <f>Raw!CC78</f>
        <v>Maple Leaf</v>
      </c>
      <c r="AS78" s="244" t="str">
        <f>concatenate(floor(Raw!CE78/60,1),":",text(MOD(Raw!CE78,60),"00"),ifs(Raw!CF78="Y"," (E)", Raw!CF78="Y+"," +", isblank(Raw!CF78),""))</f>
        <v>5:23</v>
      </c>
      <c r="AT78" s="255" t="str">
        <f>Raw!CR78</f>
        <v>dismantled</v>
      </c>
      <c r="AU78" s="256">
        <f>Raw!CS78</f>
        <v>5.5</v>
      </c>
      <c r="AV78" s="255" t="str">
        <f>Raw!CT78</f>
        <v>solid</v>
      </c>
      <c r="AW78" s="246">
        <f>if(Raw!CW78&gt;0,Raw!CW78,"None")</f>
        <v>0.2</v>
      </c>
      <c r="AX78" s="246">
        <f>if(Raw!CX78&gt;0,Raw!CX78,"None")</f>
        <v>0.3647881206</v>
      </c>
      <c r="AY78" s="255" t="str">
        <f>Raw!CY78</f>
        <v/>
      </c>
      <c r="AZ78" s="255" t="str">
        <f>Raw!CZ78</f>
        <v/>
      </c>
      <c r="BA78" s="255" t="str">
        <f>Raw!DA78</f>
        <v>Vinland</v>
      </c>
      <c r="BB78" s="255" t="str">
        <f>Raw!DB78</f>
        <v>demonstration on site</v>
      </c>
      <c r="BC78" s="257" t="str">
        <f>Raw!DC78</f>
        <v>big variation on burn rates (9 - 24)</v>
      </c>
      <c r="BD78" s="248"/>
    </row>
    <row r="79">
      <c r="A79" s="249">
        <f>Raw!A79</f>
        <v>75</v>
      </c>
      <c r="B79" s="250" t="str">
        <f>Raw!B79</f>
        <v>Celtic Iron</v>
      </c>
      <c r="C79" s="250" t="str">
        <f>Raw!C79</f>
        <v>SCC</v>
      </c>
      <c r="D79" s="250" t="str">
        <f>Raw!D79</f>
        <v>Aberfeldy Scotland</v>
      </c>
      <c r="E79" s="251">
        <f>Raw!E79</f>
        <v>42953</v>
      </c>
      <c r="F79" s="250" t="str">
        <f>Raw!F79</f>
        <v>Celtic Iron Age</v>
      </c>
      <c r="G79" s="250" t="str">
        <f>Raw!G79</f>
        <v>Y</v>
      </c>
      <c r="H79" s="250" t="str">
        <f>Raw!H79</f>
        <v/>
      </c>
      <c r="I79" s="250" t="str">
        <f>Raw!I79</f>
        <v>short shaft / slag pit</v>
      </c>
      <c r="J79" s="250" t="str">
        <f>Raw!J79</f>
        <v>manure cobb</v>
      </c>
      <c r="K79" s="250" t="str">
        <f>if(isblank(Raw!K79),"",if(Raw!K79&gt;1,concatenate("Use ",Raw!K79," of Expt ",Raw!L79),"Use 1"))</f>
        <v/>
      </c>
      <c r="L79" s="250" t="str">
        <f>Raw!M79</f>
        <v>Circle</v>
      </c>
      <c r="M79" s="250" t="str">
        <f>Raw!N79</f>
        <v>conical</v>
      </c>
      <c r="N79" s="250">
        <f>Raw!O79</f>
        <v>62</v>
      </c>
      <c r="O79" s="250">
        <f>Raw!S79</f>
        <v>46</v>
      </c>
      <c r="P79" s="252" t="str">
        <f>Raw!T79</f>
        <v>42 to 30</v>
      </c>
      <c r="Q79" s="239" t="str">
        <f>if(L79="Rectangle",concatenate(Raw!U79," x ",Raw!V79),if(L79="Oval",concatenate(Raw!U79," by ",Raw!V79),if(isnumber(Raw!V79),concatenate(Raw!U79," to ",Raw!V79),Raw!U79)))</f>
        <v>30 to 22</v>
      </c>
      <c r="R79" s="239" t="str">
        <f>if(AND(Raw!Z79="Y",isnumber(Raw!X79)),concatenate(Raw!X79," (E)"),Raw!X79)</f>
        <v>25 (E)</v>
      </c>
      <c r="S79" s="241" t="str">
        <f>Calcs!B79</f>
        <v>490.9 (E)</v>
      </c>
      <c r="T79" s="252" t="str">
        <f>Raw!AB79</f>
        <v>6 to 4</v>
      </c>
      <c r="U79" s="252" t="str">
        <f>Raw!AC79</f>
        <v>23 x 17</v>
      </c>
      <c r="V79" s="252" t="str">
        <f>Raw!AD79</f>
        <v>ceramic tube</v>
      </c>
      <c r="W79" s="212" t="str">
        <f>concatenate(Raw!AE79,if(Raw!AF79="Y"," (T)",))</f>
        <v>2.5 (T)</v>
      </c>
      <c r="X79" s="212" t="str">
        <f>concatenate(Raw!AG79,if(isblank(Raw!AH79),"",concatenate(" ",Raw!AH79)),if(isblank(Raw!AI79),""," (E)"))</f>
        <v>23 Down</v>
      </c>
      <c r="Y79" s="212" t="str">
        <f>concatenate(Raw!AJ79,if(isblank(Raw!AK79),""," (E)"))</f>
        <v>4</v>
      </c>
      <c r="Z79" s="252" t="str">
        <f>Raw!AL79</f>
        <v>sticks with cap</v>
      </c>
      <c r="AA79" s="212" t="str">
        <f>concatenate(Raw!AO79,if(Raw!AP79="Y"," (E)",))</f>
        <v>16</v>
      </c>
      <c r="AB79" s="252" t="str">
        <f>Raw!AQ79</f>
        <v>shop vac</v>
      </c>
      <c r="AC79" s="212" t="str">
        <f>concatenate(ifs(istext(Raw!AT79),Raw!AT79,AND(Raw!AT79&gt;0,isblank(Raw!AS79)),concatenate(Raw!AT79," (A)"),AND(Raw!AR79&gt;0,Raw!AS79&gt;0),concatenate(Raw!AR79," to ",Raw!AS79),1,Raw!AS79),ifs(Raw!AU79="Y-","- (E)",Raw!AU79="Y"," (E)",1,))</f>
        <v>NR</v>
      </c>
      <c r="AD79" s="253">
        <f>Raw!AW79</f>
        <v>589.08</v>
      </c>
      <c r="AE79" s="239" t="str">
        <f>concatenate(Raw!AX79,if(isblank(Raw!AZ79),"",concatenate("/",Raw!AZ79)),if(isblank(Raw!BB79),"",concatenate("/",Raw!BB79)),if(isblank(Raw!BD79),"",concatenate("/",Raw!BD79)),if(isblank(Raw!BF79),"",concatenate("/",Raw!BF79)),if(Raw!BK79&gt;0,if(isblank(Raw!AX79),"Gromps","/Gromps"),))</f>
        <v>DD1</v>
      </c>
      <c r="AF79" s="239" t="str">
        <f>concatenate(round(Raw!AY79,1),if(isblank(Raw!AZ79),"",concatenate("/",round(Raw!BA79,1))),if(isblank(Raw!BB79),"",concatenate("/",round(Raw!BC79,1))),if(isblank(Raw!BD79),"",concatenate("/",round(Raw!BE79,1))),if(isblank(Raw!BF79),"",concatenate("/",round(Raw!BG79,1))),if(isblank(Raw!BK79),,concatenate("/",if(isnumber(Raw!BK79),round(Raw!BK79,1),Raw!BK79))))</f>
        <v>20</v>
      </c>
      <c r="AG79" s="241">
        <f>Raw!BL79</f>
        <v>20</v>
      </c>
      <c r="AH79" s="254">
        <f>Raw!BI79</f>
        <v>0.5482634678</v>
      </c>
      <c r="AI79" s="255" t="str">
        <f>Raw!BJ79</f>
        <v>raw</v>
      </c>
      <c r="AJ79" s="255" t="str">
        <f>Raw!BM79</f>
        <v/>
      </c>
      <c r="AK79" s="255" t="str">
        <f>Raw!BO79</f>
        <v>all to 25</v>
      </c>
      <c r="AL79" s="256" t="str">
        <f>Raw!BV79</f>
        <v>NR</v>
      </c>
      <c r="AM79" s="244" t="str">
        <f>if(ISNUMBER(Raw!BW79),concatenate(floor(Raw!BW79/60,1),":",MOD(Raw!BW79,60)),Raw!BW79)</f>
        <v>2:0</v>
      </c>
      <c r="AN79" s="255">
        <f>Raw!BX79</f>
        <v>45.5</v>
      </c>
      <c r="AO79" s="256">
        <f>Raw!BZ79</f>
        <v>8.571428571</v>
      </c>
      <c r="AP79" s="256">
        <f>Raw!CA79</f>
        <v>5.263157895</v>
      </c>
      <c r="AQ79" s="255" t="str">
        <f>Raw!CB79</f>
        <v>mixed hardwood</v>
      </c>
      <c r="AR79" s="255" t="str">
        <f>Raw!CC79</f>
        <v>Scotland</v>
      </c>
      <c r="AS79" s="244" t="str">
        <f>concatenate(floor(Raw!CE79/60,1),":",text(MOD(Raw!CE79,60),"00"),ifs(Raw!CF79="Y"," (E)", Raw!CF79="Y+"," +", isblank(Raw!CF79),""))</f>
        <v>2:00</v>
      </c>
      <c r="AT79" s="255" t="str">
        <f>Raw!CR79</f>
        <v>dismantled</v>
      </c>
      <c r="AU79" s="256">
        <f>Raw!CS79</f>
        <v>2.9</v>
      </c>
      <c r="AV79" s="255" t="str">
        <f>Raw!CT79</f>
        <v>gromps only</v>
      </c>
      <c r="AW79" s="246">
        <f>if(Raw!CW79&gt;0,Raw!CW79,"None")</f>
        <v>0.145</v>
      </c>
      <c r="AX79" s="246">
        <f>if(Raw!CX79&gt;0,Raw!CX79,"None")</f>
        <v>0.2644713874</v>
      </c>
      <c r="AY79" s="255" t="str">
        <f>Raw!CY79</f>
        <v/>
      </c>
      <c r="AZ79" s="255" t="str">
        <f>Raw!CZ79</f>
        <v/>
      </c>
      <c r="BA79" s="255" t="str">
        <f>Raw!DA79</f>
        <v>Celtic Iron Age ?</v>
      </c>
      <c r="BB79" s="255" t="str">
        <f>Raw!DB79</f>
        <v>demonstration on site</v>
      </c>
      <c r="BC79" s="257" t="str">
        <f>Raw!DC79</f>
        <v>shortened cyle for event</v>
      </c>
      <c r="BD79" s="248"/>
    </row>
    <row r="80">
      <c r="A80" s="249">
        <f>Raw!A80</f>
        <v>76</v>
      </c>
      <c r="B80" s="250" t="str">
        <f>Raw!B80</f>
        <v>Slag Pit 3</v>
      </c>
      <c r="C80" s="250" t="str">
        <f>Raw!C80</f>
        <v>Peterson +</v>
      </c>
      <c r="D80" s="250" t="str">
        <f>Raw!D80</f>
        <v>Wareham ON</v>
      </c>
      <c r="E80" s="251">
        <f>Raw!E80</f>
        <v>43274</v>
      </c>
      <c r="F80" s="250" t="str">
        <f>Raw!F80</f>
        <v>Celtic Iron Age</v>
      </c>
      <c r="G80" s="250" t="str">
        <f>Raw!G80</f>
        <v>N</v>
      </c>
      <c r="H80" s="250" t="str">
        <f>Raw!H80</f>
        <v/>
      </c>
      <c r="I80" s="250" t="str">
        <f>Raw!I80</f>
        <v>short shaft on brick / slag pit</v>
      </c>
      <c r="J80" s="250" t="str">
        <f>Raw!J80</f>
        <v>manure cobb in can</v>
      </c>
      <c r="K80" s="250" t="str">
        <f>if(isblank(Raw!K80),"",if(Raw!K80&gt;1,concatenate("Use ",Raw!K80," of Expt ",Raw!L80),"Use 1"))</f>
        <v>Use 3 of Expt 50</v>
      </c>
      <c r="L80" s="250" t="str">
        <f>Raw!M80</f>
        <v>Circle</v>
      </c>
      <c r="M80" s="250" t="str">
        <f>Raw!N80</f>
        <v>conical</v>
      </c>
      <c r="N80" s="250">
        <f>Raw!O80</f>
        <v>77</v>
      </c>
      <c r="O80" s="250">
        <f>Raw!S80</f>
        <v>48</v>
      </c>
      <c r="P80" s="252" t="str">
        <f>Raw!T80</f>
        <v>40 to 35</v>
      </c>
      <c r="Q80" s="239" t="str">
        <f>if(L80="Rectangle",concatenate(Raw!U80," x ",Raw!V80),if(L80="Oval",concatenate(Raw!U80," by ",Raw!V80),if(isnumber(Raw!V80),concatenate(Raw!U80," to ",Raw!V80),Raw!U80)))</f>
        <v>29 to 25.5</v>
      </c>
      <c r="R80" s="239">
        <f>if(AND(Raw!Z80="Y",isnumber(Raw!X80)),concatenate(Raw!X80," (E)"),Raw!X80)</f>
        <v>28</v>
      </c>
      <c r="S80" s="241">
        <f>Calcs!B80</f>
        <v>615.8</v>
      </c>
      <c r="T80" s="252" t="str">
        <f>Raw!AB80</f>
        <v>NR to 5</v>
      </c>
      <c r="U80" s="252" t="str">
        <f>Raw!AC80</f>
        <v>23 x23</v>
      </c>
      <c r="V80" s="252" t="str">
        <f>Raw!AD80</f>
        <v>forged copper</v>
      </c>
      <c r="W80" s="212" t="str">
        <f>concatenate(Raw!AE80,if(Raw!AF80="Y"," (T)",))</f>
        <v>2.5 (T)</v>
      </c>
      <c r="X80" s="212" t="str">
        <f>concatenate(Raw!AG80,if(isblank(Raw!AH80),"",concatenate(" ",Raw!AH80)),if(isblank(Raw!AI80),""," (E)"))</f>
        <v>20 Down</v>
      </c>
      <c r="Y80" s="212" t="str">
        <f>concatenate(Raw!AJ80,if(isblank(Raw!AK80),""," (E)"))</f>
        <v>5</v>
      </c>
      <c r="Z80" s="252" t="str">
        <f>Raw!AL80</f>
        <v>weeds with cap</v>
      </c>
      <c r="AA80" s="212" t="str">
        <f>concatenate(Raw!AO80,if(Raw!AP80="Y"," (E)",))</f>
        <v>12</v>
      </c>
      <c r="AB80" s="252" t="str">
        <f>Raw!AQ80</f>
        <v>electric blower</v>
      </c>
      <c r="AC80" s="212" t="str">
        <f>concatenate(ifs(istext(Raw!AT80),Raw!AT80,AND(Raw!AT80&gt;0,isblank(Raw!AS80)),concatenate(Raw!AT80," (A)"),AND(Raw!AR80&gt;0,Raw!AS80&gt;0),concatenate(Raw!AR80," to ",Raw!AS80),1,Raw!AS80),ifs(Raw!AU80="Y-","- (E)",Raw!AU80="Y"," (E)",1,))</f>
        <v>900 to 1000</v>
      </c>
      <c r="AD80" s="253">
        <f>Raw!AW80</f>
        <v>738.96</v>
      </c>
      <c r="AE80" s="239" t="str">
        <f>concatenate(Raw!AX80,if(isblank(Raw!AZ80),"",concatenate("/",Raw!AZ80)),if(isblank(Raw!BB80),"",concatenate("/",Raw!BB80)),if(isblank(Raw!BD80),"",concatenate("/",Raw!BD80)),if(isblank(Raw!BF80),"",concatenate("/",Raw!BF80)),if(Raw!BK80&gt;0,if(isblank(Raw!AX80),"Gromps","/Gromps"),))</f>
        <v>DD1Fa/Gromps</v>
      </c>
      <c r="AF80" s="239" t="str">
        <f>concatenate(round(Raw!AY80,1),if(isblank(Raw!AZ80),"",concatenate("/",round(Raw!BA80,1))),if(isblank(Raw!BB80),"",concatenate("/",round(Raw!BC80,1))),if(isblank(Raw!BD80),"",concatenate("/",round(Raw!BE80,1))),if(isblank(Raw!BF80),"",concatenate("/",round(Raw!BG80,1))),if(isblank(Raw!BK80),,concatenate("/",if(isnumber(Raw!BK80),round(Raw!BK80,1),Raw!BK80))))</f>
        <v>28.2/2</v>
      </c>
      <c r="AG80" s="241">
        <f>Raw!BL80</f>
        <v>30.2</v>
      </c>
      <c r="AH80" s="254" t="str">
        <f>Raw!BI80</f>
        <v>?</v>
      </c>
      <c r="AI80" s="255" t="str">
        <f>Raw!BJ80</f>
        <v>raw</v>
      </c>
      <c r="AJ80" s="255">
        <f>Raw!BM80</f>
        <v>2</v>
      </c>
      <c r="AK80" s="255" t="str">
        <f>Raw!BO80</f>
        <v>all to 25</v>
      </c>
      <c r="AL80" s="256" t="str">
        <f>Raw!BV80</f>
        <v>NR</v>
      </c>
      <c r="AM80" s="244" t="str">
        <f>if(ISNUMBER(Raw!BW80),concatenate(floor(Raw!BW80/60,1),":",MOD(Raw!BW80,60)),Raw!BW80)</f>
        <v>1:0</v>
      </c>
      <c r="AN80" s="255">
        <f>Raw!BX80</f>
        <v>58</v>
      </c>
      <c r="AO80" s="256">
        <f>Raw!BZ80</f>
        <v>12.05</v>
      </c>
      <c r="AP80" s="256">
        <f>Raw!CA80</f>
        <v>7.875816993</v>
      </c>
      <c r="AQ80" s="255" t="str">
        <f>Raw!CB80</f>
        <v>maple</v>
      </c>
      <c r="AR80" s="255" t="str">
        <f>Raw!CC80</f>
        <v>Maple Leaf</v>
      </c>
      <c r="AS80" s="244" t="str">
        <f>concatenate(floor(Raw!CE80/60,1),":",text(MOD(Raw!CE80,60),"00"),ifs(Raw!CF80="Y"," (E)", Raw!CF80="Y+"," +", isblank(Raw!CF80),""))</f>
        <v>4:01</v>
      </c>
      <c r="AT80" s="255" t="str">
        <f>Raw!CR80</f>
        <v>top</v>
      </c>
      <c r="AU80" s="256">
        <f>Raw!CS80</f>
        <v>6.1</v>
      </c>
      <c r="AV80" s="255" t="str">
        <f>Raw!CT80</f>
        <v>solid</v>
      </c>
      <c r="AW80" s="246">
        <f>if(Raw!CW80&gt;0,Raw!CW80,"None")</f>
        <v>0.201986755</v>
      </c>
      <c r="AX80" s="246" t="str">
        <f>if(Raw!CX80&gt;0,Raw!CX80,"None")</f>
        <v>?</v>
      </c>
      <c r="AY80" s="255" t="str">
        <f>Raw!CY80</f>
        <v/>
      </c>
      <c r="AZ80" s="255" t="str">
        <f>Raw!CZ80</f>
        <v/>
      </c>
      <c r="BA80" s="255" t="str">
        <f>Raw!DA80</f>
        <v>Celtic Iron Age ?</v>
      </c>
      <c r="BB80" s="255" t="str">
        <f>Raw!DB80</f>
        <v/>
      </c>
      <c r="BC80" s="257" t="str">
        <f>Raw!DC80</f>
        <v/>
      </c>
      <c r="BD80" s="248"/>
    </row>
    <row r="81">
      <c r="A81" s="249">
        <f>Raw!A81</f>
        <v>77</v>
      </c>
      <c r="B81" s="250" t="str">
        <f>Raw!B81</f>
        <v>Viking Age Iron</v>
      </c>
      <c r="C81" s="250" t="str">
        <f>Raw!C81</f>
        <v>Hurstwic</v>
      </c>
      <c r="D81" s="250" t="str">
        <f>Raw!D81</f>
        <v>Wareham ON</v>
      </c>
      <c r="E81" s="251">
        <f>Raw!E81</f>
        <v>43281</v>
      </c>
      <c r="F81" s="250" t="str">
        <f>Raw!F81</f>
        <v>Viking Age</v>
      </c>
      <c r="G81" s="250" t="str">
        <f>Raw!G81</f>
        <v>N</v>
      </c>
      <c r="H81" s="250" t="str">
        <f>Raw!H81</f>
        <v>Teaching</v>
      </c>
      <c r="I81" s="250" t="str">
        <f>Raw!I81</f>
        <v>short shaft on brick</v>
      </c>
      <c r="J81" s="250" t="str">
        <f>Raw!J81</f>
        <v>manure cobb</v>
      </c>
      <c r="K81" s="250" t="str">
        <f>if(isblank(Raw!K81),"",if(Raw!K81&gt;1,concatenate("Use ",Raw!K81," of Expt ",Raw!L81),"Use 1"))</f>
        <v/>
      </c>
      <c r="L81" s="250" t="str">
        <f>Raw!M81</f>
        <v>Circle</v>
      </c>
      <c r="M81" s="250" t="str">
        <f>Raw!N81</f>
        <v>conical</v>
      </c>
      <c r="N81" s="250">
        <f>Raw!O81</f>
        <v>67</v>
      </c>
      <c r="O81" s="250">
        <f>Raw!S81</f>
        <v>51</v>
      </c>
      <c r="P81" s="252" t="str">
        <f>Raw!T81</f>
        <v>50 to ?</v>
      </c>
      <c r="Q81" s="239" t="str">
        <f>if(L81="Rectangle",concatenate(Raw!U81," x ",Raw!V81),if(L81="Oval",concatenate(Raw!U81," by ",Raw!V81),if(isnumber(Raw!V81),concatenate(Raw!U81," to ",Raw!V81),Raw!U81)))</f>
        <v>36 to 19</v>
      </c>
      <c r="R81" s="239">
        <f>if(AND(Raw!Z81="Y",isnumber(Raw!X81)),concatenate(Raw!X81," (E)"),Raw!X81)</f>
        <v>33</v>
      </c>
      <c r="S81" s="241">
        <f>Calcs!B81</f>
        <v>855.3</v>
      </c>
      <c r="T81" s="252" t="str">
        <f>Raw!AB81</f>
        <v>6 to NR</v>
      </c>
      <c r="U81" s="252" t="str">
        <f>Raw!AC81</f>
        <v>NR</v>
      </c>
      <c r="V81" s="252" t="str">
        <f>Raw!AD81</f>
        <v>ceramic tube</v>
      </c>
      <c r="W81" s="212" t="str">
        <f>concatenate(Raw!AE81,if(Raw!AF81="Y"," (T)",))</f>
        <v>2.5</v>
      </c>
      <c r="X81" s="212" t="str">
        <f>concatenate(Raw!AG81,if(isblank(Raw!AH81),"",concatenate(" ",Raw!AH81)),if(isblank(Raw!AI81),""," (E)"))</f>
        <v>22 Down</v>
      </c>
      <c r="Y81" s="212" t="str">
        <f>concatenate(Raw!AJ81,if(isblank(Raw!AK81),""," (E)"))</f>
        <v>5</v>
      </c>
      <c r="Z81" s="252" t="str">
        <f>Raw!AL81</f>
        <v>charcoal fines</v>
      </c>
      <c r="AA81" s="212" t="str">
        <f>concatenate(Raw!AO81,if(Raw!AP81="Y"," (E)",))</f>
        <v>15</v>
      </c>
      <c r="AB81" s="252" t="str">
        <f>Raw!AQ81</f>
        <v>electric blower</v>
      </c>
      <c r="AC81" s="212" t="str">
        <f>concatenate(ifs(istext(Raw!AT81),Raw!AT81,AND(Raw!AT81&gt;0,isblank(Raw!AS81)),concatenate(Raw!AT81," (A)"),AND(Raw!AR81&gt;0,Raw!AS81&gt;0),concatenate(Raw!AR81," to ",Raw!AS81),1,Raw!AS81),ifs(Raw!AU81="Y-","- (E)",Raw!AU81="Y"," (E)",1,))</f>
        <v>900</v>
      </c>
      <c r="AD81" s="253">
        <f>Raw!AW81</f>
        <v>1026.36</v>
      </c>
      <c r="AE81" s="239" t="str">
        <f>concatenate(Raw!AX81,if(isblank(Raw!AZ81),"",concatenate("/",Raw!AZ81)),if(isblank(Raw!BB81),"",concatenate("/",Raw!BB81)),if(isblank(Raw!BD81),"",concatenate("/",Raw!BD81)),if(isblank(Raw!BF81),"",concatenate("/",Raw!BF81)),if(Raw!BK81&gt;0,if(isblank(Raw!AX81),"Gromps","/Gromps"),))</f>
        <v>DD1Fa/Gromps</v>
      </c>
      <c r="AF81" s="239" t="str">
        <f>concatenate(round(Raw!AY81,1),if(isblank(Raw!AZ81),"",concatenate("/",round(Raw!BA81,1))),if(isblank(Raw!BB81),"",concatenate("/",round(Raw!BC81,1))),if(isblank(Raw!BD81),"",concatenate("/",round(Raw!BE81,1))),if(isblank(Raw!BF81),"",concatenate("/",round(Raw!BG81,1))),if(isblank(Raw!BK81),,concatenate("/",if(isnumber(Raw!BK81),round(Raw!BK81,1),Raw!BK81))))</f>
        <v>29.3/1</v>
      </c>
      <c r="AG81" s="241">
        <f>Raw!BL81</f>
        <v>30.3</v>
      </c>
      <c r="AH81" s="254" t="str">
        <f>Raw!BI81</f>
        <v>?</v>
      </c>
      <c r="AI81" s="255" t="str">
        <f>Raw!BJ81</f>
        <v>raw</v>
      </c>
      <c r="AJ81" s="255">
        <f>Raw!BM81</f>
        <v>5</v>
      </c>
      <c r="AK81" s="255" t="str">
        <f>Raw!BO81</f>
        <v>all to 25</v>
      </c>
      <c r="AL81" s="256" t="str">
        <f>Raw!BV81</f>
        <v>NR</v>
      </c>
      <c r="AM81" s="244" t="str">
        <f>if(ISNUMBER(Raw!BW81),concatenate(floor(Raw!BW81/60,1),":",MOD(Raw!BW81,60)),Raw!BW81)</f>
        <v>1:18</v>
      </c>
      <c r="AN81" s="255">
        <f>Raw!BX81</f>
        <v>65</v>
      </c>
      <c r="AO81" s="256">
        <f>Raw!BZ81</f>
        <v>12.05263158</v>
      </c>
      <c r="AP81" s="256">
        <f>Raw!CA81</f>
        <v>6.695906433</v>
      </c>
      <c r="AQ81" s="255" t="str">
        <f>Raw!CB81</f>
        <v>maple / oak - hickory</v>
      </c>
      <c r="AR81" s="255" t="str">
        <f>Raw!CC81</f>
        <v>Maple Leaf / Royal Oak</v>
      </c>
      <c r="AS81" s="244" t="str">
        <f>concatenate(floor(Raw!CE81/60,1),":",text(MOD(Raw!CE81,60),"00"),ifs(Raw!CF81="Y"," (E)", Raw!CF81="Y+"," +", isblank(Raw!CF81),""))</f>
        <v>3:49</v>
      </c>
      <c r="AT81" s="255" t="str">
        <f>Raw!CR81</f>
        <v>bottom</v>
      </c>
      <c r="AU81" s="256">
        <f>Raw!CS81</f>
        <v>11</v>
      </c>
      <c r="AV81" s="255" t="str">
        <f>Raw!CT81</f>
        <v>solid</v>
      </c>
      <c r="AW81" s="246">
        <f>if(Raw!CW81&gt;0,Raw!CW81,"None")</f>
        <v>0.3630363036</v>
      </c>
      <c r="AX81" s="246" t="str">
        <f>if(Raw!CX81&gt;0,Raw!CX81,"None")</f>
        <v>?</v>
      </c>
      <c r="AY81" s="255" t="str">
        <f>Raw!CY81</f>
        <v/>
      </c>
      <c r="AZ81" s="255" t="str">
        <f>Raw!CZ81</f>
        <v/>
      </c>
      <c r="BA81" s="255" t="str">
        <f>Raw!DA81</f>
        <v>Viking Age ?</v>
      </c>
      <c r="BB81" s="255" t="str">
        <f>Raw!DB81</f>
        <v>teaching</v>
      </c>
      <c r="BC81" s="257" t="str">
        <f>Raw!DC81</f>
        <v>  new red oxide @ 51% Fe</v>
      </c>
      <c r="BD81" s="248"/>
    </row>
    <row r="82">
      <c r="A82" s="249">
        <f>Raw!A82</f>
        <v>78</v>
      </c>
      <c r="B82" s="250" t="str">
        <f>Raw!B82</f>
        <v>CAMELOT</v>
      </c>
      <c r="C82" s="250" t="str">
        <f>Raw!C82</f>
        <v>students, Gissing</v>
      </c>
      <c r="D82" s="250" t="str">
        <f>Raw!D82</f>
        <v>Waterloo ON</v>
      </c>
      <c r="E82" s="251">
        <f>Raw!E82</f>
        <v>43359</v>
      </c>
      <c r="F82" s="250" t="str">
        <f>Raw!F82</f>
        <v>Viking Age</v>
      </c>
      <c r="G82" s="250" t="str">
        <f>Raw!G82</f>
        <v>Y</v>
      </c>
      <c r="H82" s="250" t="str">
        <f>Raw!H82</f>
        <v/>
      </c>
      <c r="I82" s="250" t="str">
        <f>Raw!I82</f>
        <v>short shaft on block</v>
      </c>
      <c r="J82" s="250" t="str">
        <f>Raw!J82</f>
        <v>manure cobb</v>
      </c>
      <c r="K82" s="250" t="str">
        <f>if(isblank(Raw!K82),"",if(Raw!K82&gt;1,concatenate("Use ",Raw!K82," of Expt ",Raw!L82),"Use 1"))</f>
        <v/>
      </c>
      <c r="L82" s="250" t="str">
        <f>Raw!M82</f>
        <v>Circle</v>
      </c>
      <c r="M82" s="250" t="str">
        <f>Raw!N82</f>
        <v>cylinder</v>
      </c>
      <c r="N82" s="250">
        <f>Raw!O82</f>
        <v>60</v>
      </c>
      <c r="O82" s="250">
        <f>Raw!S82</f>
        <v>41</v>
      </c>
      <c r="P82" s="261" t="str">
        <f>Raw!T82</f>
        <v>40 to 35</v>
      </c>
      <c r="Q82" s="239">
        <f>if(L82="Rectangle",concatenate(Raw!U82," x ",Raw!V82),if(L82="Oval",concatenate(Raw!U82," by ",Raw!V82),if(isnumber(Raw!V82),concatenate(Raw!U82," to ",Raw!V82),Raw!U82)))</f>
        <v>26</v>
      </c>
      <c r="R82" s="239" t="str">
        <f>if(AND(Raw!Z82="Y",isnumber(Raw!X82)),concatenate(Raw!X82," (E)"),Raw!X82)</f>
        <v/>
      </c>
      <c r="S82" s="241">
        <f>Calcs!B82</f>
        <v>530.9</v>
      </c>
      <c r="T82" s="252" t="str">
        <f>Raw!AB82</f>
        <v>7 to 4.5</v>
      </c>
      <c r="U82" s="252" t="str">
        <f>Raw!AC82</f>
        <v>NR</v>
      </c>
      <c r="V82" s="252" t="str">
        <f>Raw!AD82</f>
        <v>forged copper</v>
      </c>
      <c r="W82" s="212" t="str">
        <f>concatenate(Raw!AE82,if(Raw!AF82="Y"," (T)",))</f>
        <v>2.5 (T)</v>
      </c>
      <c r="X82" s="212" t="str">
        <f>concatenate(Raw!AG82,if(isblank(Raw!AH82),"",concatenate(" ",Raw!AH82)),if(isblank(Raw!AI82),""," (E)"))</f>
        <v>22 Down</v>
      </c>
      <c r="Y82" s="212" t="str">
        <f>concatenate(Raw!AJ82,if(isblank(Raw!AK82),""," (E)"))</f>
        <v>5</v>
      </c>
      <c r="Z82" s="252" t="str">
        <f>Raw!AL82</f>
        <v>charcoal fines</v>
      </c>
      <c r="AA82" s="212" t="str">
        <f>concatenate(Raw!AO82,if(Raw!AP82="Y"," (E)",))</f>
        <v>19</v>
      </c>
      <c r="AB82" s="252" t="str">
        <f>Raw!AQ82</f>
        <v>electric blower</v>
      </c>
      <c r="AC82" s="212" t="str">
        <f>concatenate(ifs(istext(Raw!AT82),Raw!AT82,AND(Raw!AT82&gt;0,isblank(Raw!AS82)),concatenate(Raw!AT82," (A)"),AND(Raw!AR82&gt;0,Raw!AS82&gt;0),concatenate(Raw!AR82," to ",Raw!AS82),1,Raw!AS82),ifs(Raw!AU82="Y-","- (E)",Raw!AU82="Y"," (E)",1,))</f>
        <v>900</v>
      </c>
      <c r="AD82" s="253">
        <f>Raw!AW82</f>
        <v>637.08</v>
      </c>
      <c r="AE82" s="239" t="str">
        <f>concatenate(Raw!AX82,if(isblank(Raw!AZ82),"",concatenate("/",Raw!AZ82)),if(isblank(Raw!BB82),"",concatenate("/",Raw!BB82)),if(isblank(Raw!BD82),"",concatenate("/",Raw!BD82)),if(isblank(Raw!BF82),"",concatenate("/",Raw!BF82)),if(Raw!BK82&gt;0,if(isblank(Raw!AX82),"Gromps","/Gromps"),))</f>
        <v>DD1Fa</v>
      </c>
      <c r="AF82" s="239" t="str">
        <f>concatenate(round(Raw!AY82,1),if(isblank(Raw!AZ82),"",concatenate("/",round(Raw!BA82,1))),if(isblank(Raw!BB82),"",concatenate("/",round(Raw!BC82,1))),if(isblank(Raw!BD82),"",concatenate("/",round(Raw!BE82,1))),if(isblank(Raw!BF82),"",concatenate("/",round(Raw!BG82,1))),if(isblank(Raw!BK82),,concatenate("/",if(isnumber(Raw!BK82),round(Raw!BK82,1),Raw!BK82))))</f>
        <v>30.6</v>
      </c>
      <c r="AG82" s="241">
        <f>Raw!BL82</f>
        <v>30.6</v>
      </c>
      <c r="AH82" s="254">
        <f>Raw!BI82</f>
        <v>0.561817121</v>
      </c>
      <c r="AI82" s="255" t="str">
        <f>Raw!BJ82</f>
        <v>raw</v>
      </c>
      <c r="AJ82" s="255" t="str">
        <f>Raw!BM82</f>
        <v/>
      </c>
      <c r="AK82" s="255" t="str">
        <f>Raw!BO82</f>
        <v>all to 25</v>
      </c>
      <c r="AL82" s="256">
        <f>Raw!BV82</f>
        <v>6.725490196</v>
      </c>
      <c r="AM82" s="244" t="str">
        <f>if(ISNUMBER(Raw!BW82),concatenate(floor(Raw!BW82/60,1),":",MOD(Raw!BW82,60)),Raw!BW82)</f>
        <v>2:9</v>
      </c>
      <c r="AN82" s="255">
        <f>Raw!BX82</f>
        <v>51</v>
      </c>
      <c r="AO82" s="256">
        <f>Raw!BZ82</f>
        <v>12.42105263</v>
      </c>
      <c r="AP82" s="256">
        <f>Raw!CA82</f>
        <v>6.900584795</v>
      </c>
      <c r="AQ82" s="255" t="str">
        <f>Raw!CB82</f>
        <v>oak - hickory</v>
      </c>
      <c r="AR82" s="255" t="str">
        <f>Raw!CC82</f>
        <v>Royal Oak</v>
      </c>
      <c r="AS82" s="244" t="str">
        <f>concatenate(floor(Raw!CE82/60,1),":",text(MOD(Raw!CE82,60),"00"),ifs(Raw!CF82="Y"," (E)", Raw!CF82="Y+"," +", isblank(Raw!CF82),""))</f>
        <v>3:56</v>
      </c>
      <c r="AT82" s="255" t="str">
        <f>Raw!CR82</f>
        <v>bottom</v>
      </c>
      <c r="AU82" s="256">
        <f>Raw!CS82</f>
        <v>5.4</v>
      </c>
      <c r="AV82" s="255" t="str">
        <f>Raw!CT82</f>
        <v>solid</v>
      </c>
      <c r="AW82" s="246">
        <f>if(Raw!CW82&gt;0,Raw!CW82,"None")</f>
        <v>0.1764705882</v>
      </c>
      <c r="AX82" s="246">
        <f>if(Raw!CX82&gt;0,Raw!CX82,"None")</f>
        <v>0.3141068181</v>
      </c>
      <c r="AY82" s="255" t="str">
        <f>Raw!CY82</f>
        <v/>
      </c>
      <c r="AZ82" s="255" t="str">
        <f>Raw!CZ82</f>
        <v/>
      </c>
      <c r="BA82" s="255" t="str">
        <f>Raw!DA82</f>
        <v/>
      </c>
      <c r="BB82" s="255" t="str">
        <f>Raw!DB82</f>
        <v>demonstration on site</v>
      </c>
      <c r="BC82" s="257" t="str">
        <f>Raw!DC82</f>
        <v>CAMELOT conference</v>
      </c>
      <c r="BD82" s="248"/>
    </row>
    <row r="83">
      <c r="A83" s="249">
        <f>Raw!A83</f>
        <v>79</v>
      </c>
      <c r="B83" s="250" t="str">
        <f>Raw!B83</f>
        <v>Norse in America</v>
      </c>
      <c r="C83" s="250" t="str">
        <f>Raw!C83</f>
        <v>Peterson, Robertson</v>
      </c>
      <c r="D83" s="250" t="str">
        <f>Raw!D83</f>
        <v>Wareham ON</v>
      </c>
      <c r="E83" s="251">
        <f>Raw!E83</f>
        <v>43386</v>
      </c>
      <c r="F83" s="250" t="str">
        <f>Raw!F83</f>
        <v>Viking Age</v>
      </c>
      <c r="G83" s="250" t="str">
        <f>Raw!G83</f>
        <v>Y</v>
      </c>
      <c r="H83" s="250" t="str">
        <f>Raw!H83</f>
        <v/>
      </c>
      <c r="I83" s="250" t="str">
        <f>Raw!I83</f>
        <v>short shaft on stone</v>
      </c>
      <c r="J83" s="250" t="str">
        <f>Raw!J83</f>
        <v>manure cobb</v>
      </c>
      <c r="K83" s="250" t="str">
        <f>if(isblank(Raw!K83),"",if(Raw!K83&gt;1,concatenate("Use ",Raw!K83," of Expt ",Raw!L83),"Use 1"))</f>
        <v/>
      </c>
      <c r="L83" s="250" t="str">
        <f>Raw!M83</f>
        <v>Circle</v>
      </c>
      <c r="M83" s="250" t="str">
        <f>Raw!N83</f>
        <v>cylinder</v>
      </c>
      <c r="N83" s="250">
        <f>Raw!O83</f>
        <v>73</v>
      </c>
      <c r="O83" s="250">
        <f>Raw!S83</f>
        <v>50</v>
      </c>
      <c r="P83" s="252">
        <f>Raw!T83</f>
        <v>39</v>
      </c>
      <c r="Q83" s="239">
        <f>if(L83="Rectangle",concatenate(Raw!U83," x ",Raw!V83),if(L83="Oval",concatenate(Raw!U83," by ",Raw!V83),if(isnumber(Raw!V83),concatenate(Raw!U83," to ",Raw!V83),Raw!U83)))</f>
        <v>27</v>
      </c>
      <c r="R83" s="239" t="str">
        <f>if(AND(Raw!Z83="Y",isnumber(Raw!X83)),concatenate(Raw!X83," (E)"),Raw!X83)</f>
        <v/>
      </c>
      <c r="S83" s="241">
        <f>Calcs!B83</f>
        <v>572.6</v>
      </c>
      <c r="T83" s="252" t="str">
        <f>Raw!AB83</f>
        <v>NR to 6</v>
      </c>
      <c r="U83" s="252" t="str">
        <f>Raw!AC83</f>
        <v>26 x 18</v>
      </c>
      <c r="V83" s="252" t="str">
        <f>Raw!AD83</f>
        <v>forged copper</v>
      </c>
      <c r="W83" s="212" t="str">
        <f>concatenate(Raw!AE83,if(Raw!AF83="Y"," (T)",))</f>
        <v>2.5 (T)</v>
      </c>
      <c r="X83" s="212" t="str">
        <f>concatenate(Raw!AG83,if(isblank(Raw!AH83),"",concatenate(" ",Raw!AH83)),if(isblank(Raw!AI83),""," (E)"))</f>
        <v>20 Down (E)</v>
      </c>
      <c r="Y83" s="212" t="str">
        <f>concatenate(Raw!AJ83,if(isblank(Raw!AK83),""," (E)"))</f>
        <v>5</v>
      </c>
      <c r="Z83" s="252" t="str">
        <f>Raw!AL83</f>
        <v>charcoal fines</v>
      </c>
      <c r="AA83" s="212" t="str">
        <f>concatenate(Raw!AO83,if(Raw!AP83="Y"," (E)",))</f>
        <v>5</v>
      </c>
      <c r="AB83" s="252" t="str">
        <f>Raw!AQ83</f>
        <v>electric blower</v>
      </c>
      <c r="AC83" s="212" t="str">
        <f>concatenate(ifs(istext(Raw!AT83),Raw!AT83,AND(Raw!AT83&gt;0,isblank(Raw!AS83)),concatenate(Raw!AT83," (A)"),AND(Raw!AR83&gt;0,Raw!AS83&gt;0),concatenate(Raw!AR83," to ",Raw!AS83),1,Raw!AS83),ifs(Raw!AU83="Y-","- (E)",Raw!AU83="Y"," (E)",1,))</f>
        <v>1100</v>
      </c>
      <c r="AD83" s="253">
        <f>Raw!AW83</f>
        <v>687.12</v>
      </c>
      <c r="AE83" s="239" t="str">
        <f>concatenate(Raw!AX83,if(isblank(Raw!AZ83),"",concatenate("/",Raw!AZ83)),if(isblank(Raw!BB83),"",concatenate("/",Raw!BB83)),if(isblank(Raw!BD83),"",concatenate("/",Raw!BD83)),if(isblank(Raw!BF83),"",concatenate("/",Raw!BF83)),if(Raw!BK83&gt;0,if(isblank(Raw!AX83),"Gromps","/Gromps"),))</f>
        <v>DD1Fa/Guy's Run Goethite</v>
      </c>
      <c r="AF83" s="239" t="str">
        <f>concatenate(round(Raw!AY83,1),if(isblank(Raw!AZ83),"",concatenate("/",round(Raw!BA83,1))),if(isblank(Raw!BB83),"",concatenate("/",round(Raw!BC83,1))),if(isblank(Raw!BD83),"",concatenate("/",round(Raw!BE83,1))),if(isblank(Raw!BF83),"",concatenate("/",round(Raw!BG83,1))),if(isblank(Raw!BK83),,concatenate("/",if(isnumber(Raw!BK83),round(Raw!BK83,1),Raw!BK83))))</f>
        <v>24/6</v>
      </c>
      <c r="AG83" s="241">
        <f>Raw!BL83</f>
        <v>30</v>
      </c>
      <c r="AH83" s="254">
        <f>Raw!BI83</f>
        <v>0.5654536968</v>
      </c>
      <c r="AI83" s="255" t="str">
        <f>Raw!BJ83</f>
        <v>roasted</v>
      </c>
      <c r="AJ83" s="255">
        <f>Raw!BM83</f>
        <v>1.2</v>
      </c>
      <c r="AK83" s="255" t="str">
        <f>Raw!BO83</f>
        <v>all to 25 / 10</v>
      </c>
      <c r="AL83" s="256" t="str">
        <f>Raw!BV83</f>
        <v>NR</v>
      </c>
      <c r="AM83" s="244" t="str">
        <f>if(ISNUMBER(Raw!BW83),concatenate(floor(Raw!BW83/60,1),":",MOD(Raw!BW83,60)),Raw!BW83)</f>
        <v>1:55</v>
      </c>
      <c r="AN83" s="255">
        <f>Raw!BX83</f>
        <v>58</v>
      </c>
      <c r="AO83" s="256">
        <f>Raw!BZ83</f>
        <v>14</v>
      </c>
      <c r="AP83" s="256">
        <f>Raw!CA83</f>
        <v>7.777777778</v>
      </c>
      <c r="AQ83" s="255" t="str">
        <f>Raw!CB83</f>
        <v>? hardwood</v>
      </c>
      <c r="AR83" s="255" t="str">
        <f>Raw!CC83</f>
        <v>NR</v>
      </c>
      <c r="AS83" s="244" t="str">
        <f>concatenate(floor(Raw!CE83/60,1),":",text(MOD(Raw!CE83,60),"00"),ifs(Raw!CF83="Y"," (E)", Raw!CF83="Y+"," +", isblank(Raw!CF83),""))</f>
        <v>4:12</v>
      </c>
      <c r="AT83" s="255" t="str">
        <f>Raw!CR83</f>
        <v>dismantled</v>
      </c>
      <c r="AU83" s="256">
        <f>Raw!CS83</f>
        <v>8.5</v>
      </c>
      <c r="AV83" s="255" t="str">
        <f>Raw!CT83</f>
        <v>solid</v>
      </c>
      <c r="AW83" s="246">
        <f>if(Raw!CW83&gt;0,Raw!CW83,"None")</f>
        <v>0.2833333333</v>
      </c>
      <c r="AX83" s="246">
        <f>if(Raw!CX83&gt;0,Raw!CX83,"None")</f>
        <v>0.5010725634</v>
      </c>
      <c r="AY83" s="255" t="str">
        <f>Raw!CY83</f>
        <v/>
      </c>
      <c r="AZ83" s="255" t="str">
        <f>Raw!CZ83</f>
        <v/>
      </c>
      <c r="BA83" s="255" t="str">
        <f>Raw!DA83</f>
        <v/>
      </c>
      <c r="BB83" s="255" t="str">
        <f>Raw!DB83</f>
        <v/>
      </c>
      <c r="BC83" s="257" t="str">
        <f>Raw!DC83</f>
        <v>Americas Lost Vikings' filming</v>
      </c>
      <c r="BD83" s="248"/>
    </row>
    <row r="84">
      <c r="A84" s="249">
        <f>Raw!A84</f>
        <v>80</v>
      </c>
      <c r="B84" s="250" t="str">
        <f>Raw!B84</f>
        <v>Roman Passive</v>
      </c>
      <c r="C84" s="250" t="str">
        <f>Raw!C84</f>
        <v>Peterson</v>
      </c>
      <c r="D84" s="250" t="str">
        <f>Raw!D84</f>
        <v>Wareham ON</v>
      </c>
      <c r="E84" s="251">
        <f>Raw!E84</f>
        <v>43391</v>
      </c>
      <c r="F84" s="250" t="str">
        <f>Raw!F84</f>
        <v>Roman</v>
      </c>
      <c r="G84" s="250" t="str">
        <f>Raw!G84</f>
        <v>N</v>
      </c>
      <c r="H84" s="250" t="str">
        <f>Raw!H84</f>
        <v/>
      </c>
      <c r="I84" s="250" t="str">
        <f>Raw!I84</f>
        <v>tall shaft</v>
      </c>
      <c r="J84" s="250" t="str">
        <f>Raw!J84</f>
        <v>manure cobb</v>
      </c>
      <c r="K84" s="250" t="str">
        <f>if(isblank(Raw!K84),"",if(Raw!K84&gt;1,concatenate("Use ",Raw!K84," of Expt ",Raw!L84),"Use 1"))</f>
        <v>Use 1</v>
      </c>
      <c r="L84" s="250" t="str">
        <f>Raw!M84</f>
        <v>Circle</v>
      </c>
      <c r="M84" s="250" t="str">
        <f>Raw!N84</f>
        <v>cylinder</v>
      </c>
      <c r="N84" s="250">
        <f>Raw!O84</f>
        <v>185</v>
      </c>
      <c r="O84" s="250">
        <f>Raw!S84</f>
        <v>165</v>
      </c>
      <c r="P84" s="252" t="str">
        <f>Raw!T84</f>
        <v>47 to 37</v>
      </c>
      <c r="Q84" s="239">
        <f>if(L84="Rectangle",concatenate(Raw!U84," x ",Raw!V84),if(L84="Oval",concatenate(Raw!U84," by ",Raw!V84),if(isnumber(Raw!V84),concatenate(Raw!U84," to ",Raw!V84),Raw!U84)))</f>
        <v>27</v>
      </c>
      <c r="R84" s="239" t="str">
        <f>if(AND(Raw!Z84="Y",isnumber(Raw!X84)),concatenate(Raw!X84," (E)"),Raw!X84)</f>
        <v/>
      </c>
      <c r="S84" s="241">
        <f>Calcs!B84</f>
        <v>572.6</v>
      </c>
      <c r="T84" s="252" t="str">
        <f>Raw!AB84</f>
        <v>10 to 5</v>
      </c>
      <c r="U84" s="252" t="str">
        <f>Raw!AC84</f>
        <v>none</v>
      </c>
      <c r="V84" s="252" t="str">
        <f>Raw!AD84</f>
        <v> 4 x steel pipe</v>
      </c>
      <c r="W84" s="212" t="str">
        <f>concatenate(Raw!AE84,if(Raw!AF84="Y"," (T)",))</f>
        <v>3</v>
      </c>
      <c r="X84" s="212" t="str">
        <f>concatenate(Raw!AG84,if(isblank(Raw!AH84),"",concatenate(" ",Raw!AH84)),if(isblank(Raw!AI84),""," (E)"))</f>
        <v>20 Down</v>
      </c>
      <c r="Y84" s="212" t="str">
        <f>concatenate(Raw!AJ84,if(isblank(Raw!AK84),""," (E)"))</f>
        <v>8</v>
      </c>
      <c r="Z84" s="252" t="str">
        <f>Raw!AL84</f>
        <v>wood ash</v>
      </c>
      <c r="AA84" s="212" t="str">
        <f>concatenate(Raw!AO84,if(Raw!AP84="Y"," (E)",))</f>
        <v>20</v>
      </c>
      <c r="AB84" s="252" t="str">
        <f>Raw!AQ84</f>
        <v>passive</v>
      </c>
      <c r="AC84" s="212" t="str">
        <f>concatenate(ifs(istext(Raw!AT84),Raw!AT84,AND(Raw!AT84&gt;0,isblank(Raw!AS84)),concatenate(Raw!AT84," (A)"),AND(Raw!AR84&gt;0,Raw!AS84&gt;0),concatenate(Raw!AR84," to ",Raw!AS84),1,Raw!AS84),ifs(Raw!AU84="Y-","- (E)",Raw!AU84="Y"," (E)",1,))</f>
        <v>NR</v>
      </c>
      <c r="AD84" s="253">
        <f>Raw!AW84</f>
        <v>687.12</v>
      </c>
      <c r="AE84" s="239" t="str">
        <f>concatenate(Raw!AX84,if(isblank(Raw!AZ84),"",concatenate("/",Raw!AZ84)),if(isblank(Raw!BB84),"",concatenate("/",Raw!BB84)),if(isblank(Raw!BD84),"",concatenate("/",Raw!BD84)),if(isblank(Raw!BF84),"",concatenate("/",Raw!BF84)),if(Raw!BK84&gt;0,if(isblank(Raw!AX84),"Gromps","/Gromps"),))</f>
        <v>Bratton's Run Goethite/DD1Fa</v>
      </c>
      <c r="AF84" s="239" t="str">
        <f>concatenate(round(Raw!AY84,1),if(isblank(Raw!AZ84),"",concatenate("/",round(Raw!BA84,1))),if(isblank(Raw!BB84),"",concatenate("/",round(Raw!BC84,1))),if(isblank(Raw!BD84),"",concatenate("/",round(Raw!BE84,1))),if(isblank(Raw!BF84),"",concatenate("/",round(Raw!BG84,1))),if(isblank(Raw!BK84),,concatenate("/",if(isnumber(Raw!BK84),round(Raw!BK84,1),Raw!BK84))))</f>
        <v>13/5.8</v>
      </c>
      <c r="AG84" s="241">
        <f>Raw!BL84</f>
        <v>18.8</v>
      </c>
      <c r="AH84" s="254">
        <f>Raw!BI84</f>
        <v>0.4869245253</v>
      </c>
      <c r="AI84" s="255" t="str">
        <f>Raw!BJ84</f>
        <v>roasted</v>
      </c>
      <c r="AJ84" s="255" t="str">
        <f>Raw!BM84</f>
        <v/>
      </c>
      <c r="AK84" s="255" t="str">
        <f>Raw!BO84</f>
        <v>all to 10 / 25</v>
      </c>
      <c r="AL84" s="256" t="str">
        <f>Raw!BV84</f>
        <v>NR</v>
      </c>
      <c r="AM84" s="244" t="str">
        <f>if(ISNUMBER(Raw!BW84),concatenate(floor(Raw!BW84/60,1),":",MOD(Raw!BW84,60)),Raw!BW84)</f>
        <v>0:46</v>
      </c>
      <c r="AN84" s="255">
        <f>Raw!BX84</f>
        <v>46</v>
      </c>
      <c r="AO84" s="256">
        <f>Raw!BZ84</f>
        <v>24.125</v>
      </c>
      <c r="AP84" s="256">
        <f>Raw!CA84</f>
        <v>9.747474747</v>
      </c>
      <c r="AQ84" s="255" t="str">
        <f>Raw!CB84</f>
        <v>maple</v>
      </c>
      <c r="AR84" s="255" t="str">
        <f>Raw!CC84</f>
        <v>Maple Leaf</v>
      </c>
      <c r="AS84" s="244" t="str">
        <f>concatenate(floor(Raw!CE84/60,1),":",text(MOD(Raw!CE84,60),"00"),ifs(Raw!CF84="Y"," (E)", Raw!CF84="Y+"," +", isblank(Raw!CF84),""))</f>
        <v>3:13</v>
      </c>
      <c r="AT84" s="255" t="str">
        <f>Raw!CR84</f>
        <v>dismantled</v>
      </c>
      <c r="AU84" s="256">
        <f>Raw!CS84</f>
        <v>0</v>
      </c>
      <c r="AV84" s="255" t="str">
        <f>Raw!CT84</f>
        <v>na</v>
      </c>
      <c r="AW84" s="246" t="str">
        <f>if(Raw!CW84&gt;0,Raw!CW84,"None")</f>
        <v>na</v>
      </c>
      <c r="AX84" s="246" t="str">
        <f>if(Raw!CX84&gt;0,Raw!CX84,"None")</f>
        <v>na</v>
      </c>
      <c r="AY84" s="255" t="str">
        <f>Raw!CY84</f>
        <v/>
      </c>
      <c r="AZ84" s="255" t="str">
        <f>Raw!CZ84</f>
        <v/>
      </c>
      <c r="BA84" s="255" t="str">
        <f>Raw!DA84</f>
        <v>Roman / Rehder</v>
      </c>
      <c r="BB84" s="255" t="str">
        <f>Raw!DB84</f>
        <v>theoretical system</v>
      </c>
      <c r="BC84" s="257" t="str">
        <f>Raw!DC84</f>
        <v>charcoal 5 - 35, low temperatures</v>
      </c>
      <c r="BD84" s="248"/>
    </row>
    <row r="85">
      <c r="A85" s="249">
        <f>Raw!A85</f>
        <v>81</v>
      </c>
      <c r="B85" s="250" t="str">
        <f>Raw!B85</f>
        <v>Gromps</v>
      </c>
      <c r="C85" s="250" t="str">
        <f>Raw!C85</f>
        <v>Peterson</v>
      </c>
      <c r="D85" s="250" t="str">
        <f>Raw!D85</f>
        <v>Wareham ON</v>
      </c>
      <c r="E85" s="251">
        <f>Raw!E85</f>
        <v>43407</v>
      </c>
      <c r="F85" s="250" t="str">
        <f>Raw!F85</f>
        <v>Viking Age</v>
      </c>
      <c r="G85" s="250" t="str">
        <f>Raw!G85</f>
        <v>N</v>
      </c>
      <c r="H85" s="250" t="str">
        <f>Raw!H85</f>
        <v/>
      </c>
      <c r="I85" s="250" t="str">
        <f>Raw!I85</f>
        <v>short shaft on block</v>
      </c>
      <c r="J85" s="250" t="str">
        <f>Raw!J85</f>
        <v>manure cobb</v>
      </c>
      <c r="K85" s="250" t="str">
        <f>if(isblank(Raw!K85),"",if(Raw!K85&gt;1,concatenate("Use ",Raw!K85," of Expt ",Raw!L85),"Use 1"))</f>
        <v>Use 2 of Expt 80</v>
      </c>
      <c r="L85" s="250" t="str">
        <f>Raw!M85</f>
        <v>Circle</v>
      </c>
      <c r="M85" s="250" t="str">
        <f>Raw!N85</f>
        <v>cylinder</v>
      </c>
      <c r="N85" s="250">
        <f>Raw!O85</f>
        <v>70</v>
      </c>
      <c r="O85" s="250">
        <f>Raw!S85</f>
        <v>50</v>
      </c>
      <c r="P85" s="252">
        <f>Raw!T85</f>
        <v>40</v>
      </c>
      <c r="Q85" s="239">
        <f>if(L85="Rectangle",concatenate(Raw!U85," x ",Raw!V85),if(L85="Oval",concatenate(Raw!U85," by ",Raw!V85),if(isnumber(Raw!V85),concatenate(Raw!U85," to ",Raw!V85),Raw!U85)))</f>
        <v>30</v>
      </c>
      <c r="R85" s="239" t="str">
        <f>if(AND(Raw!Z85="Y",isnumber(Raw!X85)),concatenate(Raw!X85," (E)"),Raw!X85)</f>
        <v/>
      </c>
      <c r="S85" s="241">
        <f>Calcs!B85</f>
        <v>706.9</v>
      </c>
      <c r="T85" s="252">
        <f>Raw!AB85</f>
        <v>5</v>
      </c>
      <c r="U85" s="252" t="str">
        <f>Raw!AC85</f>
        <v>none</v>
      </c>
      <c r="V85" s="252" t="str">
        <f>Raw!AD85</f>
        <v>forged copper</v>
      </c>
      <c r="W85" s="212" t="str">
        <f>concatenate(Raw!AE85,if(Raw!AF85="Y"," (T)",))</f>
        <v>2.5 (T)</v>
      </c>
      <c r="X85" s="212" t="str">
        <f>concatenate(Raw!AG85,if(isblank(Raw!AH85),"",concatenate(" ",Raw!AH85)),if(isblank(Raw!AI85),""," (E)"))</f>
        <v>22 Down</v>
      </c>
      <c r="Y85" s="212" t="str">
        <f>concatenate(Raw!AJ85,if(isblank(Raw!AK85),""," (E)"))</f>
        <v>5</v>
      </c>
      <c r="Z85" s="252" t="str">
        <f>Raw!AL85</f>
        <v>charcoal fines</v>
      </c>
      <c r="AA85" s="212" t="str">
        <f>concatenate(Raw!AO85,if(Raw!AP85="Y"," (E)",))</f>
        <v>20</v>
      </c>
      <c r="AB85" s="252" t="str">
        <f>Raw!AQ85</f>
        <v>electric blower</v>
      </c>
      <c r="AC85" s="212" t="str">
        <f>concatenate(ifs(istext(Raw!AT85),Raw!AT85,AND(Raw!AT85&gt;0,isblank(Raw!AS85)),concatenate(Raw!AT85," (A)"),AND(Raw!AR85&gt;0,Raw!AS85&gt;0),concatenate(Raw!AR85," to ",Raw!AS85),1,Raw!AS85),ifs(Raw!AU85="Y-","- (E)",Raw!AU85="Y"," (E)",1,))</f>
        <v>800 to 900</v>
      </c>
      <c r="AD85" s="253">
        <f>Raw!AW85</f>
        <v>848.28</v>
      </c>
      <c r="AE85" s="239" t="str">
        <f>concatenate(Raw!AX85,if(isblank(Raw!AZ85),"",concatenate("/",Raw!AZ85)),if(isblank(Raw!BB85),"",concatenate("/",Raw!BB85)),if(isblank(Raw!BD85),"",concatenate("/",Raw!BD85)),if(isblank(Raw!BF85),"",concatenate("/",Raw!BF85)),if(Raw!BK85&gt;0,if(isblank(Raw!AX85),"Gromps","/Gromps"),))</f>
        <v>Gromps</v>
      </c>
      <c r="AF85" s="239" t="str">
        <f>concatenate(round(Raw!AY85,1),if(isblank(Raw!AZ85),"",concatenate("/",round(Raw!BA85,1))),if(isblank(Raw!BB85),"",concatenate("/",round(Raw!BC85,1))),if(isblank(Raw!BD85),"",concatenate("/",round(Raw!BE85,1))),if(isblank(Raw!BF85),"",concatenate("/",round(Raw!BG85,1))),if(isblank(Raw!BK85),,concatenate("/",if(isnumber(Raw!BK85),round(Raw!BK85,1),Raw!BK85))))</f>
        <v>0/14.5</v>
      </c>
      <c r="AG85" s="241">
        <f>Raw!BL85</f>
        <v>14.5</v>
      </c>
      <c r="AH85" s="254" t="str">
        <f>Raw!BI85</f>
        <v>na</v>
      </c>
      <c r="AI85" s="255" t="str">
        <f>Raw!BJ85</f>
        <v>raw</v>
      </c>
      <c r="AJ85" s="255">
        <f>Raw!BM85</f>
        <v>3.5</v>
      </c>
      <c r="AK85" s="255" t="str">
        <f>Raw!BO85</f>
        <v>NR</v>
      </c>
      <c r="AL85" s="256" t="str">
        <f>Raw!BV85</f>
        <v>NR</v>
      </c>
      <c r="AM85" s="244" t="str">
        <f>if(ISNUMBER(Raw!BW85),concatenate(floor(Raw!BW85/60,1),":",MOD(Raw!BW85,60)),Raw!BW85)</f>
        <v>0:52</v>
      </c>
      <c r="AN85" s="255">
        <f>Raw!BX85</f>
        <v>57</v>
      </c>
      <c r="AO85" s="256">
        <f>Raw!BZ85</f>
        <v>11.92857143</v>
      </c>
      <c r="AP85" s="256">
        <f>Raw!CA85</f>
        <v>6.626984127</v>
      </c>
      <c r="AQ85" s="255" t="str">
        <f>Raw!CB85</f>
        <v>maple</v>
      </c>
      <c r="AR85" s="255" t="str">
        <f>Raw!CC85</f>
        <v>Maple Leaf</v>
      </c>
      <c r="AS85" s="244" t="str">
        <f>concatenate(floor(Raw!CE85/60,1),":",text(MOD(Raw!CE85,60),"00"),ifs(Raw!CF85="Y"," (E)", Raw!CF85="Y+"," +", isblank(Raw!CF85),""))</f>
        <v>2:47</v>
      </c>
      <c r="AT85" s="255" t="str">
        <f>Raw!CR85</f>
        <v>top</v>
      </c>
      <c r="AU85" s="256">
        <f>Raw!CS85</f>
        <v>8</v>
      </c>
      <c r="AV85" s="255" t="str">
        <f>Raw!CT85</f>
        <v>lumps</v>
      </c>
      <c r="AW85" s="246">
        <f>if(Raw!CW85&gt;0,Raw!CW85,"None")</f>
        <v>0.5517241379</v>
      </c>
      <c r="AX85" s="246" t="str">
        <f>if(Raw!CX85&gt;0,Raw!CX85,"None")</f>
        <v>?</v>
      </c>
      <c r="AY85" s="255" t="str">
        <f>Raw!CY85</f>
        <v/>
      </c>
      <c r="AZ85" s="255" t="str">
        <f>Raw!CZ85</f>
        <v/>
      </c>
      <c r="BA85" s="255" t="str">
        <f>Raw!DA85</f>
        <v>Espelund</v>
      </c>
      <c r="BB85" s="255" t="str">
        <f>Raw!DB85</f>
        <v>theoretical method</v>
      </c>
      <c r="BC85" s="257" t="str">
        <f>Raw!DC85</f>
        <v>although iron recovered, more control needed</v>
      </c>
      <c r="BD85" s="248"/>
    </row>
    <row r="86">
      <c r="A86" s="249">
        <f>Raw!A86</f>
        <v>82</v>
      </c>
      <c r="B86" s="250" t="str">
        <f>Raw!B86</f>
        <v>Stone Block A</v>
      </c>
      <c r="C86" s="250" t="str">
        <f>Raw!C86</f>
        <v>Goltz, Cogswell</v>
      </c>
      <c r="D86" s="250" t="str">
        <f>Raw!D86</f>
        <v>Wareham ON</v>
      </c>
      <c r="E86" s="251">
        <f>Raw!E86</f>
        <v>43638</v>
      </c>
      <c r="F86" s="250" t="str">
        <f>Raw!F86</f>
        <v>Viking Age</v>
      </c>
      <c r="G86" s="250" t="str">
        <f>Raw!G86</f>
        <v>N</v>
      </c>
      <c r="H86" s="250" t="str">
        <f>Raw!H86</f>
        <v/>
      </c>
      <c r="I86" s="250" t="str">
        <f>Raw!I86</f>
        <v>medium shaft</v>
      </c>
      <c r="J86" s="250" t="str">
        <f>Raw!J86</f>
        <v>stone blocks, clay seal</v>
      </c>
      <c r="K86" s="250" t="str">
        <f>if(isblank(Raw!K86),"",if(Raw!K86&gt;1,concatenate("Use ",Raw!K86," of Expt ",Raw!L86),"Use 1"))</f>
        <v>Use 1</v>
      </c>
      <c r="L86" s="250" t="str">
        <f>Raw!M86</f>
        <v>Circle to Oval</v>
      </c>
      <c r="M86" s="250" t="str">
        <f>Raw!N86</f>
        <v>conical</v>
      </c>
      <c r="N86" s="250">
        <f>Raw!O86</f>
        <v>100</v>
      </c>
      <c r="O86" s="250">
        <f>Raw!S86</f>
        <v>70</v>
      </c>
      <c r="P86" s="252" t="str">
        <f>Raw!T86</f>
        <v>60 to 45</v>
      </c>
      <c r="Q86" s="239" t="str">
        <f>if(L86="Rectangle",concatenate(Raw!U86," x ",Raw!V86),if(L86="Oval",concatenate(Raw!U86," by ",Raw!V86),if(isnumber(Raw!V86),concatenate(Raw!U86," to ",Raw!V86),Raw!U86)))</f>
        <v>30 to 20</v>
      </c>
      <c r="R86" s="239">
        <f>if(AND(Raw!Z86="Y",isnumber(Raw!X86)),concatenate(Raw!X86," (E)"),Raw!X86)</f>
        <v>25</v>
      </c>
      <c r="S86" s="241">
        <f>Calcs!B86</f>
        <v>490.9</v>
      </c>
      <c r="T86" s="252" t="str">
        <f>Raw!AB86</f>
        <v>15 to 10</v>
      </c>
      <c r="U86" s="252" t="str">
        <f>Raw!AC86</f>
        <v>30 x 18</v>
      </c>
      <c r="V86" s="252" t="str">
        <f>Raw!AD86</f>
        <v>forged copper</v>
      </c>
      <c r="W86" s="212" t="str">
        <f>concatenate(Raw!AE86,if(Raw!AF86="Y"," (T)",))</f>
        <v>2.5 (T)</v>
      </c>
      <c r="X86" s="212" t="str">
        <f>concatenate(Raw!AG86,if(isblank(Raw!AH86),"",concatenate(" ",Raw!AH86)),if(isblank(Raw!AI86),""," (E)"))</f>
        <v>22 Down</v>
      </c>
      <c r="Y86" s="212" t="str">
        <f>concatenate(Raw!AJ86,if(isblank(Raw!AK86),""," (E)"))</f>
        <v>NR</v>
      </c>
      <c r="Z86" s="252" t="str">
        <f>Raw!AL86</f>
        <v>wood ash</v>
      </c>
      <c r="AA86" s="212" t="str">
        <f>concatenate(Raw!AO86,if(Raw!AP86="Y"," (E)",))</f>
        <v>15</v>
      </c>
      <c r="AB86" s="252" t="str">
        <f>Raw!AQ86</f>
        <v>electric blower</v>
      </c>
      <c r="AC86" s="212" t="str">
        <f>concatenate(ifs(istext(Raw!AT86),Raw!AT86,AND(Raw!AT86&gt;0,isblank(Raw!AS86)),concatenate(Raw!AT86," (A)"),AND(Raw!AR86&gt;0,Raw!AS86&gt;0),concatenate(Raw!AR86," to ",Raw!AS86),1,Raw!AS86),ifs(Raw!AU86="Y-","- (E)",Raw!AU86="Y"," (E)",1,))</f>
        <v>900</v>
      </c>
      <c r="AD86" s="253">
        <f>Raw!AW86</f>
        <v>589.08</v>
      </c>
      <c r="AE86" s="239" t="str">
        <f>concatenate(Raw!AX86,if(isblank(Raw!AZ86),"",concatenate("/",Raw!AZ86)),if(isblank(Raw!BB86),"",concatenate("/",Raw!BB86)),if(isblank(Raw!BD86),"",concatenate("/",Raw!BD86)),if(isblank(Raw!BF86),"",concatenate("/",Raw!BF86)),if(Raw!BK86&gt;0,if(isblank(Raw!AX86),"Gromps","/Gromps"),))</f>
        <v>DD1Fb</v>
      </c>
      <c r="AF86" s="239" t="str">
        <f>concatenate(round(Raw!AY86,1),if(isblank(Raw!AZ86),"",concatenate("/",round(Raw!BA86,1))),if(isblank(Raw!BB86),"",concatenate("/",round(Raw!BC86,1))),if(isblank(Raw!BD86),"",concatenate("/",round(Raw!BE86,1))),if(isblank(Raw!BF86),"",concatenate("/",round(Raw!BG86,1))),if(isblank(Raw!BK86),,concatenate("/",if(isnumber(Raw!BK86),round(Raw!BK86,1),Raw!BK86))))</f>
        <v>26.3</v>
      </c>
      <c r="AG86" s="241">
        <f>Raw!BL86</f>
        <v>26.3</v>
      </c>
      <c r="AH86" s="254">
        <f>Raw!BI86</f>
        <v>0.5726600436</v>
      </c>
      <c r="AI86" s="255" t="str">
        <f>Raw!BJ86</f>
        <v>raw</v>
      </c>
      <c r="AJ86" s="255">
        <f>Raw!BM86</f>
        <v>2.8</v>
      </c>
      <c r="AK86" s="255" t="str">
        <f>Raw!BO86</f>
        <v>all to 25</v>
      </c>
      <c r="AL86" s="256">
        <f>Raw!BV86</f>
        <v>8.310344828</v>
      </c>
      <c r="AM86" s="244" t="str">
        <f>if(ISNUMBER(Raw!BW86),concatenate(floor(Raw!BW86/60,1),":",MOD(Raw!BW86,60)),Raw!BW86)</f>
        <v>2:17</v>
      </c>
      <c r="AN86" s="255">
        <f>Raw!BX86</f>
        <v>58</v>
      </c>
      <c r="AO86" s="256">
        <f>Raw!BZ86</f>
        <v>14.9375</v>
      </c>
      <c r="AP86" s="256">
        <f>Raw!CA86</f>
        <v>7.945478723</v>
      </c>
      <c r="AQ86" s="255" t="str">
        <f>Raw!CB86</f>
        <v>maple</v>
      </c>
      <c r="AR86" s="255" t="str">
        <f>Raw!CC86</f>
        <v>Maple Leaf</v>
      </c>
      <c r="AS86" s="244" t="str">
        <f>concatenate(floor(Raw!CE86/60,1),":",text(MOD(Raw!CE86,60),"00"),ifs(Raw!CF86="Y"," (E)", Raw!CF86="Y+"," +", isblank(Raw!CF86),""))</f>
        <v>3:59</v>
      </c>
      <c r="AT86" s="255" t="str">
        <f>Raw!CR86</f>
        <v>bottom</v>
      </c>
      <c r="AU86" s="256">
        <f>Raw!CS86</f>
        <v>7.03</v>
      </c>
      <c r="AV86" s="255" t="str">
        <f>Raw!CT86</f>
        <v>disk</v>
      </c>
      <c r="AW86" s="246">
        <f>if(Raw!CW86&gt;0,Raw!CW86,"None")</f>
        <v>0.2673003802</v>
      </c>
      <c r="AX86" s="246">
        <f>if(Raw!CX86&gt;0,Raw!CX86,"None")</f>
        <v>0.466769741</v>
      </c>
      <c r="AY86" s="255" t="str">
        <f>Raw!CY86</f>
        <v/>
      </c>
      <c r="AZ86" s="255" t="str">
        <f>Raw!CZ86</f>
        <v/>
      </c>
      <c r="BA86" s="255" t="str">
        <f>Raw!DA86</f>
        <v>Iceland</v>
      </c>
      <c r="BB86" s="255" t="str">
        <f>Raw!DB86</f>
        <v>theoretical system</v>
      </c>
      <c r="BC86" s="257" t="str">
        <f>Raw!DC86</f>
        <v>use of granite blocks</v>
      </c>
      <c r="BD86" s="248"/>
    </row>
    <row r="87">
      <c r="A87" s="249">
        <f>Raw!A87</f>
        <v>83</v>
      </c>
      <c r="B87" s="250" t="str">
        <f>Raw!B87</f>
        <v>Block / Slag Bowl</v>
      </c>
      <c r="C87" s="250" t="str">
        <f>Raw!C87</f>
        <v>Peterson, Burton</v>
      </c>
      <c r="D87" s="250" t="str">
        <f>Raw!D87</f>
        <v>Wareham ON</v>
      </c>
      <c r="E87" s="251">
        <f>Raw!E87</f>
        <v>43751</v>
      </c>
      <c r="F87" s="250" t="str">
        <f>Raw!F87</f>
        <v>Viking Age</v>
      </c>
      <c r="G87" s="250" t="str">
        <f>Raw!G87</f>
        <v>N</v>
      </c>
      <c r="H87" s="250" t="str">
        <f>Raw!H87</f>
        <v/>
      </c>
      <c r="I87" s="250" t="str">
        <f>Raw!I87</f>
        <v>medium shaft</v>
      </c>
      <c r="J87" s="250" t="str">
        <f>Raw!J87</f>
        <v>stone blocks, clay seal</v>
      </c>
      <c r="K87" s="250" t="str">
        <f>if(isblank(Raw!K87),"",if(Raw!K87&gt;1,concatenate("Use ",Raw!K87," of Expt ",Raw!L87),"Use 1"))</f>
        <v>Use 2 of Expt 82</v>
      </c>
      <c r="L87" s="250" t="str">
        <f>Raw!M87</f>
        <v>Circle to Oval</v>
      </c>
      <c r="M87" s="250" t="str">
        <f>Raw!N87</f>
        <v>conical</v>
      </c>
      <c r="N87" s="250">
        <f>Raw!O87</f>
        <v>100</v>
      </c>
      <c r="O87" s="250">
        <f>Raw!S87</f>
        <v>70</v>
      </c>
      <c r="P87" s="252" t="str">
        <f>Raw!T87</f>
        <v>60 to 45</v>
      </c>
      <c r="Q87" s="239" t="str">
        <f>if(L87="Rectangle",concatenate(Raw!U87," x ",Raw!V87),if(L87="Oval",concatenate(Raw!U87," by ",Raw!V87),if(isnumber(Raw!V87),concatenate(Raw!U87," to ",Raw!V87),Raw!U87)))</f>
        <v>30 to 20</v>
      </c>
      <c r="R87" s="239">
        <f>if(AND(Raw!Z87="Y",isnumber(Raw!X87)),concatenate(Raw!X87," (E)"),Raw!X87)</f>
        <v>25</v>
      </c>
      <c r="S87" s="241">
        <f>Calcs!B87</f>
        <v>490.9</v>
      </c>
      <c r="T87" s="252" t="str">
        <f>Raw!AB87</f>
        <v>15 to 10</v>
      </c>
      <c r="U87" s="252" t="str">
        <f>Raw!AC87</f>
        <v>30 x 20</v>
      </c>
      <c r="V87" s="252" t="str">
        <f>Raw!AD87</f>
        <v>forged copper</v>
      </c>
      <c r="W87" s="212" t="str">
        <f>concatenate(Raw!AE87,if(Raw!AF87="Y"," (T)",))</f>
        <v>2.5 (T)</v>
      </c>
      <c r="X87" s="212" t="str">
        <f>concatenate(Raw!AG87,if(isblank(Raw!AH87),"",concatenate(" ",Raw!AH87)),if(isblank(Raw!AI87),""," (E)"))</f>
        <v>22 Down</v>
      </c>
      <c r="Y87" s="212" t="str">
        <f>concatenate(Raw!AJ87,if(isblank(Raw!AK87),""," (E)"))</f>
        <v>NR</v>
      </c>
      <c r="Z87" s="252" t="str">
        <f>Raw!AL87</f>
        <v>previous bowl</v>
      </c>
      <c r="AA87" s="212" t="str">
        <f>concatenate(Raw!AO87,if(Raw!AP87="Y"," (E)",))</f>
        <v>10</v>
      </c>
      <c r="AB87" s="252" t="str">
        <f>Raw!AQ87</f>
        <v>electric blower</v>
      </c>
      <c r="AC87" s="212" t="str">
        <f>concatenate(ifs(istext(Raw!AT87),Raw!AT87,AND(Raw!AT87&gt;0,isblank(Raw!AS87)),concatenate(Raw!AT87," (A)"),AND(Raw!AR87&gt;0,Raw!AS87&gt;0),concatenate(Raw!AR87," to ",Raw!AS87),1,Raw!AS87),ifs(Raw!AU87="Y-","- (E)",Raw!AU87="Y"," (E)",1,))</f>
        <v>1000</v>
      </c>
      <c r="AD87" s="253">
        <f>Raw!AW87</f>
        <v>589.08</v>
      </c>
      <c r="AE87" s="239" t="str">
        <f>concatenate(Raw!AX87,if(isblank(Raw!AZ87),"",concatenate("/",Raw!AZ87)),if(isblank(Raw!BB87),"",concatenate("/",Raw!BB87)),if(isblank(Raw!BD87),"",concatenate("/",Raw!BD87)),if(isblank(Raw!BF87),"",concatenate("/",Raw!BF87)),if(Raw!BK87&gt;0,if(isblank(Raw!AX87),"Gromps","/Gromps"),))</f>
        <v>DD1Fb</v>
      </c>
      <c r="AF87" s="239" t="str">
        <f>concatenate(round(Raw!AY87,1),if(isblank(Raw!AZ87),"",concatenate("/",round(Raw!BA87,1))),if(isblank(Raw!BB87),"",concatenate("/",round(Raw!BC87,1))),if(isblank(Raw!BD87),"",concatenate("/",round(Raw!BE87,1))),if(isblank(Raw!BF87),"",concatenate("/",round(Raw!BG87,1))),if(isblank(Raw!BK87),,concatenate("/",if(isnumber(Raw!BK87),round(Raw!BK87,1),Raw!BK87))))</f>
        <v>26.2</v>
      </c>
      <c r="AG87" s="241">
        <f>Raw!BL87</f>
        <v>26.2</v>
      </c>
      <c r="AH87" s="254">
        <f>Raw!BI87</f>
        <v>0.5726600436</v>
      </c>
      <c r="AI87" s="255" t="str">
        <f>Raw!BJ87</f>
        <v>raw</v>
      </c>
      <c r="AJ87" s="255" t="str">
        <f>Raw!BM87</f>
        <v/>
      </c>
      <c r="AK87" s="255" t="str">
        <f>Raw!BO87</f>
        <v>all to 25</v>
      </c>
      <c r="AL87" s="256">
        <f>Raw!BV87</f>
        <v>6.3125</v>
      </c>
      <c r="AM87" s="244" t="str">
        <f>if(ISNUMBER(Raw!BW87),concatenate(floor(Raw!BW87/60,1),":",MOD(Raw!BW87,60)),Raw!BW87)</f>
        <v>1:31</v>
      </c>
      <c r="AN87" s="255">
        <f>Raw!BX87</f>
        <v>48</v>
      </c>
      <c r="AO87" s="256">
        <f>Raw!BZ87</f>
        <v>12.66666667</v>
      </c>
      <c r="AP87" s="256">
        <f>Raw!CA87</f>
        <v>6.597222222</v>
      </c>
      <c r="AQ87" s="255" t="str">
        <f>Raw!CB87</f>
        <v>maple</v>
      </c>
      <c r="AR87" s="255" t="str">
        <f>Raw!CC87</f>
        <v>Maple Leaf</v>
      </c>
      <c r="AS87" s="244" t="str">
        <f>concatenate(floor(Raw!CE87/60,1),":",text(MOD(Raw!CE87,60),"00"),ifs(Raw!CF87="Y"," (E)", Raw!CF87="Y+"," +", isblank(Raw!CF87),""))</f>
        <v>3:10</v>
      </c>
      <c r="AT87" s="255" t="str">
        <f>Raw!CR87</f>
        <v>bottom</v>
      </c>
      <c r="AU87" s="256">
        <f>Raw!CS87</f>
        <v>6.3</v>
      </c>
      <c r="AV87" s="255" t="str">
        <f>Raw!CT87</f>
        <v>solid</v>
      </c>
      <c r="AW87" s="246">
        <f>if(Raw!CW87&gt;0,Raw!CW87,"None")</f>
        <v>0.2404580153</v>
      </c>
      <c r="AX87" s="246">
        <f>if(Raw!CX87&gt;0,Raw!CX87,"None")</f>
        <v>0.4198966175</v>
      </c>
      <c r="AY87" s="255" t="str">
        <f>Raw!CY87</f>
        <v/>
      </c>
      <c r="AZ87" s="255" t="str">
        <f>Raw!CZ87</f>
        <v/>
      </c>
      <c r="BA87" s="255" t="str">
        <f>Raw!DA87</f>
        <v>Iceland</v>
      </c>
      <c r="BB87" s="255" t="str">
        <f>Raw!DB87</f>
        <v>previous slag bowl remains left in place</v>
      </c>
      <c r="BC87" s="257" t="str">
        <f>Raw!DC87</f>
        <v>2nd use of furnace</v>
      </c>
      <c r="BD87" s="248"/>
    </row>
    <row r="88">
      <c r="A88" s="249">
        <f>Raw!A88</f>
        <v>84</v>
      </c>
      <c r="B88" s="250" t="str">
        <f>Raw!B88</f>
        <v>Stone Block C</v>
      </c>
      <c r="C88" s="250" t="str">
        <f>Raw!C88</f>
        <v>Peterson, Cogswell</v>
      </c>
      <c r="D88" s="250" t="str">
        <f>Raw!D88</f>
        <v>Wareham ON</v>
      </c>
      <c r="E88" s="251">
        <f>Raw!E88</f>
        <v>43768</v>
      </c>
      <c r="F88" s="250" t="str">
        <f>Raw!F88</f>
        <v>Viking Age</v>
      </c>
      <c r="G88" s="250" t="str">
        <f>Raw!G88</f>
        <v>N</v>
      </c>
      <c r="H88" s="250" t="str">
        <f>Raw!H88</f>
        <v/>
      </c>
      <c r="I88" s="250" t="str">
        <f>Raw!I88</f>
        <v>medium shaft</v>
      </c>
      <c r="J88" s="250" t="str">
        <f>Raw!J88</f>
        <v>stone blocks, clay seal</v>
      </c>
      <c r="K88" s="250" t="str">
        <f>if(isblank(Raw!K88),"",if(Raw!K88&gt;1,concatenate("Use ",Raw!K88," of Expt ",Raw!L88),"Use 1"))</f>
        <v>Use 3 of Expt 82</v>
      </c>
      <c r="L88" s="250" t="str">
        <f>Raw!M88</f>
        <v>Circle to Oval</v>
      </c>
      <c r="M88" s="250" t="str">
        <f>Raw!N88</f>
        <v>conical</v>
      </c>
      <c r="N88" s="250">
        <f>Raw!O88</f>
        <v>100</v>
      </c>
      <c r="O88" s="250">
        <f>Raw!S88</f>
        <v>70</v>
      </c>
      <c r="P88" s="252" t="str">
        <f>Raw!T88</f>
        <v>60 to 45</v>
      </c>
      <c r="Q88" s="239" t="str">
        <f>if(L88="Rectangle",concatenate(Raw!U88," x ",Raw!V88),if(L88="Oval",concatenate(Raw!U88," by ",Raw!V88),if(isnumber(Raw!V88),concatenate(Raw!U88," to ",Raw!V88),Raw!U88)))</f>
        <v>30 to 20</v>
      </c>
      <c r="R88" s="239">
        <f>if(AND(Raw!Z88="Y",isnumber(Raw!X88)),concatenate(Raw!X88," (E)"),Raw!X88)</f>
        <v>25</v>
      </c>
      <c r="S88" s="241">
        <f>Calcs!B88</f>
        <v>490.9</v>
      </c>
      <c r="T88" s="252" t="str">
        <f>Raw!AB88</f>
        <v>15 to 10</v>
      </c>
      <c r="U88" s="252" t="str">
        <f>Raw!AC88</f>
        <v>NR</v>
      </c>
      <c r="V88" s="252" t="str">
        <f>Raw!AD88</f>
        <v>forged copper</v>
      </c>
      <c r="W88" s="212" t="str">
        <f>concatenate(Raw!AE88,if(Raw!AF88="Y"," (T)",))</f>
        <v>2.5 (T)</v>
      </c>
      <c r="X88" s="212" t="str">
        <f>concatenate(Raw!AG88,if(isblank(Raw!AH88),"",concatenate(" ",Raw!AH88)),if(isblank(Raw!AI88),""," (E)"))</f>
        <v>22 Down</v>
      </c>
      <c r="Y88" s="212" t="str">
        <f>concatenate(Raw!AJ88,if(isblank(Raw!AK88),""," (E)"))</f>
        <v>NR</v>
      </c>
      <c r="Z88" s="252" t="str">
        <f>Raw!AL88</f>
        <v>charcoal fines</v>
      </c>
      <c r="AA88" s="212" t="str">
        <f>concatenate(Raw!AO88,if(Raw!AP88="Y"," (E)",))</f>
        <v>15</v>
      </c>
      <c r="AB88" s="252" t="str">
        <f>Raw!AQ88</f>
        <v>electric blower</v>
      </c>
      <c r="AC88" s="212" t="str">
        <f>concatenate(ifs(istext(Raw!AT88),Raw!AT88,AND(Raw!AT88&gt;0,isblank(Raw!AS88)),concatenate(Raw!AT88," (A)"),AND(Raw!AR88&gt;0,Raw!AS88&gt;0),concatenate(Raw!AR88," to ",Raw!AS88),1,Raw!AS88),ifs(Raw!AU88="Y-","- (E)",Raw!AU88="Y"," (E)",1,))</f>
        <v>1000</v>
      </c>
      <c r="AD88" s="253">
        <f>Raw!AW88</f>
        <v>589.08</v>
      </c>
      <c r="AE88" s="239" t="str">
        <f>concatenate(Raw!AX88,if(isblank(Raw!AZ88),"",concatenate("/",Raw!AZ88)),if(isblank(Raw!BB88),"",concatenate("/",Raw!BB88)),if(isblank(Raw!BD88),"",concatenate("/",Raw!BD88)),if(isblank(Raw!BF88),"",concatenate("/",Raw!BF88)),if(Raw!BK88&gt;0,if(isblank(Raw!AX88),"Gromps","/Gromps"),))</f>
        <v>DD1Fb</v>
      </c>
      <c r="AF88" s="239" t="str">
        <f>concatenate(round(Raw!AY88,1),if(isblank(Raw!AZ88),"",concatenate("/",round(Raw!BA88,1))),if(isblank(Raw!BB88),"",concatenate("/",round(Raw!BC88,1))),if(isblank(Raw!BD88),"",concatenate("/",round(Raw!BE88,1))),if(isblank(Raw!BF88),"",concatenate("/",round(Raw!BG88,1))),if(isblank(Raw!BK88),,concatenate("/",if(isnumber(Raw!BK88),round(Raw!BK88,1),Raw!BK88))))</f>
        <v>26</v>
      </c>
      <c r="AG88" s="241">
        <f>Raw!BL88</f>
        <v>26</v>
      </c>
      <c r="AH88" s="254">
        <f>Raw!BI88</f>
        <v>0.5726600436</v>
      </c>
      <c r="AI88" s="255" t="str">
        <f>Raw!BJ88</f>
        <v>raw</v>
      </c>
      <c r="AJ88" s="255" t="str">
        <f>Raw!BM88</f>
        <v/>
      </c>
      <c r="AK88" s="255" t="str">
        <f>Raw!BO88</f>
        <v>all to 25</v>
      </c>
      <c r="AL88" s="256" t="str">
        <f>Raw!BV88</f>
        <v>NR</v>
      </c>
      <c r="AM88" s="244" t="str">
        <f>if(ISNUMBER(Raw!BW88),concatenate(floor(Raw!BW88/60,1),":",MOD(Raw!BW88,60)),Raw!BW88)</f>
        <v>2:0</v>
      </c>
      <c r="AN88" s="255">
        <f>Raw!BX88</f>
        <v>49</v>
      </c>
      <c r="AO88" s="256">
        <f>Raw!BZ88</f>
        <v>13.86666667</v>
      </c>
      <c r="AP88" s="256">
        <f>Raw!CA88</f>
        <v>7.703703704</v>
      </c>
      <c r="AQ88" s="255" t="str">
        <f>Raw!CB88</f>
        <v>maple</v>
      </c>
      <c r="AR88" s="255" t="str">
        <f>Raw!CC88</f>
        <v>Maple Leaf</v>
      </c>
      <c r="AS88" s="244" t="str">
        <f>concatenate(floor(Raw!CE88/60,1),":",text(MOD(Raw!CE88,60),"00"),ifs(Raw!CF88="Y"," (E)", Raw!CF88="Y+"," +", isblank(Raw!CF88),""))</f>
        <v>3:28</v>
      </c>
      <c r="AT88" s="255" t="str">
        <f>Raw!CR88</f>
        <v>bottom</v>
      </c>
      <c r="AU88" s="256">
        <f>Raw!CS88</f>
        <v>6.8</v>
      </c>
      <c r="AV88" s="255" t="str">
        <f>Raw!CT88</f>
        <v>solid</v>
      </c>
      <c r="AW88" s="246">
        <f>if(Raw!CW88&gt;0,Raw!CW88,"None")</f>
        <v>0.2615384615</v>
      </c>
      <c r="AX88" s="246">
        <f>if(Raw!CX88&gt;0,Raw!CX88,"None")</f>
        <v>0.4567080669</v>
      </c>
      <c r="AY88" s="255" t="str">
        <f>Raw!CY88</f>
        <v/>
      </c>
      <c r="AZ88" s="255" t="str">
        <f>Raw!CZ88</f>
        <v/>
      </c>
      <c r="BA88" s="255" t="str">
        <f>Raw!DA88</f>
        <v>Iceland</v>
      </c>
      <c r="BB88" s="255" t="str">
        <f>Raw!DB88</f>
        <v/>
      </c>
      <c r="BC88" s="257" t="str">
        <f>Raw!DC88</f>
        <v>3rd use of furnace</v>
      </c>
      <c r="BD88" s="248"/>
    </row>
    <row r="89">
      <c r="A89" s="249" t="str">
        <f>Raw!A89</f>
        <v>85 / D31</v>
      </c>
      <c r="B89" s="250" t="str">
        <f>Raw!B89</f>
        <v>Bones</v>
      </c>
      <c r="C89" s="250" t="str">
        <f>Raw!C89</f>
        <v>Peterson, Cogswell</v>
      </c>
      <c r="D89" s="250" t="str">
        <f>Raw!D89</f>
        <v>Wareham ON</v>
      </c>
      <c r="E89" s="251">
        <f>Raw!E89</f>
        <v>44002</v>
      </c>
      <c r="F89" s="250" t="str">
        <f>Raw!F89</f>
        <v>Viking Age</v>
      </c>
      <c r="G89" s="250" t="str">
        <f>Raw!G89</f>
        <v>N</v>
      </c>
      <c r="H89" s="250" t="str">
        <f>Raw!H89</f>
        <v/>
      </c>
      <c r="I89" s="250" t="str">
        <f>Raw!I89</f>
        <v>short shaft on stone</v>
      </c>
      <c r="J89" s="250" t="str">
        <f>Raw!J89</f>
        <v>manure cobb</v>
      </c>
      <c r="K89" s="250" t="str">
        <f>if(isblank(Raw!K89),"",if(Raw!K89&gt;1,concatenate("Use ",Raw!K89," of Expt ",Raw!L89),"Use 1"))</f>
        <v/>
      </c>
      <c r="L89" s="250" t="str">
        <f>Raw!M89</f>
        <v>Circle</v>
      </c>
      <c r="M89" s="250" t="str">
        <f>Raw!N89</f>
        <v>cylinder</v>
      </c>
      <c r="N89" s="250">
        <f>Raw!O89</f>
        <v>66</v>
      </c>
      <c r="O89" s="250">
        <f>Raw!S89</f>
        <v>45</v>
      </c>
      <c r="P89" s="252" t="str">
        <f>Raw!T89</f>
        <v>42 to 36</v>
      </c>
      <c r="Q89" s="239">
        <f>if(L89="Rectangle",concatenate(Raw!U89," x ",Raw!V89),if(L89="Oval",concatenate(Raw!U89," by ",Raw!V89),if(isnumber(Raw!V89),concatenate(Raw!U89," to ",Raw!V89),Raw!U89)))</f>
        <v>28</v>
      </c>
      <c r="R89" s="239" t="str">
        <f>if(AND(Raw!Z89="Y",isnumber(Raw!X89)),concatenate(Raw!X89," (E)"),Raw!X89)</f>
        <v/>
      </c>
      <c r="S89" s="241">
        <f>Calcs!B89</f>
        <v>615.8</v>
      </c>
      <c r="T89" s="252" t="str">
        <f>Raw!AB89</f>
        <v>7 to 4</v>
      </c>
      <c r="U89" s="252" t="str">
        <f>Raw!AC89</f>
        <v>20 x 20</v>
      </c>
      <c r="V89" s="252" t="str">
        <f>Raw!AD89</f>
        <v>forged copper</v>
      </c>
      <c r="W89" s="212" t="str">
        <f>concatenate(Raw!AE89,if(Raw!AF89="Y"," (T)",))</f>
        <v>2.5 (T)</v>
      </c>
      <c r="X89" s="212" t="str">
        <f>concatenate(Raw!AG89,if(isblank(Raw!AH89),"",concatenate(" ",Raw!AH89)),if(isblank(Raw!AI89),""," (E)"))</f>
        <v>22 Down</v>
      </c>
      <c r="Y89" s="212" t="str">
        <f>concatenate(Raw!AJ89,if(isblank(Raw!AK89),""," (E)"))</f>
        <v>5</v>
      </c>
      <c r="Z89" s="252" t="str">
        <f>Raw!AL89</f>
        <v>charcoal fines</v>
      </c>
      <c r="AA89" s="212" t="str">
        <f>concatenate(Raw!AO89,if(Raw!AP89="Y"," (E)",))</f>
        <v>20</v>
      </c>
      <c r="AB89" s="252" t="str">
        <f>Raw!AQ89</f>
        <v>electric blower</v>
      </c>
      <c r="AC89" s="212" t="str">
        <f>concatenate(ifs(istext(Raw!AT89),Raw!AT89,AND(Raw!AT89&gt;0,isblank(Raw!AS89)),concatenate(Raw!AT89," (A)"),AND(Raw!AR89&gt;0,Raw!AS89&gt;0),concatenate(Raw!AR89," to ",Raw!AS89),1,Raw!AS89),ifs(Raw!AU89="Y-","- (E)",Raw!AU89="Y"," (E)",1,))</f>
        <v>900 to 1000</v>
      </c>
      <c r="AD89" s="253">
        <f>Raw!AW89</f>
        <v>738.96</v>
      </c>
      <c r="AE89" s="239" t="str">
        <f>concatenate(Raw!AX89,if(isblank(Raw!AZ89),"",concatenate("/",Raw!AZ89)),if(isblank(Raw!BB89),"",concatenate("/",Raw!BB89)),if(isblank(Raw!BD89),"",concatenate("/",Raw!BD89)),if(isblank(Raw!BF89),"",concatenate("/",Raw!BF89)),if(Raw!BK89&gt;0,if(isblank(Raw!AX89),"Gromps","/Gromps"),))</f>
        <v>DD1/Gromps</v>
      </c>
      <c r="AF89" s="239" t="str">
        <f>concatenate(round(Raw!AY89,1),if(isblank(Raw!AZ89),"",concatenate("/",round(Raw!BA89,1))),if(isblank(Raw!BB89),"",concatenate("/",round(Raw!BC89,1))),if(isblank(Raw!BD89),"",concatenate("/",round(Raw!BE89,1))),if(isblank(Raw!BF89),"",concatenate("/",round(Raw!BG89,1))),if(isblank(Raw!BK89),,concatenate("/",if(isnumber(Raw!BK89),round(Raw!BK89,1),Raw!BK89))))</f>
        <v>25/1</v>
      </c>
      <c r="AG89" s="241">
        <f>Raw!BL89</f>
        <v>26</v>
      </c>
      <c r="AH89" s="254" t="str">
        <f>Raw!BI89</f>
        <v>?</v>
      </c>
      <c r="AI89" s="255" t="str">
        <f>Raw!BJ89</f>
        <v>raw</v>
      </c>
      <c r="AJ89" s="255">
        <f>Raw!BM89</f>
        <v>4</v>
      </c>
      <c r="AK89" s="255" t="str">
        <f>Raw!BO89</f>
        <v>all to 25</v>
      </c>
      <c r="AL89" s="256">
        <f>Raw!BV89</f>
        <v>6.807692308</v>
      </c>
      <c r="AM89" s="244" t="str">
        <f>if(ISNUMBER(Raw!BW89),concatenate(floor(Raw!BW89/60,1),":",MOD(Raw!BW89,60)),Raw!BW89)</f>
        <v>2:5</v>
      </c>
      <c r="AN89" s="255">
        <f>Raw!BX89</f>
        <v>52</v>
      </c>
      <c r="AO89" s="256">
        <f>Raw!BZ89</f>
        <v>13.42857143</v>
      </c>
      <c r="AP89" s="256">
        <f>Raw!CA89</f>
        <v>7.46031746</v>
      </c>
      <c r="AQ89" s="255" t="str">
        <f>Raw!CB89</f>
        <v>maple</v>
      </c>
      <c r="AR89" s="255" t="str">
        <f>Raw!CC89</f>
        <v>Maple Leaf</v>
      </c>
      <c r="AS89" s="244" t="str">
        <f>concatenate(floor(Raw!CE89/60,1),":",text(MOD(Raw!CE89,60),"00"),ifs(Raw!CF89="Y"," (E)", Raw!CF89="Y+"," +", isblank(Raw!CF89),""))</f>
        <v>3:08</v>
      </c>
      <c r="AT89" s="255" t="str">
        <f>Raw!CR89</f>
        <v>bottom</v>
      </c>
      <c r="AU89" s="256">
        <f>Raw!CS89</f>
        <v>2.6</v>
      </c>
      <c r="AV89" s="255" t="str">
        <f>Raw!CT89</f>
        <v>disk, crumbly</v>
      </c>
      <c r="AW89" s="246">
        <f>if(Raw!CW89&gt;0,Raw!CW89,"None")</f>
        <v>0.1</v>
      </c>
      <c r="AX89" s="246" t="str">
        <f>if(Raw!CX89&gt;0,Raw!CX89,"None")</f>
        <v>?</v>
      </c>
      <c r="AY89" s="255" t="str">
        <f>Raw!CY89</f>
        <v/>
      </c>
      <c r="AZ89" s="255" t="str">
        <f>Raw!CZ89</f>
        <v/>
      </c>
      <c r="BA89" s="255" t="str">
        <f>Raw!DA89</f>
        <v>hypothetical </v>
      </c>
      <c r="BB89" s="255" t="str">
        <f>Raw!DB89</f>
        <v>effect of addition of bone</v>
      </c>
      <c r="BC89" s="257" t="str">
        <f>Raw!DC89</f>
        <v>finished to bar for carbon test</v>
      </c>
      <c r="BD89" s="248"/>
    </row>
    <row r="90">
      <c r="A90" s="249">
        <f>Raw!A90</f>
        <v>86</v>
      </c>
      <c r="B90" s="250" t="str">
        <f>Raw!B90</f>
        <v>Smelting Course</v>
      </c>
      <c r="C90" s="250" t="str">
        <f>Raw!C90</f>
        <v>Porter</v>
      </c>
      <c r="D90" s="250" t="str">
        <f>Raw!D90</f>
        <v>Wareham ON</v>
      </c>
      <c r="E90" s="251">
        <f>Raw!E90</f>
        <v>44115</v>
      </c>
      <c r="F90" s="250" t="str">
        <f>Raw!F90</f>
        <v>Viking Age</v>
      </c>
      <c r="G90" s="250" t="str">
        <f>Raw!G90</f>
        <v>N</v>
      </c>
      <c r="H90" s="250" t="str">
        <f>Raw!H90</f>
        <v>Teaching</v>
      </c>
      <c r="I90" s="250" t="str">
        <f>Raw!I90</f>
        <v>medium shaft</v>
      </c>
      <c r="J90" s="250" t="str">
        <f>Raw!J90</f>
        <v>stone blocks, clay seal</v>
      </c>
      <c r="K90" s="250" t="str">
        <f>if(isblank(Raw!K90),"",if(Raw!K90&gt;1,concatenate("Use ",Raw!K90," of Expt ",Raw!L90),"Use 1"))</f>
        <v>Use 4 of Expt 82</v>
      </c>
      <c r="L90" s="250" t="str">
        <f>Raw!M90</f>
        <v>Circle to Oval</v>
      </c>
      <c r="M90" s="250" t="str">
        <f>Raw!N90</f>
        <v>conical</v>
      </c>
      <c r="N90" s="250">
        <f>Raw!O90</f>
        <v>100</v>
      </c>
      <c r="O90" s="250">
        <f>Raw!S90</f>
        <v>70</v>
      </c>
      <c r="P90" s="252" t="str">
        <f>Raw!T90</f>
        <v>60 to 45</v>
      </c>
      <c r="Q90" s="239" t="str">
        <f>if(L90="Rectangle",concatenate(Raw!U90," x ",Raw!V90),if(L90="Oval",concatenate(Raw!U90," by ",Raw!V90),if(isnumber(Raw!V90),concatenate(Raw!U90," to ",Raw!V90),Raw!U90)))</f>
        <v>30 to 20</v>
      </c>
      <c r="R90" s="239">
        <f>if(AND(Raw!Z90="Y",isnumber(Raw!X90)),concatenate(Raw!X90," (E)"),Raw!X90)</f>
        <v>25</v>
      </c>
      <c r="S90" s="241">
        <f>Calcs!B90</f>
        <v>490.9</v>
      </c>
      <c r="T90" s="252" t="str">
        <f>Raw!AB90</f>
        <v>15 to 10</v>
      </c>
      <c r="U90" s="252" t="str">
        <f>Raw!AC90</f>
        <v>30 x 18</v>
      </c>
      <c r="V90" s="252" t="str">
        <f>Raw!AD90</f>
        <v>forged copper</v>
      </c>
      <c r="W90" s="212" t="str">
        <f>concatenate(Raw!AE90,if(Raw!AF90="Y"," (T)",))</f>
        <v>2.5 (T)</v>
      </c>
      <c r="X90" s="212" t="str">
        <f>concatenate(Raw!AG90,if(isblank(Raw!AH90),"",concatenate(" ",Raw!AH90)),if(isblank(Raw!AI90),""," (E)"))</f>
        <v>25 Down</v>
      </c>
      <c r="Y90" s="212" t="str">
        <f>concatenate(Raw!AJ90,if(isblank(Raw!AK90),""," (E)"))</f>
        <v>5</v>
      </c>
      <c r="Z90" s="252" t="str">
        <f>Raw!AL90</f>
        <v>charcoal fines</v>
      </c>
      <c r="AA90" s="212" t="str">
        <f>concatenate(Raw!AO90,if(Raw!AP90="Y"," (E)",))</f>
        <v>20</v>
      </c>
      <c r="AB90" s="252" t="str">
        <f>Raw!AQ90</f>
        <v>electric blower</v>
      </c>
      <c r="AC90" s="212" t="str">
        <f>concatenate(ifs(istext(Raw!AT90),Raw!AT90,AND(Raw!AT90&gt;0,isblank(Raw!AS90)),concatenate(Raw!AT90," (A)"),AND(Raw!AR90&gt;0,Raw!AS90&gt;0),concatenate(Raw!AR90," to ",Raw!AS90),1,Raw!AS90),ifs(Raw!AU90="Y-","- (E)",Raw!AU90="Y"," (E)",1,))</f>
        <v>1200</v>
      </c>
      <c r="AD90" s="253">
        <f>Raw!AW90</f>
        <v>589.08</v>
      </c>
      <c r="AE90" s="239" t="str">
        <f>concatenate(Raw!AX90,if(isblank(Raw!AZ90),"",concatenate("/",Raw!AZ90)),if(isblank(Raw!BB90),"",concatenate("/",Raw!BB90)),if(isblank(Raw!BD90),"",concatenate("/",Raw!BD90)),if(isblank(Raw!BF90),"",concatenate("/",Raw!BF90)),if(Raw!BK90&gt;0,if(isblank(Raw!AX90),"Gromps","/Gromps"),))</f>
        <v>DD1Fc</v>
      </c>
      <c r="AF90" s="239" t="str">
        <f>concatenate(round(Raw!AY90,1),if(isblank(Raw!AZ90),"",concatenate("/",round(Raw!BA90,1))),if(isblank(Raw!BB90),"",concatenate("/",round(Raw!BC90,1))),if(isblank(Raw!BD90),"",concatenate("/",round(Raw!BE90,1))),if(isblank(Raw!BF90),"",concatenate("/",round(Raw!BG90,1))),if(isblank(Raw!BK90),,concatenate("/",if(isnumber(Raw!BK90),round(Raw!BK90,1),Raw!BK90))))</f>
        <v>28.5</v>
      </c>
      <c r="AG90" s="241">
        <f>Raw!BL90</f>
        <v>28.5</v>
      </c>
      <c r="AH90" s="254">
        <f>Raw!BI90</f>
        <v>0.569949313</v>
      </c>
      <c r="AI90" s="255" t="str">
        <f>Raw!BJ90</f>
        <v>raw</v>
      </c>
      <c r="AJ90" s="255">
        <f>Raw!BM90</f>
        <v>4</v>
      </c>
      <c r="AK90" s="255" t="str">
        <f>Raw!BO90</f>
        <v>all to 25</v>
      </c>
      <c r="AL90" s="256" t="str">
        <f>Raw!BV90</f>
        <v>NR</v>
      </c>
      <c r="AM90" s="244" t="str">
        <f>if(ISNUMBER(Raw!BW90),concatenate(floor(Raw!BW90/60,1),":",MOD(Raw!BW90,60)),Raw!BW90)</f>
        <v>1:30</v>
      </c>
      <c r="AN90" s="255">
        <f>Raw!BX90</f>
        <v>59</v>
      </c>
      <c r="AO90" s="256">
        <f>Raw!BZ90</f>
        <v>14.86666667</v>
      </c>
      <c r="AP90" s="256">
        <f>Raw!CA90</f>
        <v>8.259259259</v>
      </c>
      <c r="AQ90" s="255" t="str">
        <f>Raw!CB90</f>
        <v>oak - hickory</v>
      </c>
      <c r="AR90" s="255" t="str">
        <f>Raw!CC90</f>
        <v>Royal Oak</v>
      </c>
      <c r="AS90" s="244" t="str">
        <f>concatenate(floor(Raw!CE90/60,1),":",text(MOD(Raw!CE90,60),"00"),ifs(Raw!CF90="Y"," (E)", Raw!CF90="Y+"," +", isblank(Raw!CF90),""))</f>
        <v>3:43</v>
      </c>
      <c r="AT90" s="255" t="str">
        <f>Raw!CR90</f>
        <v>bottom</v>
      </c>
      <c r="AU90" s="256">
        <f>Raw!CS90</f>
        <v>5.5</v>
      </c>
      <c r="AV90" s="255" t="str">
        <f>Raw!CT90</f>
        <v>crumbly</v>
      </c>
      <c r="AW90" s="246">
        <f>if(Raw!CW90&gt;0,Raw!CW90,"None")</f>
        <v>0.1929824561</v>
      </c>
      <c r="AX90" s="246">
        <f>if(Raw!CX90&gt;0,Raw!CX90,"None")</f>
        <v>0.338595822</v>
      </c>
      <c r="AY90" s="255" t="str">
        <f>Raw!CY90</f>
        <v/>
      </c>
      <c r="AZ90" s="255" t="str">
        <f>Raw!CZ90</f>
        <v/>
      </c>
      <c r="BA90" s="255" t="str">
        <f>Raw!DA90</f>
        <v/>
      </c>
      <c r="BB90" s="255" t="str">
        <f>Raw!DB90</f>
        <v>teaching</v>
      </c>
      <c r="BC90" s="257" t="str">
        <f>Raw!DC90</f>
        <v>4th use of furnace</v>
      </c>
      <c r="BD90" s="248"/>
    </row>
    <row r="91">
      <c r="A91" s="249" t="str">
        <f>Raw!A91</f>
        <v>87 / D32</v>
      </c>
      <c r="B91" s="250" t="str">
        <f>Raw!B91</f>
        <v>65 for 65</v>
      </c>
      <c r="C91" s="250" t="str">
        <f>Raw!C91</f>
        <v>DARC</v>
      </c>
      <c r="D91" s="250" t="str">
        <f>Raw!D91</f>
        <v>Wareham ON</v>
      </c>
      <c r="E91" s="251">
        <f>Raw!E91</f>
        <v>44135</v>
      </c>
      <c r="F91" s="250" t="str">
        <f>Raw!F91</f>
        <v>Viking Age</v>
      </c>
      <c r="G91" s="250" t="str">
        <f>Raw!G91</f>
        <v>N</v>
      </c>
      <c r="H91" s="250" t="str">
        <f>Raw!H91</f>
        <v/>
      </c>
      <c r="I91" s="250" t="str">
        <f>Raw!I91</f>
        <v>medium shaft</v>
      </c>
      <c r="J91" s="250" t="str">
        <f>Raw!J91</f>
        <v>stone blocks, clay seal</v>
      </c>
      <c r="K91" s="250" t="str">
        <f>if(isblank(Raw!K91),"",if(Raw!K91&gt;1,concatenate("Use ",Raw!K91," of Expt ",Raw!L91),"Use 1"))</f>
        <v>Use 5 of Expt 82</v>
      </c>
      <c r="L91" s="250" t="str">
        <f>Raw!M91</f>
        <v>Circle to Oval</v>
      </c>
      <c r="M91" s="250" t="str">
        <f>Raw!N91</f>
        <v>conical</v>
      </c>
      <c r="N91" s="250">
        <f>Raw!O91</f>
        <v>100</v>
      </c>
      <c r="O91" s="250">
        <f>Raw!S91</f>
        <v>70</v>
      </c>
      <c r="P91" s="252" t="str">
        <f>Raw!T91</f>
        <v>60 to 45</v>
      </c>
      <c r="Q91" s="239" t="str">
        <f>if(L91="Rectangle",concatenate(Raw!U91," x ",Raw!V91),if(L91="Oval",concatenate(Raw!U91," by ",Raw!V91),if(isnumber(Raw!V91),concatenate(Raw!U91," to ",Raw!V91),Raw!U91)))</f>
        <v>30 to 20</v>
      </c>
      <c r="R91" s="239">
        <f>if(AND(Raw!Z91="Y",isnumber(Raw!X91)),concatenate(Raw!X91," (E)"),Raw!X91)</f>
        <v>25</v>
      </c>
      <c r="S91" s="241">
        <f>Calcs!B91</f>
        <v>490.9</v>
      </c>
      <c r="T91" s="252" t="str">
        <f>Raw!AB91</f>
        <v>15 to 10</v>
      </c>
      <c r="U91" s="252" t="str">
        <f>Raw!AC91</f>
        <v>22 x 15</v>
      </c>
      <c r="V91" s="252" t="str">
        <f>Raw!AD91</f>
        <v>forged copper</v>
      </c>
      <c r="W91" s="212" t="str">
        <f>concatenate(Raw!AE91,if(Raw!AF91="Y"," (T)",))</f>
        <v>2.5 (T)</v>
      </c>
      <c r="X91" s="212" t="str">
        <f>concatenate(Raw!AG91,if(isblank(Raw!AH91),"",concatenate(" ",Raw!AH91)),if(isblank(Raw!AI91),""," (E)"))</f>
        <v>25 Down</v>
      </c>
      <c r="Y91" s="212" t="str">
        <f>concatenate(Raw!AJ91,if(isblank(Raw!AK91),""," (E)"))</f>
        <v>2</v>
      </c>
      <c r="Z91" s="252" t="str">
        <f>Raw!AL91</f>
        <v>charcoal fines</v>
      </c>
      <c r="AA91" s="212" t="str">
        <f>concatenate(Raw!AO91,if(Raw!AP91="Y"," (E)",))</f>
        <v>15</v>
      </c>
      <c r="AB91" s="252" t="str">
        <f>Raw!AQ91</f>
        <v>electric blower</v>
      </c>
      <c r="AC91" s="212" t="str">
        <f>concatenate(ifs(istext(Raw!AT91),Raw!AT91,AND(Raw!AT91&gt;0,isblank(Raw!AS91)),concatenate(Raw!AT91," (A)"),AND(Raw!AR91&gt;0,Raw!AS91&gt;0),concatenate(Raw!AR91," to ",Raw!AS91),1,Raw!AS91),ifs(Raw!AU91="Y-","- (E)",Raw!AU91="Y"," (E)",1,))</f>
        <v>900</v>
      </c>
      <c r="AD91" s="253">
        <f>Raw!AW91</f>
        <v>589.08</v>
      </c>
      <c r="AE91" s="239" t="str">
        <f>concatenate(Raw!AX91,if(isblank(Raw!AZ91),"",concatenate("/",Raw!AZ91)),if(isblank(Raw!BB91),"",concatenate("/",Raw!BB91)),if(isblank(Raw!BD91),"",concatenate("/",Raw!BD91)),if(isblank(Raw!BF91),"",concatenate("/",Raw!BF91)),if(Raw!BK91&gt;0,if(isblank(Raw!AX91),"Gromps","/Gromps"),))</f>
        <v>DD1-65/Bratton's Run Goethite/Opta Hematite/Guy's Run Goethite/Gromps</v>
      </c>
      <c r="AF91" s="239" t="str">
        <f>concatenate(round(Raw!AY91,1),if(isblank(Raw!AZ91),"",concatenate("/",round(Raw!BA91,1))),if(isblank(Raw!BB91),"",concatenate("/",round(Raw!BC91,1))),if(isblank(Raw!BD91),"",concatenate("/",round(Raw!BE91,1))),if(isblank(Raw!BF91),"",concatenate("/",round(Raw!BG91,1))),if(isblank(Raw!BK91),,concatenate("/",if(isnumber(Raw!BK91),round(Raw!BK91,1),Raw!BK91))))</f>
        <v>31.5/14/6.5/6.5/6.5</v>
      </c>
      <c r="AG91" s="241">
        <f>Raw!BL91</f>
        <v>65</v>
      </c>
      <c r="AH91" s="254" t="str">
        <f>Raw!BI91</f>
        <v>?</v>
      </c>
      <c r="AI91" s="255" t="str">
        <f>Raw!BJ91</f>
        <v>various</v>
      </c>
      <c r="AJ91" s="255">
        <f>Raw!BM91</f>
        <v>3</v>
      </c>
      <c r="AK91" s="255" t="str">
        <f>Raw!BO91</f>
        <v>various</v>
      </c>
      <c r="AL91" s="256" t="str">
        <f>Raw!BV91</f>
        <v>NR</v>
      </c>
      <c r="AM91" s="244" t="str">
        <f>if(ISNUMBER(Raw!BW91),concatenate(floor(Raw!BW91/60,1),":",MOD(Raw!BW91,60)),Raw!BW91)</f>
        <v>2:4</v>
      </c>
      <c r="AN91" s="255">
        <f>Raw!BX91</f>
        <v>85</v>
      </c>
      <c r="AO91" s="256">
        <f>Raw!BZ91</f>
        <v>12.64516129</v>
      </c>
      <c r="AP91" s="256">
        <f>Raw!CA91</f>
        <v>6.835222319</v>
      </c>
      <c r="AQ91" s="255" t="str">
        <f>Raw!CB91</f>
        <v>oak - hickory</v>
      </c>
      <c r="AR91" s="255" t="str">
        <f>Raw!CC91</f>
        <v>Royal Oak</v>
      </c>
      <c r="AS91" s="244" t="str">
        <f>concatenate(floor(Raw!CE91/60,1),":",text(MOD(Raw!CE91,60),"00"),ifs(Raw!CF91="Y"," (E)", Raw!CF91="Y+"," +", isblank(Raw!CF91),""))</f>
        <v>6:32</v>
      </c>
      <c r="AT91" s="255" t="str">
        <f>Raw!CR91</f>
        <v>dismantled</v>
      </c>
      <c r="AU91" s="256">
        <f>Raw!CS91</f>
        <v>15.9</v>
      </c>
      <c r="AV91" s="255" t="str">
        <f>Raw!CT91</f>
        <v>solid</v>
      </c>
      <c r="AW91" s="246">
        <f>if(Raw!CW91&gt;0,Raw!CW91,"None")</f>
        <v>0.2446153846</v>
      </c>
      <c r="AX91" s="246" t="str">
        <f>if(Raw!CX91&gt;0,Raw!CX91,"None")</f>
        <v>?</v>
      </c>
      <c r="AY91" s="255" t="str">
        <f>Raw!CY91</f>
        <v/>
      </c>
      <c r="AZ91" s="255" t="str">
        <f>Raw!CZ91</f>
        <v/>
      </c>
      <c r="BA91" s="255" t="str">
        <f>Raw!DA91</f>
        <v>past work</v>
      </c>
      <c r="BB91" s="255" t="str">
        <f>Raw!DB91</f>
        <v>celebration of 20 years at 65th</v>
      </c>
      <c r="BC91" s="257" t="str">
        <f>Raw!DC91</f>
        <v>5 use of furnace, use of all previous ores</v>
      </c>
      <c r="BD91" s="248"/>
    </row>
    <row r="92">
      <c r="A92" s="249" t="str">
        <f>Raw!A92</f>
        <v>88 / D33</v>
      </c>
      <c r="B92" s="250" t="str">
        <f>Raw!B92</f>
        <v>Icelandic Clay A</v>
      </c>
      <c r="C92" s="250" t="str">
        <f>Raw!C92</f>
        <v>DARC</v>
      </c>
      <c r="D92" s="250" t="str">
        <f>Raw!D92</f>
        <v>Wareham ON</v>
      </c>
      <c r="E92" s="251">
        <f>Raw!E92</f>
        <v>44366</v>
      </c>
      <c r="F92" s="250" t="str">
        <f>Raw!F92</f>
        <v>Viking Age Icelandic</v>
      </c>
      <c r="G92" s="250" t="str">
        <f>Raw!G92</f>
        <v>N</v>
      </c>
      <c r="H92" s="250" t="str">
        <f>Raw!H92</f>
        <v>Icelandic</v>
      </c>
      <c r="I92" s="250" t="str">
        <f>Raw!I92</f>
        <v>mounded short shaft</v>
      </c>
      <c r="J92" s="250" t="str">
        <f>Raw!J92</f>
        <v>sod w clay liner</v>
      </c>
      <c r="K92" s="250" t="str">
        <f>if(isblank(Raw!K92),"",if(Raw!K92&gt;1,concatenate("Use ",Raw!K92," of Expt ",Raw!L92),"Use 1"))</f>
        <v>Use 1</v>
      </c>
      <c r="L92" s="250" t="str">
        <f>Raw!M92</f>
        <v>Circle</v>
      </c>
      <c r="M92" s="250" t="str">
        <f>Raw!N92</f>
        <v>cylinder</v>
      </c>
      <c r="N92" s="250">
        <f>Raw!O92</f>
        <v>75</v>
      </c>
      <c r="O92" s="250">
        <f>Raw!S92</f>
        <v>50</v>
      </c>
      <c r="P92" s="252" t="str">
        <f>Raw!T92</f>
        <v>160 x 150</v>
      </c>
      <c r="Q92" s="239">
        <f>if(L92="Rectangle",concatenate(Raw!U92," x ",Raw!V92),if(L92="Oval",concatenate(Raw!U92," by ",Raw!V92),if(isnumber(Raw!V92),concatenate(Raw!U92," to ",Raw!V92),Raw!U92)))</f>
        <v>28</v>
      </c>
      <c r="R92" s="239" t="str">
        <f>if(AND(Raw!Z92="Y",isnumber(Raw!X92)),concatenate(Raw!X92," (E)"),Raw!X92)</f>
        <v/>
      </c>
      <c r="S92" s="241">
        <f>Calcs!B92</f>
        <v>615.8</v>
      </c>
      <c r="T92" s="252">
        <f>Raw!AB92</f>
        <v>3</v>
      </c>
      <c r="U92" s="252" t="str">
        <f>Raw!AC92</f>
        <v>NR x 12</v>
      </c>
      <c r="V92" s="252" t="str">
        <f>Raw!AD92</f>
        <v>forged copper</v>
      </c>
      <c r="W92" s="212" t="str">
        <f>concatenate(Raw!AE92,if(Raw!AF92="Y"," (T)",))</f>
        <v>2.5 (T)</v>
      </c>
      <c r="X92" s="212" t="str">
        <f>concatenate(Raw!AG92,if(isblank(Raw!AH92),"",concatenate(" ",Raw!AH92)),if(isblank(Raw!AI92),""," (E)"))</f>
        <v>22 Down</v>
      </c>
      <c r="Y92" s="212" t="str">
        <f>concatenate(Raw!AJ92,if(isblank(Raw!AK92),""," (E)"))</f>
        <v>5</v>
      </c>
      <c r="Z92" s="252" t="str">
        <f>Raw!AL92</f>
        <v>charcoal fines</v>
      </c>
      <c r="AA92" s="212" t="str">
        <f>concatenate(Raw!AO92,if(Raw!AP92="Y"," (E)",))</f>
        <v>15</v>
      </c>
      <c r="AB92" s="252" t="str">
        <f>Raw!AQ92</f>
        <v>electric blower</v>
      </c>
      <c r="AC92" s="212" t="str">
        <f>concatenate(ifs(istext(Raw!AT92),Raw!AT92,AND(Raw!AT92&gt;0,isblank(Raw!AS92)),concatenate(Raw!AT92," (A)"),AND(Raw!AR92&gt;0,Raw!AS92&gt;0),concatenate(Raw!AR92," to ",Raw!AS92),1,Raw!AS92),ifs(Raw!AU92="Y-","- (E)",Raw!AU92="Y"," (E)",1,))</f>
        <v>700 to 800</v>
      </c>
      <c r="AD92" s="253">
        <f>Raw!AW92</f>
        <v>738.96</v>
      </c>
      <c r="AE92" s="239" t="str">
        <f>concatenate(Raw!AX92,if(isblank(Raw!AZ92),"",concatenate("/",Raw!AZ92)),if(isblank(Raw!BB92),"",concatenate("/",Raw!BB92)),if(isblank(Raw!BD92),"",concatenate("/",Raw!BD92)),if(isblank(Raw!BF92),"",concatenate("/",Raw!BF92)),if(Raw!BK92&gt;0,if(isblank(Raw!AX92),"Gromps","/Gromps"),))</f>
        <v>DD1</v>
      </c>
      <c r="AF92" s="239" t="str">
        <f>concatenate(round(Raw!AY92,1),if(isblank(Raw!AZ92),"",concatenate("/",round(Raw!BA92,1))),if(isblank(Raw!BB92),"",concatenate("/",round(Raw!BC92,1))),if(isblank(Raw!BD92),"",concatenate("/",round(Raw!BE92,1))),if(isblank(Raw!BF92),"",concatenate("/",round(Raw!BG92,1))),if(isblank(Raw!BK92),,concatenate("/",if(isnumber(Raw!BK92),round(Raw!BK92,1),Raw!BK92))))</f>
        <v>25.5</v>
      </c>
      <c r="AG92" s="241">
        <f>Raw!BL92</f>
        <v>25.5</v>
      </c>
      <c r="AH92" s="254">
        <f>Raw!BI92</f>
        <v>0.5482634678</v>
      </c>
      <c r="AI92" s="255" t="str">
        <f>Raw!BJ92</f>
        <v>raw</v>
      </c>
      <c r="AJ92" s="255">
        <f>Raw!BM92</f>
        <v>5</v>
      </c>
      <c r="AK92" s="255" t="str">
        <f>Raw!BO92</f>
        <v>all to 25</v>
      </c>
      <c r="AL92" s="256" t="str">
        <f>Raw!BV92</f>
        <v>NR</v>
      </c>
      <c r="AM92" s="244" t="str">
        <f>if(ISNUMBER(Raw!BW92),concatenate(floor(Raw!BW92/60,1),":",MOD(Raw!BW92,60)),Raw!BW92)</f>
        <v>1:0</v>
      </c>
      <c r="AN92" s="255">
        <f>Raw!BX92</f>
        <v>69</v>
      </c>
      <c r="AO92" s="256">
        <f>Raw!BZ92</f>
        <v>15.5</v>
      </c>
      <c r="AP92" s="256">
        <f>Raw!CA92</f>
        <v>8.611111111</v>
      </c>
      <c r="AQ92" s="255" t="str">
        <f>Raw!CB92</f>
        <v>oak - hickory</v>
      </c>
      <c r="AR92" s="255" t="str">
        <f>Raw!CC92</f>
        <v>Royal Oak</v>
      </c>
      <c r="AS92" s="244" t="str">
        <f>concatenate(floor(Raw!CE92/60,1),":",text(MOD(Raw!CE92,60),"00"),ifs(Raw!CF92="Y"," (E)", Raw!CF92="Y+"," +", isblank(Raw!CF92),""))</f>
        <v>5:10</v>
      </c>
      <c r="AT92" s="255" t="str">
        <f>Raw!CR92</f>
        <v>bottom</v>
      </c>
      <c r="AU92" s="256">
        <f>Raw!CS92</f>
        <v>8.9</v>
      </c>
      <c r="AV92" s="255" t="str">
        <f>Raw!CT92</f>
        <v>varies</v>
      </c>
      <c r="AW92" s="246">
        <f>if(Raw!CW92&gt;0,Raw!CW92,"None")</f>
        <v>0.3490196078</v>
      </c>
      <c r="AX92" s="246">
        <f>if(Raw!CX92&gt;0,Raw!CX92,"None")</f>
        <v>0.6365910339</v>
      </c>
      <c r="AY92" s="255" t="str">
        <f>Raw!CY92</f>
        <v>tap + bowl</v>
      </c>
      <c r="AZ92" s="255">
        <f>Raw!CZ92</f>
        <v>13.4</v>
      </c>
      <c r="BA92" s="255" t="str">
        <f>Raw!DA92</f>
        <v>Hals, Iceland</v>
      </c>
      <c r="BB92" s="255" t="str">
        <f>Raw!DB92</f>
        <v>full scale build</v>
      </c>
      <c r="BC92" s="257" t="str">
        <f>Raw!DC92</f>
        <v>sods laid as liner progresses</v>
      </c>
      <c r="BD92" s="248"/>
    </row>
    <row r="93">
      <c r="A93" s="249" t="str">
        <f>Raw!A93</f>
        <v>89 / D34</v>
      </c>
      <c r="B93" s="250" t="str">
        <f>Raw!B93</f>
        <v>Icelandic Clay B</v>
      </c>
      <c r="C93" s="250" t="str">
        <f>Raw!C93</f>
        <v>DARC</v>
      </c>
      <c r="D93" s="250" t="str">
        <f>Raw!D93</f>
        <v>Wareham ON</v>
      </c>
      <c r="E93" s="251">
        <f>Raw!E93</f>
        <v>44443</v>
      </c>
      <c r="F93" s="250" t="str">
        <f>Raw!F93</f>
        <v>Viking Age Icelandic</v>
      </c>
      <c r="G93" s="250" t="str">
        <f>Raw!G93</f>
        <v>N</v>
      </c>
      <c r="H93" s="250" t="str">
        <f>Raw!H93</f>
        <v>Icelandic</v>
      </c>
      <c r="I93" s="250" t="str">
        <f>Raw!I93</f>
        <v>mounded short shaft</v>
      </c>
      <c r="J93" s="250" t="str">
        <f>Raw!J93</f>
        <v>sod w clay liner</v>
      </c>
      <c r="K93" s="250" t="str">
        <f>if(isblank(Raw!K93),"",if(Raw!K93&gt;1,concatenate("Use ",Raw!K93," of Expt ",Raw!L93),"Use 1"))</f>
        <v>Use 2 of Expt 88 / D33</v>
      </c>
      <c r="L93" s="250" t="str">
        <f>Raw!M93</f>
        <v>Circle</v>
      </c>
      <c r="M93" s="250" t="str">
        <f>Raw!N93</f>
        <v>cylinder</v>
      </c>
      <c r="N93" s="250">
        <f>Raw!O93</f>
        <v>75</v>
      </c>
      <c r="O93" s="250">
        <f>Raw!S93</f>
        <v>43</v>
      </c>
      <c r="P93" s="252" t="str">
        <f>Raw!T93</f>
        <v>160 x 150</v>
      </c>
      <c r="Q93" s="239">
        <f>if(L93="Rectangle",concatenate(Raw!U93," x ",Raw!V93),if(L93="Oval",concatenate(Raw!U93," by ",Raw!V93),if(isnumber(Raw!V93),concatenate(Raw!U93," to ",Raw!V93),Raw!U93)))</f>
        <v>28</v>
      </c>
      <c r="R93" s="239" t="str">
        <f>if(AND(Raw!Z93="Y",isnumber(Raw!X93)),concatenate(Raw!X93," (E)"),Raw!X93)</f>
        <v/>
      </c>
      <c r="S93" s="241">
        <f>Calcs!B93</f>
        <v>615.8</v>
      </c>
      <c r="T93" s="252">
        <f>Raw!AB93</f>
        <v>3</v>
      </c>
      <c r="U93" s="252" t="str">
        <f>Raw!AC93</f>
        <v>23 x 16</v>
      </c>
      <c r="V93" s="252" t="str">
        <f>Raw!AD93</f>
        <v>forged copper</v>
      </c>
      <c r="W93" s="212" t="str">
        <f>concatenate(Raw!AE93,if(Raw!AF93="Y"," (T)",))</f>
        <v>2.5 (T)</v>
      </c>
      <c r="X93" s="212" t="str">
        <f>concatenate(Raw!AG93,if(isblank(Raw!AH93),"",concatenate(" ",Raw!AH93)),if(isblank(Raw!AI93),""," (E)"))</f>
        <v>20 Down</v>
      </c>
      <c r="Y93" s="212" t="str">
        <f>concatenate(Raw!AJ93,if(isblank(Raw!AK93),""," (E)"))</f>
        <v>5</v>
      </c>
      <c r="Z93" s="252" t="str">
        <f>Raw!AL93</f>
        <v>charcoal fines</v>
      </c>
      <c r="AA93" s="212" t="str">
        <f>concatenate(Raw!AO93,if(Raw!AP93="Y"," (E)",))</f>
        <v>14</v>
      </c>
      <c r="AB93" s="252" t="str">
        <f>Raw!AQ93</f>
        <v>electric blower</v>
      </c>
      <c r="AC93" s="212" t="str">
        <f>concatenate(ifs(istext(Raw!AT93),Raw!AT93,AND(Raw!AT93&gt;0,isblank(Raw!AS93)),concatenate(Raw!AT93," (A)"),AND(Raw!AR93&gt;0,Raw!AS93&gt;0),concatenate(Raw!AR93," to ",Raw!AS93),1,Raw!AS93),ifs(Raw!AU93="Y-","- (E)",Raw!AU93="Y"," (E)",1,))</f>
        <v>900</v>
      </c>
      <c r="AD93" s="253">
        <f>Raw!AW93</f>
        <v>738.96</v>
      </c>
      <c r="AE93" s="239" t="str">
        <f>concatenate(Raw!AX93,if(isblank(Raw!AZ93),"",concatenate("/",Raw!AZ93)),if(isblank(Raw!BB93),"",concatenate("/",Raw!BB93)),if(isblank(Raw!BD93),"",concatenate("/",Raw!BD93)),if(isblank(Raw!BF93),"",concatenate("/",Raw!BF93)),if(Raw!BK93&gt;0,if(isblank(Raw!AX93),"Gromps","/Gromps"),))</f>
        <v>DD1</v>
      </c>
      <c r="AF93" s="239" t="str">
        <f>concatenate(round(Raw!AY93,1),if(isblank(Raw!AZ93),"",concatenate("/",round(Raw!BA93,1))),if(isblank(Raw!BB93),"",concatenate("/",round(Raw!BC93,1))),if(isblank(Raw!BD93),"",concatenate("/",round(Raw!BE93,1))),if(isblank(Raw!BF93),"",concatenate("/",round(Raw!BG93,1))),if(isblank(Raw!BK93),,concatenate("/",if(isnumber(Raw!BK93),round(Raw!BK93,1),Raw!BK93))))</f>
        <v>26</v>
      </c>
      <c r="AG93" s="241">
        <f>Raw!BL93</f>
        <v>26</v>
      </c>
      <c r="AH93" s="254">
        <f>Raw!BI93</f>
        <v>0.5482634678</v>
      </c>
      <c r="AI93" s="255" t="str">
        <f>Raw!BJ93</f>
        <v>raw</v>
      </c>
      <c r="AJ93" s="255">
        <f>Raw!BM93</f>
        <v>4.3</v>
      </c>
      <c r="AK93" s="255" t="str">
        <f>Raw!BO93</f>
        <v>all to 25</v>
      </c>
      <c r="AL93" s="256" t="str">
        <f>Raw!BV93</f>
        <v>NR</v>
      </c>
      <c r="AM93" s="244" t="str">
        <f>if(ISNUMBER(Raw!BW93),concatenate(floor(Raw!BW93/60,1),":",MOD(Raw!BW93,60)),Raw!BW93)</f>
        <v>1:26</v>
      </c>
      <c r="AN93" s="255">
        <f>Raw!BX93</f>
        <v>65</v>
      </c>
      <c r="AO93" s="256">
        <f>Raw!BZ93</f>
        <v>11.4</v>
      </c>
      <c r="AP93" s="256">
        <f>Raw!CA93</f>
        <v>5.777027027</v>
      </c>
      <c r="AQ93" s="255" t="str">
        <f>Raw!CB93</f>
        <v>oak - hickory</v>
      </c>
      <c r="AR93" s="255" t="str">
        <f>Raw!CC93</f>
        <v>Royal Oak</v>
      </c>
      <c r="AS93" s="244" t="str">
        <f>concatenate(floor(Raw!CE93/60,1),":",text(MOD(Raw!CE93,60),"00"),ifs(Raw!CF93="Y"," (E)", Raw!CF93="Y+"," +", isblank(Raw!CF93),""))</f>
        <v>2:51</v>
      </c>
      <c r="AT93" s="255" t="str">
        <f>Raw!CR93</f>
        <v>bottom</v>
      </c>
      <c r="AU93" s="256">
        <f>Raw!CS93</f>
        <v>8.2</v>
      </c>
      <c r="AV93" s="255" t="str">
        <f>Raw!CT93</f>
        <v>spongy</v>
      </c>
      <c r="AW93" s="246">
        <f>if(Raw!CW93&gt;0,Raw!CW93,"None")</f>
        <v>0.3153846154</v>
      </c>
      <c r="AX93" s="246">
        <f>if(Raw!CX93&gt;0,Raw!CX93,"None")</f>
        <v>0.5752428055</v>
      </c>
      <c r="AY93" s="255" t="str">
        <f>Raw!CY93</f>
        <v>bowl left in place</v>
      </c>
      <c r="AZ93" s="255" t="str">
        <f>Raw!CZ93</f>
        <v/>
      </c>
      <c r="BA93" s="255" t="str">
        <f>Raw!DA93</f>
        <v>Hals Iceland</v>
      </c>
      <c r="BB93" s="255" t="str">
        <f>Raw!DB93</f>
        <v>full scale build, repeat use</v>
      </c>
      <c r="BC93" s="257" t="str">
        <f>Raw!DC93</f>
        <v>repair damage to front area (turtle)</v>
      </c>
      <c r="BD93" s="248"/>
    </row>
    <row r="94">
      <c r="A94" s="249" t="str">
        <f>Raw!A94</f>
        <v>90 / D35</v>
      </c>
      <c r="B94" s="250" t="str">
        <f>Raw!B94</f>
        <v>Wind &amp; Weather</v>
      </c>
      <c r="C94" s="250" t="str">
        <f>Raw!C94</f>
        <v>DARC</v>
      </c>
      <c r="D94" s="250" t="str">
        <f>Raw!D94</f>
        <v>Wareham ON</v>
      </c>
      <c r="E94" s="251">
        <f>Raw!E94</f>
        <v>44497</v>
      </c>
      <c r="F94" s="250" t="str">
        <f>Raw!F94</f>
        <v>Viking Age</v>
      </c>
      <c r="G94" s="250" t="str">
        <f>Raw!G94</f>
        <v>N</v>
      </c>
      <c r="H94" s="250" t="str">
        <f>Raw!H94</f>
        <v>Air</v>
      </c>
      <c r="I94" s="250" t="str">
        <f>Raw!I94</f>
        <v>short shaft on stone</v>
      </c>
      <c r="J94" s="250" t="str">
        <f>Raw!J94</f>
        <v>manure cobb</v>
      </c>
      <c r="K94" s="250" t="str">
        <f>if(isblank(Raw!K94),"",if(Raw!K94&gt;1,concatenate("Use ",Raw!K94," of Expt ",Raw!L94),"Use 1"))</f>
        <v/>
      </c>
      <c r="L94" s="250" t="str">
        <f>Raw!M94</f>
        <v>Circle</v>
      </c>
      <c r="M94" s="250" t="str">
        <f>Raw!N94</f>
        <v>cylinder</v>
      </c>
      <c r="N94" s="250">
        <f>Raw!O94</f>
        <v>77</v>
      </c>
      <c r="O94" s="250">
        <f>Raw!S94</f>
        <v>59</v>
      </c>
      <c r="P94" s="252" t="str">
        <f>Raw!T94</f>
        <v>42 to 34</v>
      </c>
      <c r="Q94" s="239">
        <f>if(L94="Rectangle",concatenate(Raw!U94," x ",Raw!V94),if(L94="Oval",concatenate(Raw!U94," by ",Raw!V94),if(isnumber(Raw!V94),concatenate(Raw!U94," to ",Raw!V94),Raw!U94)))</f>
        <v>28</v>
      </c>
      <c r="R94" s="239" t="str">
        <f>if(AND(Raw!Z94="Y",isnumber(Raw!X94)),concatenate(Raw!X94," (E)"),Raw!X94)</f>
        <v/>
      </c>
      <c r="S94" s="241">
        <f>Calcs!B94</f>
        <v>615.8</v>
      </c>
      <c r="T94" s="252" t="str">
        <f>Raw!AB94</f>
        <v>7 to 3</v>
      </c>
      <c r="U94" s="252" t="str">
        <f>Raw!AC94</f>
        <v>22 x 15</v>
      </c>
      <c r="V94" s="252" t="str">
        <f>Raw!AD94</f>
        <v>forged copper</v>
      </c>
      <c r="W94" s="212" t="str">
        <f>concatenate(Raw!AE94,if(Raw!AF94="Y"," (T)",))</f>
        <v>2.5 (T)</v>
      </c>
      <c r="X94" s="212" t="str">
        <f>concatenate(Raw!AG94,if(isblank(Raw!AH94),"",concatenate(" ",Raw!AH94)),if(isblank(Raw!AI94),""," (E)"))</f>
        <v>20 Down</v>
      </c>
      <c r="Y94" s="212" t="str">
        <f>concatenate(Raw!AJ94,if(isblank(Raw!AK94),""," (E)"))</f>
        <v>5</v>
      </c>
      <c r="Z94" s="252" t="str">
        <f>Raw!AL94</f>
        <v>charcoal fines</v>
      </c>
      <c r="AA94" s="212" t="str">
        <f>concatenate(Raw!AO94,if(Raw!AP94="Y"," (E)",))</f>
        <v>18</v>
      </c>
      <c r="AB94" s="252" t="str">
        <f>Raw!AQ94</f>
        <v>blower / smelt bellows</v>
      </c>
      <c r="AC94" s="212" t="str">
        <f>concatenate(ifs(istext(Raw!AT94),Raw!AT94,AND(Raw!AT94&gt;0,isblank(Raw!AS94)),concatenate(Raw!AT94," (A)"),AND(Raw!AR94&gt;0,Raw!AS94&gt;0),concatenate(Raw!AR94," to ",Raw!AS94),1,Raw!AS94),ifs(Raw!AU94="Y-","- (E)",Raw!AU94="Y"," (E)",1,))</f>
        <v>477 to 875</v>
      </c>
      <c r="AD94" s="253">
        <f>Raw!AW94</f>
        <v>738.96</v>
      </c>
      <c r="AE94" s="239" t="str">
        <f>concatenate(Raw!AX94,if(isblank(Raw!AZ94),"",concatenate("/",Raw!AZ94)),if(isblank(Raw!BB94),"",concatenate("/",Raw!BB94)),if(isblank(Raw!BD94),"",concatenate("/",Raw!BD94)),if(isblank(Raw!BF94),"",concatenate("/",Raw!BF94)),if(Raw!BK94&gt;0,if(isblank(Raw!AX94),"Gromps","/Gromps"),))</f>
        <v>DD1</v>
      </c>
      <c r="AF94" s="239" t="str">
        <f>concatenate(round(Raw!AY94,1),if(isblank(Raw!AZ94),"",concatenate("/",round(Raw!BA94,1))),if(isblank(Raw!BB94),"",concatenate("/",round(Raw!BC94,1))),if(isblank(Raw!BD94),"",concatenate("/",round(Raw!BE94,1))),if(isblank(Raw!BF94),"",concatenate("/",round(Raw!BG94,1))),if(isblank(Raw!BK94),,concatenate("/",if(isnumber(Raw!BK94),round(Raw!BK94,1),Raw!BK94))))</f>
        <v>24.3</v>
      </c>
      <c r="AG94" s="241">
        <f>Raw!BL94</f>
        <v>24.3</v>
      </c>
      <c r="AH94" s="254">
        <f>Raw!BI94</f>
        <v>0.5482634678</v>
      </c>
      <c r="AI94" s="255" t="str">
        <f>Raw!BJ94</f>
        <v>raw</v>
      </c>
      <c r="AJ94" s="255">
        <f>Raw!BM94</f>
        <v>1.5</v>
      </c>
      <c r="AK94" s="255" t="str">
        <f>Raw!BO94</f>
        <v>all to 25</v>
      </c>
      <c r="AL94" s="256" t="str">
        <f>Raw!BV94</f>
        <v>NR</v>
      </c>
      <c r="AM94" s="244" t="str">
        <f>if(ISNUMBER(Raw!BW94),concatenate(floor(Raw!BW94/60,1),":",MOD(Raw!BW94,60)),Raw!BW94)</f>
        <v>1:40</v>
      </c>
      <c r="AN94" s="255">
        <f>Raw!BX94</f>
        <v>60</v>
      </c>
      <c r="AO94" s="256">
        <f>Raw!BZ94</f>
        <v>13.75</v>
      </c>
      <c r="AP94" s="256">
        <f>Raw!CA94</f>
        <v>7.236842105</v>
      </c>
      <c r="AQ94" s="255" t="str">
        <f>Raw!CB94</f>
        <v>oak - hickory</v>
      </c>
      <c r="AR94" s="255" t="str">
        <f>Raw!CC94</f>
        <v>Royal Oak</v>
      </c>
      <c r="AS94" s="244" t="str">
        <f>concatenate(floor(Raw!CE94/60,1),":",text(MOD(Raw!CE94,60),"00"),ifs(Raw!CF94="Y"," (E)", Raw!CF94="Y+"," +", isblank(Raw!CF94),""))</f>
        <v>3:40</v>
      </c>
      <c r="AT94" s="255" t="str">
        <f>Raw!CR94</f>
        <v>dismantled</v>
      </c>
      <c r="AU94" s="256">
        <f>Raw!CS94</f>
        <v>7.6</v>
      </c>
      <c r="AV94" s="255" t="str">
        <f>Raw!CT94</f>
        <v>slightly spongy</v>
      </c>
      <c r="AW94" s="246">
        <f>if(Raw!CW94&gt;0,Raw!CW94,"None")</f>
        <v>0.3127572016</v>
      </c>
      <c r="AX94" s="246">
        <f>if(Raw!CX94&gt;0,Raw!CX94,"None")</f>
        <v>0.5704505589</v>
      </c>
      <c r="AY94" s="255" t="str">
        <f>Raw!CY94</f>
        <v>all left in place</v>
      </c>
      <c r="AZ94" s="255" t="str">
        <f>Raw!CZ94</f>
        <v/>
      </c>
      <c r="BA94" s="255" t="str">
        <f>Raw!DA94</f>
        <v>past work</v>
      </c>
      <c r="BB94" s="255" t="str">
        <f>Raw!DB94</f>
        <v>comparison of blower to smelting bellows</v>
      </c>
      <c r="BC94" s="257" t="str">
        <f>Raw!DC94</f>
        <v>all left in place for weathering</v>
      </c>
      <c r="BD94" s="248"/>
    </row>
    <row r="95">
      <c r="A95" s="249" t="str">
        <f>Raw!A95</f>
        <v>91 / D36</v>
      </c>
      <c r="B95" s="250" t="str">
        <f>Raw!B95</f>
        <v>Low &amp; Longer A</v>
      </c>
      <c r="C95" s="250" t="str">
        <f>Raw!C95</f>
        <v>DARC</v>
      </c>
      <c r="D95" s="250" t="str">
        <f>Raw!D95</f>
        <v>Wareham ON</v>
      </c>
      <c r="E95" s="251">
        <f>Raw!E95</f>
        <v>44734</v>
      </c>
      <c r="F95" s="250" t="str">
        <f>Raw!F95</f>
        <v>Viking Age</v>
      </c>
      <c r="G95" s="250" t="str">
        <f>Raw!G95</f>
        <v>N</v>
      </c>
      <c r="H95" s="250" t="str">
        <f>Raw!H95</f>
        <v>Air</v>
      </c>
      <c r="I95" s="250" t="str">
        <f>Raw!I95</f>
        <v>short shaft on block</v>
      </c>
      <c r="J95" s="250" t="str">
        <f>Raw!J95</f>
        <v>manure cobb / LAM</v>
      </c>
      <c r="K95" s="250" t="str">
        <f>if(isblank(Raw!K95),"",if(Raw!K95&gt;1,concatenate("Use ",Raw!K95," of Expt ",Raw!L95),"Use 1"))</f>
        <v>Use 1</v>
      </c>
      <c r="L95" s="250" t="str">
        <f>Raw!M95</f>
        <v>Circle</v>
      </c>
      <c r="M95" s="250" t="str">
        <f>Raw!N95</f>
        <v>cylinder</v>
      </c>
      <c r="N95" s="250">
        <f>Raw!O95</f>
        <v>59</v>
      </c>
      <c r="O95" s="250">
        <f>Raw!S95</f>
        <v>45</v>
      </c>
      <c r="P95" s="252" t="str">
        <f>Raw!T95</f>
        <v>39 to 33</v>
      </c>
      <c r="Q95" s="239">
        <f>if(L95="Rectangle",concatenate(Raw!U95," x ",Raw!V95),if(L95="Oval",concatenate(Raw!U95," by ",Raw!V95),if(isnumber(Raw!V95),concatenate(Raw!U95," to ",Raw!V95),Raw!U95)))</f>
        <v>25</v>
      </c>
      <c r="R95" s="239" t="str">
        <f>if(AND(Raw!Z95="Y",isnumber(Raw!X95)),concatenate(Raw!X95," (E)"),Raw!X95)</f>
        <v/>
      </c>
      <c r="S95" s="241">
        <f>Calcs!B95</f>
        <v>490.9</v>
      </c>
      <c r="T95" s="252" t="str">
        <f>Raw!AB95</f>
        <v>7 to 4</v>
      </c>
      <c r="U95" s="252" t="str">
        <f>Raw!AC95</f>
        <v>18 x 10</v>
      </c>
      <c r="V95" s="252" t="str">
        <f>Raw!AD95</f>
        <v>forged copper</v>
      </c>
      <c r="W95" s="212" t="str">
        <f>concatenate(Raw!AE95,if(Raw!AF95="Y"," (T)",))</f>
        <v>2.5 (T)</v>
      </c>
      <c r="X95" s="212" t="str">
        <f>concatenate(Raw!AG95,if(isblank(Raw!AH95),"",concatenate(" ",Raw!AH95)),if(isblank(Raw!AI95),""," (E)"))</f>
        <v>25 Down</v>
      </c>
      <c r="Y95" s="212" t="str">
        <f>concatenate(Raw!AJ95,if(isblank(Raw!AK95),""," (E)"))</f>
        <v>5</v>
      </c>
      <c r="Z95" s="252" t="str">
        <f>Raw!AL95</f>
        <v>charcoal fines</v>
      </c>
      <c r="AA95" s="212" t="str">
        <f>concatenate(Raw!AO95,if(Raw!AP95="Y"," (E)",))</f>
        <v>16</v>
      </c>
      <c r="AB95" s="252" t="str">
        <f>Raw!AQ95</f>
        <v>electric blower</v>
      </c>
      <c r="AC95" s="212" t="str">
        <f>concatenate(ifs(istext(Raw!AT95),Raw!AT95,AND(Raw!AT95&gt;0,isblank(Raw!AS95)),concatenate(Raw!AT95," (A)"),AND(Raw!AR95&gt;0,Raw!AS95&gt;0),concatenate(Raw!AR95," to ",Raw!AS95),1,Raw!AS95),ifs(Raw!AU95="Y-","- (E)",Raw!AU95="Y"," (E)",1,))</f>
        <v>425</v>
      </c>
      <c r="AD95" s="253">
        <f>Raw!AW95</f>
        <v>589.08</v>
      </c>
      <c r="AE95" s="239" t="str">
        <f>concatenate(Raw!AX95,if(isblank(Raw!AZ95),"",concatenate("/",Raw!AZ95)),if(isblank(Raw!BB95),"",concatenate("/",Raw!BB95)),if(isblank(Raw!BD95),"",concatenate("/",Raw!BD95)),if(isblank(Raw!BF95),"",concatenate("/",Raw!BF95)),if(Raw!BK95&gt;0,if(isblank(Raw!AX95),"Gromps","/Gromps"),))</f>
        <v>DD1/Bratton's Run Goethite</v>
      </c>
      <c r="AF95" s="239" t="str">
        <f>concatenate(round(Raw!AY95,1),if(isblank(Raw!AZ95),"",concatenate("/",round(Raw!BA95,1))),if(isblank(Raw!BB95),"",concatenate("/",round(Raw!BC95,1))),if(isblank(Raw!BD95),"",concatenate("/",round(Raw!BE95,1))),if(isblank(Raw!BF95),"",concatenate("/",round(Raw!BG95,1))),if(isblank(Raw!BK95),,concatenate("/",if(isnumber(Raw!BK95),round(Raw!BK95,1),Raw!BK95))))</f>
        <v>24.5/2</v>
      </c>
      <c r="AG95" s="241">
        <f>Raw!BL95</f>
        <v>26.5</v>
      </c>
      <c r="AH95" s="254">
        <f>Raw!BI95</f>
        <v>0.5411123311</v>
      </c>
      <c r="AI95" s="255" t="str">
        <f>Raw!BJ95</f>
        <v>raw</v>
      </c>
      <c r="AJ95" s="255" t="str">
        <f>Raw!BM95</f>
        <v/>
      </c>
      <c r="AK95" s="255" t="str">
        <f>Raw!BO95</f>
        <v>all to 25 / 10</v>
      </c>
      <c r="AL95" s="256" t="str">
        <f>Raw!BV95</f>
        <v>NR</v>
      </c>
      <c r="AM95" s="244" t="str">
        <f>if(ISNUMBER(Raw!BW95),concatenate(floor(Raw!BW95/60,1),":",MOD(Raw!BW95,60)),Raw!BW95)</f>
        <v>1:15</v>
      </c>
      <c r="AN95" s="255">
        <f>Raw!BX95</f>
        <v>42</v>
      </c>
      <c r="AO95" s="256">
        <f>Raw!BZ95</f>
        <v>23.66666667</v>
      </c>
      <c r="AP95" s="256">
        <f>Raw!CA95</f>
        <v>13.14814815</v>
      </c>
      <c r="AQ95" s="255" t="str">
        <f>Raw!CB95</f>
        <v>oak - hickory</v>
      </c>
      <c r="AR95" s="255" t="str">
        <f>Raw!CC95</f>
        <v>Royal Oak </v>
      </c>
      <c r="AS95" s="244" t="str">
        <f>concatenate(floor(Raw!CE95/60,1),":",text(MOD(Raw!CE95,60),"00"),ifs(Raw!CF95="Y"," (E)", Raw!CF95="Y+"," +", isblank(Raw!CF95),""))</f>
        <v>5:55</v>
      </c>
      <c r="AT95" s="255" t="str">
        <f>Raw!CR95</f>
        <v>bottom</v>
      </c>
      <c r="AU95" s="256">
        <f>Raw!CS95</f>
        <v>7</v>
      </c>
      <c r="AV95" s="255" t="str">
        <f>Raw!CT95</f>
        <v>very spongy</v>
      </c>
      <c r="AW95" s="246">
        <f>if(Raw!CW95&gt;0,Raw!CW95,"None")</f>
        <v>0.2641509434</v>
      </c>
      <c r="AX95" s="246">
        <f>if(Raw!CX95&gt;0,Raw!CX95,"None")</f>
        <v>0.4881628605</v>
      </c>
      <c r="AY95" s="255" t="str">
        <f>Raw!CY95</f>
        <v/>
      </c>
      <c r="AZ95" s="255" t="str">
        <f>Raw!CZ95</f>
        <v/>
      </c>
      <c r="BA95" s="255" t="str">
        <f>Raw!DA95</f>
        <v>past work</v>
      </c>
      <c r="BB95" s="255" t="str">
        <f>Raw!DB95</f>
        <v>LAM clay test / lower air volume</v>
      </c>
      <c r="BC95" s="257" t="str">
        <f>Raw!DC95</f>
        <v/>
      </c>
      <c r="BD95" s="248"/>
    </row>
    <row r="96">
      <c r="A96" s="249">
        <f>Raw!A96</f>
        <v>92</v>
      </c>
      <c r="B96" s="250" t="str">
        <f>Raw!B96</f>
        <v>Low &amp; Longer B</v>
      </c>
      <c r="C96" s="250" t="str">
        <f>Raw!C96</f>
        <v>Peterson, Kuntze, Hafner</v>
      </c>
      <c r="D96" s="250" t="str">
        <f>Raw!D96</f>
        <v>Wareham ON</v>
      </c>
      <c r="E96" s="251">
        <f>Raw!E96</f>
        <v>44863</v>
      </c>
      <c r="F96" s="250" t="str">
        <f>Raw!F96</f>
        <v>Viking Age</v>
      </c>
      <c r="G96" s="250" t="str">
        <f>Raw!G96</f>
        <v>N</v>
      </c>
      <c r="H96" s="250" t="str">
        <f>Raw!H96</f>
        <v>Air</v>
      </c>
      <c r="I96" s="250" t="str">
        <f>Raw!I96</f>
        <v>short shaft on stone</v>
      </c>
      <c r="J96" s="250" t="str">
        <f>Raw!J96</f>
        <v>manure cobb</v>
      </c>
      <c r="K96" s="250" t="str">
        <f>if(isblank(Raw!K96),"",if(Raw!K96&gt;1,concatenate("Use ",Raw!K96," of Expt ",Raw!L96),"Use 1"))</f>
        <v>Use 2 of Expt 91 / D36</v>
      </c>
      <c r="L96" s="250" t="str">
        <f>Raw!M96</f>
        <v>Circle</v>
      </c>
      <c r="M96" s="250" t="str">
        <f>Raw!N96</f>
        <v>cylinder</v>
      </c>
      <c r="N96" s="250">
        <f>Raw!O96</f>
        <v>59</v>
      </c>
      <c r="O96" s="250">
        <f>Raw!S96</f>
        <v>45</v>
      </c>
      <c r="P96" s="252" t="str">
        <f>Raw!T96</f>
        <v>39 to 33</v>
      </c>
      <c r="Q96" s="239">
        <f>if(L96="Rectangle",concatenate(Raw!U96," x ",Raw!V96),if(L96="Oval",concatenate(Raw!U96," by ",Raw!V96),if(isnumber(Raw!V96),concatenate(Raw!U96," to ",Raw!V96),Raw!U96)))</f>
        <v>25</v>
      </c>
      <c r="R96" s="239" t="str">
        <f>if(AND(Raw!Z96="Y",isnumber(Raw!X96)),concatenate(Raw!X96," (E)"),Raw!X96)</f>
        <v/>
      </c>
      <c r="S96" s="241">
        <f>Calcs!B96</f>
        <v>490.9</v>
      </c>
      <c r="T96" s="252" t="str">
        <f>Raw!AB96</f>
        <v>7 to 4</v>
      </c>
      <c r="U96" s="252" t="str">
        <f>Raw!AC96</f>
        <v>18 x 10</v>
      </c>
      <c r="V96" s="252" t="str">
        <f>Raw!AD96</f>
        <v>forged copper</v>
      </c>
      <c r="W96" s="212" t="str">
        <f>concatenate(Raw!AE96,if(Raw!AF96="Y"," (T)",))</f>
        <v>2.5 (T)</v>
      </c>
      <c r="X96" s="212" t="str">
        <f>concatenate(Raw!AG96,if(isblank(Raw!AH96),"",concatenate(" ",Raw!AH96)),if(isblank(Raw!AI96),""," (E)"))</f>
        <v>25 Down</v>
      </c>
      <c r="Y96" s="212" t="str">
        <f>concatenate(Raw!AJ96,if(isblank(Raw!AK96),""," (E)"))</f>
        <v>6</v>
      </c>
      <c r="Z96" s="252" t="str">
        <f>Raw!AL96</f>
        <v>charcoal fines</v>
      </c>
      <c r="AA96" s="212" t="str">
        <f>concatenate(Raw!AO96,if(Raw!AP96="Y"," (E)",))</f>
        <v>20</v>
      </c>
      <c r="AB96" s="252" t="str">
        <f>Raw!AQ96</f>
        <v>electric blower</v>
      </c>
      <c r="AC96" s="212" t="str">
        <f>concatenate(ifs(istext(Raw!AT96),Raw!AT96,AND(Raw!AT96&gt;0,isblank(Raw!AS96)),concatenate(Raw!AT96," (A)"),AND(Raw!AR96&gt;0,Raw!AS96&gt;0),concatenate(Raw!AR96," to ",Raw!AS96),1,Raw!AS96),ifs(Raw!AU96="Y-","- (E)",Raw!AU96="Y"," (E)",1,))</f>
        <v>405 to 480</v>
      </c>
      <c r="AD96" s="253">
        <f>Raw!AW96</f>
        <v>589.08</v>
      </c>
      <c r="AE96" s="239" t="str">
        <f>concatenate(Raw!AX96,if(isblank(Raw!AZ96),"",concatenate("/",Raw!AZ96)),if(isblank(Raw!BB96),"",concatenate("/",Raw!BB96)),if(isblank(Raw!BD96),"",concatenate("/",Raw!BD96)),if(isblank(Raw!BF96),"",concatenate("/",Raw!BF96)),if(Raw!BK96&gt;0,if(isblank(Raw!AX96),"Gromps","/Gromps"),))</f>
        <v>DD1/Bratton's Run Goethite</v>
      </c>
      <c r="AF96" s="239" t="str">
        <f>concatenate(round(Raw!AY96,1),if(isblank(Raw!AZ96),"",concatenate("/",round(Raw!BA96,1))),if(isblank(Raw!BB96),"",concatenate("/",round(Raw!BC96,1))),if(isblank(Raw!BD96),"",concatenate("/",round(Raw!BE96,1))),if(isblank(Raw!BF96),"",concatenate("/",round(Raw!BG96,1))),if(isblank(Raw!BK96),,concatenate("/",if(isnumber(Raw!BK96),round(Raw!BK96,1),Raw!BK96))))</f>
        <v>24.5/2</v>
      </c>
      <c r="AG96" s="241">
        <f>Raw!BL96</f>
        <v>26.5</v>
      </c>
      <c r="AH96" s="254">
        <f>Raw!BI96</f>
        <v>0.5411123311</v>
      </c>
      <c r="AI96" s="255" t="str">
        <f>Raw!BJ96</f>
        <v>raw</v>
      </c>
      <c r="AJ96" s="255" t="str">
        <f>Raw!BM96</f>
        <v/>
      </c>
      <c r="AK96" s="255" t="str">
        <f>Raw!BO96</f>
        <v>all to 25 / 10</v>
      </c>
      <c r="AL96" s="256" t="str">
        <f>Raw!BV96</f>
        <v>NR</v>
      </c>
      <c r="AM96" s="244" t="str">
        <f>if(ISNUMBER(Raw!BW96),concatenate(floor(Raw!BW96/60,1),":",MOD(Raw!BW96,60)),Raw!BW96)</f>
        <v>1:25</v>
      </c>
      <c r="AN96" s="255">
        <f>Raw!BX96</f>
        <v>56</v>
      </c>
      <c r="AO96" s="256">
        <f>Raw!BZ96</f>
        <v>30.86666667</v>
      </c>
      <c r="AP96" s="256">
        <f>Raw!CA96</f>
        <v>11.18357488</v>
      </c>
      <c r="AQ96" s="255" t="str">
        <f>Raw!CB96</f>
        <v>oak - hickory</v>
      </c>
      <c r="AR96" s="255" t="str">
        <f>Raw!CC96</f>
        <v>Royal Oak</v>
      </c>
      <c r="AS96" s="244" t="str">
        <f>concatenate(floor(Raw!CE96/60,1),":",text(MOD(Raw!CE96,60),"00"),ifs(Raw!CF96="Y"," (E)", Raw!CF96="Y+"," +", isblank(Raw!CF96),""))</f>
        <v>7:43</v>
      </c>
      <c r="AT96" s="255" t="str">
        <f>Raw!CR96</f>
        <v>bottom</v>
      </c>
      <c r="AU96" s="256">
        <f>Raw!CS96</f>
        <v>5</v>
      </c>
      <c r="AV96" s="255" t="str">
        <f>Raw!CT96</f>
        <v>very crumbly</v>
      </c>
      <c r="AW96" s="246">
        <f>if(Raw!CW96&gt;0,Raw!CW96,"None")</f>
        <v>0.1886792453</v>
      </c>
      <c r="AX96" s="246">
        <f>if(Raw!CX96&gt;0,Raw!CX96,"None")</f>
        <v>0.3486877575</v>
      </c>
      <c r="AY96" s="255" t="str">
        <f>Raw!CY96</f>
        <v/>
      </c>
      <c r="AZ96" s="255" t="str">
        <f>Raw!CZ96</f>
        <v/>
      </c>
      <c r="BA96" s="255" t="str">
        <f>Raw!DA96</f>
        <v>previous</v>
      </c>
      <c r="BB96" s="255" t="str">
        <f>Raw!DB96</f>
        <v>lower air volume repeated</v>
      </c>
      <c r="BC96" s="257" t="str">
        <f>Raw!DC96</f>
        <v>2nd use of furnace</v>
      </c>
      <c r="BD96" s="248"/>
    </row>
    <row r="97">
      <c r="A97" s="249">
        <f>Raw!A97</f>
        <v>93</v>
      </c>
      <c r="B97" s="250" t="str">
        <f>Raw!B97</f>
        <v>Caherconnell</v>
      </c>
      <c r="C97" s="250" t="str">
        <f>Raw!C97</f>
        <v>Jeffery, O Duhghail</v>
      </c>
      <c r="D97" s="250" t="str">
        <f>Raw!D97</f>
        <v>Caherconnell Ireland</v>
      </c>
      <c r="E97" s="251">
        <f>Raw!E97</f>
        <v>45165</v>
      </c>
      <c r="F97" s="250" t="str">
        <f>Raw!F97</f>
        <v>Irish ?</v>
      </c>
      <c r="G97" s="250" t="str">
        <f>Raw!G97</f>
        <v>Y</v>
      </c>
      <c r="H97" s="250" t="str">
        <f>Raw!H97</f>
        <v/>
      </c>
      <c r="I97" s="250" t="str">
        <f>Raw!I97</f>
        <v>short shaft</v>
      </c>
      <c r="J97" s="250" t="str">
        <f>Raw!J97</f>
        <v>clay / sand</v>
      </c>
      <c r="K97" s="250" t="str">
        <f>if(isblank(Raw!K97),"",if(Raw!K97&gt;1,concatenate("Use ",Raw!K97," of Expt ",Raw!L97),"Use 1"))</f>
        <v/>
      </c>
      <c r="L97" s="250" t="str">
        <f>Raw!M97</f>
        <v>Oval to Circle</v>
      </c>
      <c r="M97" s="250" t="str">
        <f>Raw!N97</f>
        <v>conical</v>
      </c>
      <c r="N97" s="250">
        <f>Raw!O97</f>
        <v>69</v>
      </c>
      <c r="O97" s="250">
        <f>Raw!S97</f>
        <v>53</v>
      </c>
      <c r="P97" s="252" t="str">
        <f>Raw!T97</f>
        <v>NR</v>
      </c>
      <c r="Q97" s="239" t="str">
        <f>if(L97="Rectangle",concatenate(Raw!U97," x ",Raw!V97),if(L97="Oval",concatenate(Raw!U97," by ",Raw!V97),if(isnumber(Raw!V97),concatenate(Raw!U97," to ",Raw!V97),Raw!U97)))</f>
        <v>35 to 30</v>
      </c>
      <c r="R97" s="239" t="str">
        <f>if(AND(Raw!Z97="Y",isnumber(Raw!X97)),concatenate(Raw!X97," (E)"),Raw!X97)</f>
        <v>28.5 (E)</v>
      </c>
      <c r="S97" s="241" t="str">
        <f>Calcs!B97</f>
        <v>637.9 (E)</v>
      </c>
      <c r="T97" s="252" t="str">
        <f>Raw!AB97</f>
        <v>NR</v>
      </c>
      <c r="U97" s="252" t="str">
        <f>Raw!AC97</f>
        <v>NR</v>
      </c>
      <c r="V97" s="252" t="str">
        <f>Raw!AD97</f>
        <v>sheet copper</v>
      </c>
      <c r="W97" s="212" t="str">
        <f>concatenate(Raw!AE97,if(Raw!AF97="Y"," (T)",))</f>
        <v>2 (T)</v>
      </c>
      <c r="X97" s="212" t="str">
        <f>concatenate(Raw!AG97,if(isblank(Raw!AH97),"",concatenate(" ",Raw!AH97)),if(isblank(Raw!AI97),""," (E)"))</f>
        <v>20 Down</v>
      </c>
      <c r="Y97" s="212" t="str">
        <f>concatenate(Raw!AJ97,if(isblank(Raw!AK97),""," (E)"))</f>
        <v>4.5</v>
      </c>
      <c r="Z97" s="252" t="str">
        <f>Raw!AL97</f>
        <v>thin ash</v>
      </c>
      <c r="AA97" s="212" t="str">
        <f>concatenate(Raw!AO97,if(Raw!AP97="Y"," (E)",))</f>
        <v>11</v>
      </c>
      <c r="AB97" s="252" t="str">
        <f>Raw!AQ97</f>
        <v>small blower</v>
      </c>
      <c r="AC97" s="212" t="str">
        <f>concatenate(ifs(istext(Raw!AT97),Raw!AT97,AND(Raw!AT97&gt;0,isblank(Raw!AS97)),concatenate(Raw!AT97," (A)"),AND(Raw!AR97&gt;0,Raw!AS97&gt;0),concatenate(Raw!AR97," to ",Raw!AS97),1,Raw!AS97),ifs(Raw!AU97="Y-","- (E)",Raw!AU97="Y"," (E)",1,))</f>
        <v>?</v>
      </c>
      <c r="AD97" s="253">
        <f>Raw!AW97</f>
        <v>765.48</v>
      </c>
      <c r="AE97" s="239" t="str">
        <f>concatenate(Raw!AX97,if(isblank(Raw!AZ97),"",concatenate("/",Raw!AZ97)),if(isblank(Raw!BB97),"",concatenate("/",Raw!BB97)),if(isblank(Raw!BD97),"",concatenate("/",Raw!BD97)),if(isblank(Raw!BF97),"",concatenate("/",Raw!BF97)),if(Raw!BK97&gt;0,if(isblank(Raw!AX97),"Gromps","/Gromps"),))</f>
        <v>Antrim Irish Hematite</v>
      </c>
      <c r="AF97" s="239" t="str">
        <f>concatenate(round(Raw!AY97,1),if(isblank(Raw!AZ97),"",concatenate("/",round(Raw!BA97,1))),if(isblank(Raw!BB97),"",concatenate("/",round(Raw!BC97,1))),if(isblank(Raw!BD97),"",concatenate("/",round(Raw!BE97,1))),if(isblank(Raw!BF97),"",concatenate("/",round(Raw!BG97,1))),if(isblank(Raw!BK97),,concatenate("/",if(isnumber(Raw!BK97),round(Raw!BK97,1),Raw!BK97))))</f>
        <v>25.5</v>
      </c>
      <c r="AG97" s="241">
        <f>Raw!BL97</f>
        <v>25.5</v>
      </c>
      <c r="AH97" s="254">
        <f>Raw!BI97</f>
        <v>0.3497153807</v>
      </c>
      <c r="AI97" s="255" t="str">
        <f>Raw!BJ97</f>
        <v>roasted</v>
      </c>
      <c r="AJ97" s="255" t="str">
        <f>Raw!BM97</f>
        <v/>
      </c>
      <c r="AK97" s="255" t="str">
        <f>Raw!BO97</f>
        <v>all to 5</v>
      </c>
      <c r="AL97" s="256" t="str">
        <f>Raw!BV97</f>
        <v>NR</v>
      </c>
      <c r="AM97" s="244" t="str">
        <f>if(ISNUMBER(Raw!BW97),concatenate(floor(Raw!BW97/60,1),":",MOD(Raw!BW97,60)),Raw!BW97)</f>
        <v>1:8</v>
      </c>
      <c r="AN97" s="255">
        <f>Raw!BX97</f>
        <v>28</v>
      </c>
      <c r="AO97" s="256">
        <f>Raw!BZ97</f>
        <v>7.625</v>
      </c>
      <c r="AP97" s="256">
        <f>Raw!CA97</f>
        <v>7.625</v>
      </c>
      <c r="AQ97" s="255" t="str">
        <f>Raw!CB97</f>
        <v>? hardwood</v>
      </c>
      <c r="AR97" s="255" t="str">
        <f>Raw!CC97</f>
        <v>Ireland</v>
      </c>
      <c r="AS97" s="244" t="str">
        <f>concatenate(floor(Raw!CE97/60,1),":",text(MOD(Raw!CE97,60),"00"),ifs(Raw!CF97="Y"," (E)", Raw!CF97="Y+"," +", isblank(Raw!CF97),""))</f>
        <v>2:02</v>
      </c>
      <c r="AT97" s="255" t="str">
        <f>Raw!CR97</f>
        <v>cold</v>
      </c>
      <c r="AU97" s="256">
        <f>Raw!CS97</f>
        <v>1.4</v>
      </c>
      <c r="AV97" s="255" t="str">
        <f>Raw!CT97</f>
        <v>lacy disk</v>
      </c>
      <c r="AW97" s="246">
        <f>if(Raw!CW97&gt;0,Raw!CW97,"None")</f>
        <v>0.05490196078</v>
      </c>
      <c r="AX97" s="246">
        <f>if(Raw!CX97&gt;0,Raw!CX97,"None")</f>
        <v>0.1569904094</v>
      </c>
      <c r="AY97" s="255" t="str">
        <f>Raw!CY97</f>
        <v/>
      </c>
      <c r="AZ97" s="255" t="str">
        <f>Raw!CZ97</f>
        <v/>
      </c>
      <c r="BA97" s="255" t="str">
        <f>Raw!DA97</f>
        <v>previous Irish work</v>
      </c>
      <c r="BB97" s="255" t="str">
        <f>Raw!DB97</f>
        <v>test of ore</v>
      </c>
      <c r="BC97" s="257" t="str">
        <f>Raw!DC97</f>
        <v>re-use of poor furnace, expected low yields</v>
      </c>
      <c r="BD97" s="248"/>
    </row>
    <row r="98">
      <c r="A98" s="249" t="str">
        <f>Raw!A98</f>
        <v>94 / D37</v>
      </c>
      <c r="B98" s="250" t="str">
        <f>Raw!B98</f>
        <v>Plusing Air</v>
      </c>
      <c r="C98" s="250" t="str">
        <f>Raw!C98</f>
        <v>DARC, Kuntze</v>
      </c>
      <c r="D98" s="250" t="str">
        <f>Raw!D98</f>
        <v>Wareham ON</v>
      </c>
      <c r="E98" s="251">
        <f>Raw!E98</f>
        <v>45227</v>
      </c>
      <c r="F98" s="250" t="str">
        <f>Raw!F98</f>
        <v>Viking Age</v>
      </c>
      <c r="G98" s="250" t="str">
        <f>Raw!G98</f>
        <v>N</v>
      </c>
      <c r="H98" s="250" t="str">
        <f>Raw!H98</f>
        <v>Air</v>
      </c>
      <c r="I98" s="250" t="str">
        <f>Raw!I98</f>
        <v>short shaft on block</v>
      </c>
      <c r="J98" s="250" t="str">
        <f>Raw!J98</f>
        <v>manure cobb</v>
      </c>
      <c r="K98" s="250" t="str">
        <f>if(isblank(Raw!K98),"",if(Raw!K98&gt;1,concatenate("Use ",Raw!K98," of Expt ",Raw!L98),"Use 1"))</f>
        <v/>
      </c>
      <c r="L98" s="250" t="str">
        <f>Raw!M98</f>
        <v>Circle</v>
      </c>
      <c r="M98" s="250" t="str">
        <f>Raw!N98</f>
        <v>cylinder</v>
      </c>
      <c r="N98" s="250">
        <f>Raw!O98</f>
        <v>62</v>
      </c>
      <c r="O98" s="250">
        <f>Raw!S98</f>
        <v>45</v>
      </c>
      <c r="P98" s="252" t="str">
        <f>Raw!T98</f>
        <v>39 to 32</v>
      </c>
      <c r="Q98" s="239">
        <f>if(L98="Rectangle",concatenate(Raw!U98," x ",Raw!V98),if(L98="Oval",concatenate(Raw!U98," by ",Raw!V98),if(isnumber(Raw!V98),concatenate(Raw!U98," to ",Raw!V98),Raw!U98)))</f>
        <v>25</v>
      </c>
      <c r="R98" s="239" t="str">
        <f>if(AND(Raw!Z98="Y",isnumber(Raw!X98)),concatenate(Raw!X98," (E)"),Raw!X98)</f>
        <v/>
      </c>
      <c r="S98" s="262">
        <f>Calcs!B98</f>
        <v>490.9</v>
      </c>
      <c r="T98" s="252" t="str">
        <f>Raw!AB98</f>
        <v>7 to 4</v>
      </c>
      <c r="U98" s="252" t="str">
        <f>Raw!AC98</f>
        <v>22 x 10</v>
      </c>
      <c r="V98" s="252" t="str">
        <f>Raw!AD98</f>
        <v>forged copper</v>
      </c>
      <c r="W98" s="212" t="str">
        <f>concatenate(Raw!AE98,if(Raw!AF98="Y"," (T)",))</f>
        <v>2.5 (T)</v>
      </c>
      <c r="X98" s="212" t="str">
        <f>concatenate(Raw!AG98,if(isblank(Raw!AH98),"",concatenate(" ",Raw!AH98)),if(isblank(Raw!AI98),""," (E)"))</f>
        <v>22 Down</v>
      </c>
      <c r="Y98" s="212" t="str">
        <f>concatenate(Raw!AJ98,if(isblank(Raw!AK98),""," (E)"))</f>
        <v>5</v>
      </c>
      <c r="Z98" s="252" t="str">
        <f>Raw!AL98</f>
        <v>charcoal fines</v>
      </c>
      <c r="AA98" s="212" t="str">
        <f>concatenate(Raw!AO98,if(Raw!AP98="Y"," (E)",))</f>
        <v>18</v>
      </c>
      <c r="AB98" s="252" t="str">
        <f>Raw!AQ98</f>
        <v>blower / sliding gate</v>
      </c>
      <c r="AC98" s="212" t="str">
        <f>concatenate(ifs(istext(Raw!AT98),Raw!AT98,AND(Raw!AT98&gt;0,isblank(Raw!AS98)),concatenate(Raw!AT98," (A)"),AND(Raw!AR98&gt;0,Raw!AS98&gt;0),concatenate(Raw!AR98," to ",Raw!AS98),1,Raw!AS98),ifs(Raw!AU98="Y-","- (E)",Raw!AU98="Y"," (E)",1,))</f>
        <v>instrument fail</v>
      </c>
      <c r="AD98" s="253">
        <f>Raw!AW98</f>
        <v>589.08</v>
      </c>
      <c r="AE98" s="239" t="str">
        <f>concatenate(Raw!AX98,if(isblank(Raw!AZ98),"",concatenate("/",Raw!AZ98)),if(isblank(Raw!BB98),"",concatenate("/",Raw!BB98)),if(isblank(Raw!BD98),"",concatenate("/",Raw!BD98)),if(isblank(Raw!BF98),"",concatenate("/",Raw!BF98)),if(Raw!BK98&gt;0,if(isblank(Raw!AX98),"Gromps","/Gromps"),))</f>
        <v>DD1</v>
      </c>
      <c r="AF98" s="239" t="str">
        <f>concatenate(round(Raw!AY98,1),if(isblank(Raw!AZ98),"",concatenate("/",round(Raw!BA98,1))),if(isblank(Raw!BB98),"",concatenate("/",round(Raw!BC98,1))),if(isblank(Raw!BD98),"",concatenate("/",round(Raw!BE98,1))),if(isblank(Raw!BF98),"",concatenate("/",round(Raw!BG98,1))),if(isblank(Raw!BK98),,concatenate("/",if(isnumber(Raw!BK98),round(Raw!BK98,1),Raw!BK98))))</f>
        <v>17.5</v>
      </c>
      <c r="AG98" s="241">
        <f>Raw!BL98</f>
        <v>17.5</v>
      </c>
      <c r="AH98" s="254">
        <f>Raw!BI98</f>
        <v>0.5482634678</v>
      </c>
      <c r="AI98" s="255" t="str">
        <f>Raw!BJ98</f>
        <v>raw</v>
      </c>
      <c r="AJ98" s="255">
        <f>Raw!BM98</f>
        <v>2.8</v>
      </c>
      <c r="AK98" s="255" t="str">
        <f>Raw!BO98</f>
        <v>all to 25</v>
      </c>
      <c r="AL98" s="256">
        <f>Raw!BV98</f>
        <v>16.47916667</v>
      </c>
      <c r="AM98" s="244" t="str">
        <f>if(ISNUMBER(Raw!BW98),concatenate(floor(Raw!BW98/60,1),":",MOD(Raw!BW98,60)),Raw!BW98)</f>
        <v>0:56</v>
      </c>
      <c r="AN98" s="255">
        <f>Raw!BX98</f>
        <v>48</v>
      </c>
      <c r="AO98" s="256">
        <f>Raw!BZ98</f>
        <v>33.08333333</v>
      </c>
      <c r="AP98" s="256">
        <f>Raw!CA98</f>
        <v>17.88288288</v>
      </c>
      <c r="AQ98" s="255" t="str">
        <f>Raw!CB98</f>
        <v>oak-hickory / ash</v>
      </c>
      <c r="AR98" s="255" t="str">
        <f>Raw!CC98</f>
        <v>Royal Oak / Goltz</v>
      </c>
      <c r="AS98" s="244" t="str">
        <f>concatenate(floor(Raw!CE98/60,1),":",text(MOD(Raw!CE98,60),"00"),ifs(Raw!CF98="Y"," (E)", Raw!CF98="Y+"," +", isblank(Raw!CF98),""))</f>
        <v>6:37</v>
      </c>
      <c r="AT98" s="255" t="str">
        <f>Raw!CR98</f>
        <v>bottom</v>
      </c>
      <c r="AU98" s="256">
        <f>Raw!CS98</f>
        <v>3.023</v>
      </c>
      <c r="AV98" s="255" t="str">
        <f>Raw!CT98</f>
        <v>fragmented</v>
      </c>
      <c r="AW98" s="246">
        <f>if(Raw!CW98&gt;0,Raw!CW98,"None")</f>
        <v>0.1727428571</v>
      </c>
      <c r="AX98" s="246">
        <f>if(Raw!CX98&gt;0,Raw!CX98,"None")</f>
        <v>0.315072711</v>
      </c>
      <c r="AY98" s="255" t="str">
        <f>Raw!CY98</f>
        <v/>
      </c>
      <c r="AZ98" s="255" t="str">
        <f>Raw!CZ98</f>
        <v/>
      </c>
      <c r="BA98" s="255" t="str">
        <f>Raw!DA98</f>
        <v>smelter bellows</v>
      </c>
      <c r="BB98" s="255" t="str">
        <f>Raw!DB98</f>
        <v>effect of sliding gate air supply</v>
      </c>
      <c r="BC98" s="257" t="str">
        <f>Raw!DC98</f>
        <v>expected extended duration</v>
      </c>
      <c r="BD98" s="248"/>
    </row>
    <row r="99">
      <c r="A99" s="249" t="str">
        <f>Raw!A99</f>
        <v>95 / D38</v>
      </c>
      <c r="B99" s="250" t="str">
        <f>Raw!B99</f>
        <v>Pulsing Air Demo</v>
      </c>
      <c r="C99" s="250" t="str">
        <f>Raw!C99</f>
        <v>DARC, Rodgers</v>
      </c>
      <c r="D99" s="250" t="str">
        <f>Raw!D99</f>
        <v>Tiverton ON</v>
      </c>
      <c r="E99" s="251">
        <f>Raw!E99</f>
        <v>45464</v>
      </c>
      <c r="F99" s="250" t="str">
        <f>Raw!F99</f>
        <v>Viking Age</v>
      </c>
      <c r="G99" s="250" t="str">
        <f>Raw!G99</f>
        <v>Y</v>
      </c>
      <c r="H99" s="250" t="str">
        <f>Raw!H99</f>
        <v>Air</v>
      </c>
      <c r="I99" s="250" t="str">
        <f>Raw!I99</f>
        <v>short shaft on stone</v>
      </c>
      <c r="J99" s="250" t="str">
        <f>Raw!J99</f>
        <v>clay / broken furnace</v>
      </c>
      <c r="K99" s="250" t="str">
        <f>if(isblank(Raw!K99),"",if(Raw!K99&gt;1,concatenate("Use ",Raw!K99," of Expt ",Raw!L99),"Use 1"))</f>
        <v/>
      </c>
      <c r="L99" s="250" t="str">
        <f>Raw!M99</f>
        <v>Circle</v>
      </c>
      <c r="M99" s="250" t="str">
        <f>Raw!N99</f>
        <v>cylinder</v>
      </c>
      <c r="N99" s="250">
        <f>Raw!O99</f>
        <v>72</v>
      </c>
      <c r="O99" s="250">
        <f>Raw!S99</f>
        <v>59</v>
      </c>
      <c r="P99" s="252" t="str">
        <f>Raw!T99</f>
        <v>35 to 30</v>
      </c>
      <c r="Q99" s="239">
        <f>if(L99="Rectangle",concatenate(Raw!U99," x ",Raw!V99),if(L99="Oval",concatenate(Raw!U99," by ",Raw!V99),if(isnumber(Raw!V99),concatenate(Raw!U99," to ",Raw!V99),Raw!U99)))</f>
        <v>25</v>
      </c>
      <c r="R99" s="239" t="str">
        <f>if(AND(Raw!Z99="Y",isnumber(Raw!X99)),concatenate(Raw!X99," (E)"),Raw!X99)</f>
        <v/>
      </c>
      <c r="S99" s="262">
        <f>Calcs!B99</f>
        <v>490.9</v>
      </c>
      <c r="T99" s="252" t="str">
        <f>Raw!AB99</f>
        <v>5 to 2.5</v>
      </c>
      <c r="U99" s="252" t="str">
        <f>Raw!AC99</f>
        <v>20 x 9</v>
      </c>
      <c r="V99" s="252" t="str">
        <f>Raw!AD99</f>
        <v>ceramic tube</v>
      </c>
      <c r="W99" s="252" t="str">
        <f>concatenate(Raw!AE99,if(Raw!AF99="Y"," (T)",))</f>
        <v>2.5</v>
      </c>
      <c r="X99" s="252" t="str">
        <f>concatenate(Raw!AG99,if(isblank(Raw!AH99),"",concatenate(" ",Raw!AH99)),if(isblank(Raw!AI99),""," (E)"))</f>
        <v>22 Down</v>
      </c>
      <c r="Y99" s="252" t="str">
        <f>concatenate(Raw!AJ99,if(isblank(Raw!AK99),""," (E)"))</f>
        <v>4.5</v>
      </c>
      <c r="Z99" s="252" t="str">
        <f>Raw!AL99</f>
        <v>charcoal fines</v>
      </c>
      <c r="AA99" s="252" t="str">
        <f>concatenate(Raw!AO99,if(Raw!AP99="Y"," (E)",))</f>
        <v>13</v>
      </c>
      <c r="AB99" s="252" t="str">
        <f>Raw!AQ99</f>
        <v>blower / sliding gate</v>
      </c>
      <c r="AC99" s="252" t="str">
        <f>concatenate(ifs(istext(Raw!AT99),Raw!AT99,AND(Raw!AT99&gt;0,isblank(Raw!AS99)),concatenate(Raw!AT99," (A)"),AND(Raw!AR99&gt;0,Raw!AS99&gt;0),concatenate(Raw!AR99," to ",Raw!AS99),1,Raw!AS99),ifs(Raw!AU99="Y-","- (E)",Raw!AU99="Y"," (E)",1,))</f>
        <v>525 (A) (E)</v>
      </c>
      <c r="AD99" s="253">
        <f>Raw!AW99</f>
        <v>589.08</v>
      </c>
      <c r="AE99" s="239" t="str">
        <f>concatenate(Raw!AX99,if(isblank(Raw!AZ99),"",concatenate("/",Raw!AZ99)),if(isblank(Raw!BB99),"",concatenate("/",Raw!BB99)),if(isblank(Raw!BD99),"",concatenate("/",Raw!BD99)),if(isblank(Raw!BF99),"",concatenate("/",Raw!BF99)),if(Raw!BK99&gt;0,if(isblank(Raw!AX99),"Gromps","/Gromps"),))</f>
        <v>DD1</v>
      </c>
      <c r="AF99" s="239" t="str">
        <f>concatenate(round(Raw!AY99,1),if(isblank(Raw!AZ99),"",concatenate("/",round(Raw!BA99,1))),if(isblank(Raw!BB99),"",concatenate("/",round(Raw!BC99,1))),if(isblank(Raw!BD99),"",concatenate("/",round(Raw!BE99,1))),if(isblank(Raw!BF99),"",concatenate("/",round(Raw!BG99,1))),if(isblank(Raw!BK99),,concatenate("/",if(isnumber(Raw!BK99),round(Raw!BK99,1),Raw!BK99))))</f>
        <v>17.5</v>
      </c>
      <c r="AG99" s="262">
        <f>Raw!BL99</f>
        <v>17.5</v>
      </c>
      <c r="AH99" s="254">
        <f>Raw!BI99</f>
        <v>0.5482634678</v>
      </c>
      <c r="AI99" s="255" t="str">
        <f>Raw!BJ99</f>
        <v>raw</v>
      </c>
      <c r="AJ99" s="255">
        <f>Raw!BM99</f>
        <v>4</v>
      </c>
      <c r="AK99" s="255" t="str">
        <f>Raw!BO99</f>
        <v>all to 25</v>
      </c>
      <c r="AL99" s="256">
        <f>Raw!BV99</f>
        <v>9.557377049</v>
      </c>
      <c r="AM99" s="255" t="str">
        <f>if(ISNUMBER(Raw!BW99),concatenate(floor(Raw!BW99/60,1),":",MOD(Raw!BW99,60)),Raw!BW99)</f>
        <v>2:21</v>
      </c>
      <c r="AN99" s="255">
        <f>Raw!BX99</f>
        <v>61</v>
      </c>
      <c r="AO99" s="256">
        <f>Raw!BZ99</f>
        <v>22.78571429</v>
      </c>
      <c r="AP99" s="256">
        <f>Raw!CA99</f>
        <v>11.9924812</v>
      </c>
      <c r="AQ99" s="255" t="str">
        <f>Raw!CB99</f>
        <v>ash</v>
      </c>
      <c r="AR99" s="255" t="str">
        <f>Raw!CC99</f>
        <v>Goltz</v>
      </c>
      <c r="AS99" s="255" t="str">
        <f>concatenate(floor(Raw!CE99/60,1),":",text(MOD(Raw!CE99,60),"00"),ifs(Raw!CF99="Y"," (E)", Raw!CF99="Y+"," +", isblank(Raw!CF99),""))</f>
        <v>5:19</v>
      </c>
      <c r="AT99" s="255" t="str">
        <f>Raw!CR99</f>
        <v>bottom</v>
      </c>
      <c r="AU99" s="256" t="str">
        <f>Raw!CS99</f>
        <v>NR</v>
      </c>
      <c r="AV99" s="255" t="str">
        <f>Raw!CT99</f>
        <v>fragmented</v>
      </c>
      <c r="AW99" s="263" t="str">
        <f>if(Raw!CW99&gt;0,Raw!CW99,"None")</f>
        <v>NR</v>
      </c>
      <c r="AX99" s="263" t="str">
        <f>if(Raw!CX99&gt;0,Raw!CX99,"None")</f>
        <v>NR</v>
      </c>
      <c r="AY99" s="255" t="str">
        <f>Raw!CY99</f>
        <v/>
      </c>
      <c r="AZ99" s="255" t="str">
        <f>Raw!CZ99</f>
        <v/>
      </c>
      <c r="BA99" s="255" t="str">
        <f>Raw!DA99</f>
        <v>smelter bellows</v>
      </c>
      <c r="BB99" s="255" t="str">
        <f>Raw!DB99</f>
        <v>effect of sliding gate air supply</v>
      </c>
      <c r="BC99" s="257" t="str">
        <f>Raw!DC99</f>
        <v>air fail, no burn down 9 - 12 kg in stack</v>
      </c>
      <c r="BD99" s="264"/>
    </row>
    <row r="100">
      <c r="A100" s="249" t="str">
        <f>Raw!A100</f>
        <v>96 / D39</v>
      </c>
      <c r="B100" s="250" t="str">
        <f>Raw!B100</f>
        <v>Pulsing Air Followup</v>
      </c>
      <c r="C100" s="250" t="str">
        <f>Raw!C100</f>
        <v>Peterson, Hafner, Hickey</v>
      </c>
      <c r="D100" s="250" t="str">
        <f>Raw!D100</f>
        <v>Wareham ON</v>
      </c>
      <c r="E100" s="251">
        <f>Raw!E100</f>
        <v>45578</v>
      </c>
      <c r="F100" s="250" t="str">
        <f>Raw!F100</f>
        <v>Viking Age</v>
      </c>
      <c r="G100" s="250" t="str">
        <f>Raw!G100</f>
        <v>N</v>
      </c>
      <c r="H100" s="250" t="str">
        <f>Raw!H100</f>
        <v>Air</v>
      </c>
      <c r="I100" s="250" t="str">
        <f>Raw!I100</f>
        <v>short shaft on block</v>
      </c>
      <c r="J100" s="250" t="str">
        <f>Raw!J100</f>
        <v>manure cobb</v>
      </c>
      <c r="K100" s="250" t="str">
        <f>if(isblank(Raw!K100),"",if(Raw!K100&gt;1,concatenate("Use ",Raw!K100," of Expt ",Raw!L100),"Use 1"))</f>
        <v/>
      </c>
      <c r="L100" s="250" t="str">
        <f>Raw!M100</f>
        <v>Circle</v>
      </c>
      <c r="M100" s="250" t="str">
        <f>Raw!N100</f>
        <v>cylinder</v>
      </c>
      <c r="N100" s="250">
        <f>Raw!O100</f>
        <v>61</v>
      </c>
      <c r="O100" s="250">
        <f>Raw!S100</f>
        <v>43</v>
      </c>
      <c r="P100" s="252">
        <f>Raw!T100</f>
        <v>33</v>
      </c>
      <c r="Q100" s="250">
        <f>if(L100="Rectangle",concatenate(Raw!U100," x ",Raw!V100),if(L100="Oval",concatenate(Raw!U100," by ",Raw!V100),if(isnumber(Raw!V100),concatenate(Raw!U100," to ",Raw!V100),Raw!U100)))</f>
        <v>23</v>
      </c>
      <c r="R100" s="250">
        <f>if(AND(Raw!Z100="Y",isnumber(Raw!X100)),concatenate(Raw!X100," (E)"),Raw!X100)</f>
        <v>22</v>
      </c>
      <c r="S100" s="262">
        <f>Calcs!B100</f>
        <v>380.1</v>
      </c>
      <c r="T100" s="252">
        <f>Raw!AB100</f>
        <v>5</v>
      </c>
      <c r="U100" s="252" t="str">
        <f>Raw!AC100</f>
        <v>16 x 10</v>
      </c>
      <c r="V100" s="252" t="str">
        <f>Raw!AD100</f>
        <v>forged copper</v>
      </c>
      <c r="W100" s="252" t="str">
        <f>concatenate(Raw!AE100,if(Raw!AF100="Y"," (T)",))</f>
        <v>2.5 (T)</v>
      </c>
      <c r="X100" s="252" t="str">
        <f>concatenate(Raw!AG100,if(isblank(Raw!AH100),"",concatenate(" ",Raw!AH100)),if(isblank(Raw!AI100),""," (E)"))</f>
        <v>22 Down</v>
      </c>
      <c r="Y100" s="252" t="str">
        <f>concatenate(Raw!AJ100,if(isblank(Raw!AK100),""," (E)"))</f>
        <v>5</v>
      </c>
      <c r="Z100" s="252" t="str">
        <f>Raw!AL100</f>
        <v>charcoal fines</v>
      </c>
      <c r="AA100" s="252" t="str">
        <f>concatenate(Raw!AO100,if(Raw!AP100="Y"," (E)",))</f>
        <v>18</v>
      </c>
      <c r="AB100" s="252" t="str">
        <f>Raw!AQ100</f>
        <v>blower / sliding gate</v>
      </c>
      <c r="AC100" s="252" t="str">
        <f>concatenate(ifs(istext(Raw!AT100),Raw!AT100,AND(Raw!AT100&gt;0,isblank(Raw!AS100)),concatenate(Raw!AT100," (A)"),AND(Raw!AR100&gt;0,Raw!AS100&gt;0),concatenate(Raw!AR100," to ",Raw!AS100),1,Raw!AS100),ifs(Raw!AU100="Y-","- (E)",Raw!AU100="Y"," (E)",1,))</f>
        <v>601.035 (A) (E)</v>
      </c>
      <c r="AD100" s="253">
        <f>Raw!AW100</f>
        <v>456.12</v>
      </c>
      <c r="AE100" s="250" t="str">
        <f>concatenate(Raw!AX100,if(isblank(Raw!AZ100),"",concatenate("/",Raw!AZ100)),if(isblank(Raw!BB100),"",concatenate("/",Raw!BB100)),if(isblank(Raw!BD100),"",concatenate("/",Raw!BD100)),if(isblank(Raw!BF100),"",concatenate("/",Raw!BF100)),if(Raw!BK100&gt;0,if(isblank(Raw!AX100),"Gromps","/Gromps"),))</f>
        <v>DD1</v>
      </c>
      <c r="AF100" s="250" t="str">
        <f>concatenate(round(Raw!AY100,1),if(isblank(Raw!AZ100),"",concatenate("/",round(Raw!BA100,1))),if(isblank(Raw!BB100),"",concatenate("/",round(Raw!BC100,1))),if(isblank(Raw!BD100),"",concatenate("/",round(Raw!BE100,1))),if(isblank(Raw!BF100),"",concatenate("/",round(Raw!BG100,1))),if(isblank(Raw!BK100),,concatenate("/",if(isnumber(Raw!BK100),round(Raw!BK100,1),Raw!BK100))))</f>
        <v>15</v>
      </c>
      <c r="AG100" s="262">
        <f>Raw!BL100</f>
        <v>15</v>
      </c>
      <c r="AH100" s="254">
        <f>Raw!BI100</f>
        <v>0.5482634678</v>
      </c>
      <c r="AI100" s="255" t="str">
        <f>Raw!BJ100</f>
        <v>raw</v>
      </c>
      <c r="AJ100" s="255">
        <f>Raw!BM100</f>
        <v>3</v>
      </c>
      <c r="AK100" s="255" t="str">
        <f>Raw!BO100</f>
        <v>all to 25</v>
      </c>
      <c r="AL100" s="256">
        <f>Raw!BV100</f>
        <v>18.01204819</v>
      </c>
      <c r="AM100" s="255" t="str">
        <f>if(ISNUMBER(Raw!BW100),concatenate(floor(Raw!BW100/60,1),":",MOD(Raw!BW100,60)),Raw!BW100)</f>
        <v>2:57</v>
      </c>
      <c r="AN100" s="255">
        <f>Raw!BX100</f>
        <v>33.2</v>
      </c>
      <c r="AO100" s="256">
        <f>Raw!BZ100</f>
        <v>33.2</v>
      </c>
      <c r="AP100" s="256">
        <f>Raw!CA100</f>
        <v>20.75</v>
      </c>
      <c r="AQ100" s="255" t="str">
        <f>Raw!CB100</f>
        <v>oak-hickory / ash</v>
      </c>
      <c r="AR100" s="255" t="str">
        <f>Raw!CC100</f>
        <v>Royal Oak / Goltz</v>
      </c>
      <c r="AS100" s="255" t="str">
        <f>concatenate(floor(Raw!CE100/60,1),":",text(MOD(Raw!CE100,60),"00"),ifs(Raw!CF100="Y"," (E)", Raw!CF100="Y+"," +", isblank(Raw!CF100),""))</f>
        <v>5:32</v>
      </c>
      <c r="AT100" s="255" t="str">
        <f>Raw!CR100</f>
        <v>bottom</v>
      </c>
      <c r="AU100" s="256">
        <f>Raw!CS100</f>
        <v>3.302</v>
      </c>
      <c r="AV100" s="255" t="str">
        <f>Raw!CT100</f>
        <v>
  large, typical cupped / dense</v>
      </c>
      <c r="AW100" s="263">
        <f>if(Raw!CW100&gt;0,Raw!CW100,"None")</f>
        <v>0.2201333333</v>
      </c>
      <c r="AX100" s="263">
        <f>if(Raw!CX100&gt;0,Raw!CX100,"None")</f>
        <v>0.4015101247</v>
      </c>
      <c r="AY100" s="255" t="str">
        <f>Raw!CY100</f>
        <v/>
      </c>
      <c r="AZ100" s="255" t="str">
        <f>Raw!CZ100</f>
        <v/>
      </c>
      <c r="BA100" s="255" t="str">
        <f>Raw!DA100</f>
        <v>smelter bellows</v>
      </c>
      <c r="BB100" s="255" t="str">
        <f>Raw!DB100</f>
        <v>effect of sliding gate air supply</v>
      </c>
      <c r="BC100" s="257" t="str">
        <f>Raw!DC100</f>
        <v>expected extended duration</v>
      </c>
      <c r="BD100" s="264"/>
    </row>
    <row r="101">
      <c r="A101" s="249">
        <f>Raw!A101</f>
        <v>97</v>
      </c>
      <c r="B101" s="250" t="str">
        <f>Raw!B101</f>
        <v>Artfire One</v>
      </c>
      <c r="C101" s="250" t="str">
        <f>Raw!C101</f>
        <v>Caroll/Patton/Logan</v>
      </c>
      <c r="D101" s="250" t="str">
        <f>Raw!D101</f>
        <v/>
      </c>
      <c r="E101" s="251">
        <f>Raw!E101</f>
        <v>45584</v>
      </c>
      <c r="F101" s="250" t="str">
        <f>Raw!F101</f>
        <v>Viking Age</v>
      </c>
      <c r="G101" s="250" t="str">
        <f>Raw!G101</f>
        <v>N</v>
      </c>
      <c r="H101" s="250" t="str">
        <f>Raw!H101</f>
        <v/>
      </c>
      <c r="I101" s="250" t="str">
        <f>Raw!I101</f>
        <v>medium shaft on plinth</v>
      </c>
      <c r="J101" s="250" t="str">
        <f>Raw!J101</f>
        <v>manure cobb / block</v>
      </c>
      <c r="K101" s="250" t="str">
        <f>if(isblank(Raw!K101),"",if(Raw!K101&gt;1,concatenate("Use ",Raw!K101," of Expt ",Raw!L101),"Use 1"))</f>
        <v/>
      </c>
      <c r="L101" s="250" t="str">
        <f>Raw!M101</f>
        <v>Circle</v>
      </c>
      <c r="M101" s="250" t="str">
        <f>Raw!N101</f>
        <v>cylinder</v>
      </c>
      <c r="N101" s="250">
        <f>Raw!O101</f>
        <v>86</v>
      </c>
      <c r="O101" s="250">
        <f>Raw!S101</f>
        <v>43</v>
      </c>
      <c r="P101" s="252">
        <f>Raw!T101</f>
        <v>39</v>
      </c>
      <c r="Q101" s="250">
        <f>if(L101="Rectangle",concatenate(Raw!U101," x ",Raw!V101),if(L101="Oval",concatenate(Raw!U101," by ",Raw!V101),if(isnumber(Raw!V101),concatenate(Raw!U101," to ",Raw!V101),Raw!U101)))</f>
        <v>29</v>
      </c>
      <c r="R101" s="250">
        <f>if(AND(Raw!Z101="Y",isnumber(Raw!X101)),concatenate(Raw!X101," (E)"),Raw!X101)</f>
        <v>29</v>
      </c>
      <c r="S101" s="262">
        <f>Calcs!B101</f>
        <v>660.5</v>
      </c>
      <c r="T101" s="252">
        <f>Raw!AB101</f>
        <v>5</v>
      </c>
      <c r="U101" s="252" t="str">
        <f>Raw!AC101</f>
        <v>11 x 20</v>
      </c>
      <c r="V101" s="252" t="str">
        <f>Raw!AD101</f>
        <v>forged copper</v>
      </c>
      <c r="W101" s="252" t="str">
        <f>concatenate(Raw!AE101,if(Raw!AF101="Y"," (T)",))</f>
        <v>NR (T)</v>
      </c>
      <c r="X101" s="252" t="str">
        <f>concatenate(Raw!AG101,if(isblank(Raw!AH101),"",concatenate(" ",Raw!AH101)),if(isblank(Raw!AI101),""," (E)"))</f>
        <v>22.5 Down</v>
      </c>
      <c r="Y101" s="252" t="str">
        <f>concatenate(Raw!AJ101,if(isblank(Raw!AK101),""," (E)"))</f>
        <v>5</v>
      </c>
      <c r="Z101" s="252" t="str">
        <f>Raw!AL101</f>
        <v/>
      </c>
      <c r="AA101" s="252" t="str">
        <f>concatenate(Raw!AO101,if(Raw!AP101="Y"," (E)",))</f>
        <v>12</v>
      </c>
      <c r="AB101" s="252" t="str">
        <f>Raw!AQ101</f>
        <v>blower (bouncy castle)</v>
      </c>
      <c r="AC101" s="252" t="str">
        <f>concatenate(ifs(istext(Raw!AT101),Raw!AT101,AND(Raw!AT101&gt;0,isblank(Raw!AS101)),concatenate(Raw!AT101," (A)"),AND(Raw!AR101&gt;0,Raw!AS101&gt;0),concatenate(Raw!AR101," to ",Raw!AS101),1,Raw!AS101),ifs(Raw!AU101="Y-","- (E)",Raw!AU101="Y"," (E)",1,))</f>
        <v>NR</v>
      </c>
      <c r="AD101" s="253">
        <f>Raw!AW101</f>
        <v>792.6</v>
      </c>
      <c r="AE101" s="250" t="str">
        <f>concatenate(Raw!AX101,if(isblank(Raw!AZ101),"",concatenate("/",Raw!AZ101)),if(isblank(Raw!BB101),"",concatenate("/",Raw!BB101)),if(isblank(Raw!BD101),"",concatenate("/",Raw!BD101)),if(isblank(Raw!BF101),"",concatenate("/",Raw!BF101)),if(Raw!BK101&gt;0,if(isblank(Raw!AX101),"Gromps","/Gromps"),))</f>
        <v>Leslie Plate Ore</v>
      </c>
      <c r="AF101" s="250" t="str">
        <f>concatenate(round(Raw!AY101,1),if(isblank(Raw!AZ101),"",concatenate("/",round(Raw!BA101,1))),if(isblank(Raw!BB101),"",concatenate("/",round(Raw!BC101,1))),if(isblank(Raw!BD101),"",concatenate("/",round(Raw!BE101,1))),if(isblank(Raw!BF101),"",concatenate("/",round(Raw!BG101,1))),if(isblank(Raw!BK101),,concatenate("/",if(isnumber(Raw!BK101),round(Raw!BK101,1),Raw!BK101))))</f>
        <v>31</v>
      </c>
      <c r="AG101" s="262">
        <f>Raw!BL101</f>
        <v>31</v>
      </c>
      <c r="AH101" s="254" t="str">
        <f>Raw!BI101</f>
        <v>?</v>
      </c>
      <c r="AI101" s="255" t="str">
        <f>Raw!BJ101</f>
        <v/>
      </c>
      <c r="AJ101" s="255" t="str">
        <f>Raw!BM101</f>
        <v/>
      </c>
      <c r="AK101" s="255" t="str">
        <f>Raw!BO101</f>
        <v/>
      </c>
      <c r="AL101" s="256">
        <f>Raw!BV101</f>
        <v>8.615136876</v>
      </c>
      <c r="AM101" s="255" t="str">
        <f>if(ISNUMBER(Raw!BW101),concatenate(floor(Raw!BW101/60,1),":",MOD(Raw!BW101,60)),Raw!BW101)</f>
        <v>2:5</v>
      </c>
      <c r="AN101" s="255">
        <f>Raw!BX101</f>
        <v>37.26</v>
      </c>
      <c r="AO101" s="256">
        <f>Raw!BZ101</f>
        <v>9.9375</v>
      </c>
      <c r="AP101" s="256">
        <f>Raw!CA101</f>
        <v>13.12964492</v>
      </c>
      <c r="AQ101" s="255" t="str">
        <f>Raw!CB101</f>
        <v>oak</v>
      </c>
      <c r="AR101" s="255" t="str">
        <f>Raw!CC101</f>
        <v>unknown</v>
      </c>
      <c r="AS101" s="255" t="str">
        <f>concatenate(floor(Raw!CE101/60,1),":",text(MOD(Raw!CE101,60),"00"),ifs(Raw!CF101="Y"," (E)", Raw!CF101="Y+"," +", isblank(Raw!CF101),""))</f>
        <v>2:39 (E)</v>
      </c>
      <c r="AT101" s="255" t="str">
        <f>Raw!CR101</f>
        <v>bottom</v>
      </c>
      <c r="AU101" s="256">
        <f>Raw!CS101</f>
        <v>2.8</v>
      </c>
      <c r="AV101" s="255" t="str">
        <f>Raw!CT101</f>
        <v>half cast, half bloom</v>
      </c>
      <c r="AW101" s="263">
        <f>if(Raw!CW101&gt;0,Raw!CW101,"None")</f>
        <v>0.09032258065</v>
      </c>
      <c r="AX101" s="263" t="str">
        <f>if(Raw!CX101&gt;0,Raw!CX101,"None")</f>
        <v>?</v>
      </c>
      <c r="AY101" s="255" t="str">
        <f>Raw!CY101</f>
        <v/>
      </c>
      <c r="AZ101" s="255" t="str">
        <f>Raw!CZ101</f>
        <v/>
      </c>
      <c r="BA101" s="255" t="str">
        <f>Raw!DA101</f>
        <v/>
      </c>
      <c r="BB101" s="255" t="str">
        <f>Raw!DB101</f>
        <v/>
      </c>
      <c r="BC101" s="257" t="str">
        <f>Raw!DC101</f>
        <v/>
      </c>
      <c r="BD101" s="264"/>
    </row>
    <row r="102">
      <c r="A102" s="249" t="str">
        <f>Raw!A102</f>
        <v>98 / D40</v>
      </c>
      <c r="B102" s="250" t="str">
        <f>Raw!B102</f>
        <v>Return to Icelandic</v>
      </c>
      <c r="C102" s="250" t="str">
        <f>Raw!C102</f>
        <v>Peterson, Hafner, Hickey, Cogswell</v>
      </c>
      <c r="D102" s="250" t="str">
        <f>Raw!D102</f>
        <v>Wareham ON</v>
      </c>
      <c r="E102" s="251">
        <f>Raw!E102</f>
        <v>45599</v>
      </c>
      <c r="F102" s="250" t="str">
        <f>Raw!F102</f>
        <v>Viking Age</v>
      </c>
      <c r="G102" s="250" t="str">
        <f>Raw!G102</f>
        <v>N</v>
      </c>
      <c r="H102" s="250" t="str">
        <f>Raw!H102</f>
        <v>Icelandic</v>
      </c>
      <c r="I102" s="250" t="str">
        <f>Raw!I102</f>
        <v>mounded short shaft</v>
      </c>
      <c r="J102" s="250" t="str">
        <f>Raw!J102</f>
        <v>sod w clay liner</v>
      </c>
      <c r="K102" s="250" t="str">
        <f>if(isblank(Raw!K102),"",if(Raw!K102&gt;1,concatenate("Use ",Raw!K102," of Expt ",Raw!L102),"Use 1"))</f>
        <v>Use 3 of Expt 88/D33</v>
      </c>
      <c r="L102" s="250" t="str">
        <f>Raw!M102</f>
        <v>Oval</v>
      </c>
      <c r="M102" s="250" t="str">
        <f>Raw!N102</f>
        <v>cylinder</v>
      </c>
      <c r="N102" s="250">
        <f>Raw!O102</f>
        <v>63</v>
      </c>
      <c r="O102" s="250">
        <f>Raw!S102</f>
        <v>40</v>
      </c>
      <c r="P102" s="252" t="str">
        <f>Raw!T102</f>
        <v/>
      </c>
      <c r="Q102" s="250" t="str">
        <f>if(L102="Rectangle",concatenate(Raw!U102," x ",Raw!V102),if(L102="Oval",concatenate(Raw!U102," by ",Raw!V102),if(isnumber(Raw!V102),concatenate(Raw!U102," to ",Raw!V102),Raw!U102)))</f>
        <v>28 by 40</v>
      </c>
      <c r="R102" s="250">
        <f>if(AND(Raw!Z102="Y",isnumber(Raw!X102)),concatenate(Raw!X102," (E)"),Raw!X102)</f>
        <v>28</v>
      </c>
      <c r="S102" s="262">
        <f>Calcs!B102</f>
        <v>879.6</v>
      </c>
      <c r="T102" s="252" t="str">
        <f>Raw!AB102</f>
        <v/>
      </c>
      <c r="U102" s="252" t="str">
        <f>Raw!AC102</f>
        <v/>
      </c>
      <c r="V102" s="252" t="str">
        <f>Raw!AD102</f>
        <v>ceramic tube</v>
      </c>
      <c r="W102" s="252" t="str">
        <f>concatenate(Raw!AE102,if(Raw!AF102="Y"," (T)",))</f>
        <v>2.5</v>
      </c>
      <c r="X102" s="252" t="str">
        <f>concatenate(Raw!AG102,if(isblank(Raw!AH102),"",concatenate(" ",Raw!AH102)),if(isblank(Raw!AI102),""," (E)"))</f>
        <v>22 Down</v>
      </c>
      <c r="Y102" s="252" t="str">
        <f>concatenate(Raw!AJ102,if(isblank(Raw!AK102),""," (E)"))</f>
        <v>4</v>
      </c>
      <c r="Z102" s="252" t="str">
        <f>Raw!AL102</f>
        <v/>
      </c>
      <c r="AA102" s="252" t="str">
        <f>concatenate(Raw!AO102,if(Raw!AP102="Y"," (E)",))</f>
        <v>19</v>
      </c>
      <c r="AB102" s="252" t="str">
        <f>Raw!AQ102</f>
        <v>blower / sliding gate</v>
      </c>
      <c r="AC102" s="252" t="str">
        <f>concatenate(ifs(istext(Raw!AT102),Raw!AT102,AND(Raw!AT102&gt;0,isblank(Raw!AS102)),concatenate(Raw!AT102," (A)"),AND(Raw!AR102&gt;0,Raw!AS102&gt;0),concatenate(Raw!AR102," to ",Raw!AS102),1,Raw!AS102),ifs(Raw!AU102="Y-","- (E)",Raw!AU102="Y"," (E)",1,))</f>
        <v>525 (A) (E)</v>
      </c>
      <c r="AD102" s="253">
        <f>Raw!AW102</f>
        <v>1055.52</v>
      </c>
      <c r="AE102" s="250" t="str">
        <f>concatenate(Raw!AX102,if(isblank(Raw!AZ102),"",concatenate("/",Raw!AZ102)),if(isblank(Raw!BB102),"",concatenate("/",Raw!BB102)),if(isblank(Raw!BD102),"",concatenate("/",Raw!BD102)),if(isblank(Raw!BF102),"",concatenate("/",Raw!BF102)),if(Raw!BK102&gt;0,if(isblank(Raw!AX102),"Gromps","/Gromps"),))</f>
        <v>DD1</v>
      </c>
      <c r="AF102" s="250" t="str">
        <f>concatenate(round(Raw!AY102,1),if(isblank(Raw!AZ102),"",concatenate("/",round(Raw!BA102,1))),if(isblank(Raw!BB102),"",concatenate("/",round(Raw!BC102,1))),if(isblank(Raw!BD102),"",concatenate("/",round(Raw!BE102,1))),if(isblank(Raw!BF102),"",concatenate("/",round(Raw!BG102,1))),if(isblank(Raw!BK102),,concatenate("/",if(isnumber(Raw!BK102),round(Raw!BK102,1),Raw!BK102))))</f>
        <v>17</v>
      </c>
      <c r="AG102" s="262">
        <f>Raw!BL102</f>
        <v>16.952</v>
      </c>
      <c r="AH102" s="254">
        <f>Raw!BI102</f>
        <v>0.5482634678</v>
      </c>
      <c r="AI102" s="255" t="str">
        <f>Raw!BJ102</f>
        <v>raw</v>
      </c>
      <c r="AJ102" s="255">
        <f>Raw!BM102</f>
        <v>4</v>
      </c>
      <c r="AK102" s="255" t="str">
        <f>Raw!BO102</f>
        <v>all to 25</v>
      </c>
      <c r="AL102" s="256">
        <f>Raw!BV102</f>
        <v>7.55952381</v>
      </c>
      <c r="AM102" s="255" t="str">
        <f>if(ISNUMBER(Raw!BW102),concatenate(floor(Raw!BW102/60,1),":",MOD(Raw!BW102,60)),Raw!BW102)</f>
        <v>1:59</v>
      </c>
      <c r="AN102" s="255">
        <f>Raw!BX102</f>
        <v>50.4</v>
      </c>
      <c r="AO102" s="256">
        <f>Raw!BZ102</f>
        <v>13.90909091</v>
      </c>
      <c r="AP102" s="256">
        <f>Raw!CA102</f>
        <v>7.727272727</v>
      </c>
      <c r="AQ102" s="255" t="str">
        <f>Raw!CB102</f>
        <v>oak - hickory</v>
      </c>
      <c r="AR102" s="255" t="str">
        <f>Raw!CC102</f>
        <v>Royal Oak</v>
      </c>
      <c r="AS102" s="255" t="str">
        <f>concatenate(floor(Raw!CE102/60,1),":",text(MOD(Raw!CE102,60),"00"),ifs(Raw!CF102="Y"," (E)", Raw!CF102="Y+"," +", isblank(Raw!CF102),""))</f>
        <v>2:33 (E)</v>
      </c>
      <c r="AT102" s="255" t="str">
        <f>Raw!CR102</f>
        <v>dismantled</v>
      </c>
      <c r="AU102" s="255">
        <f>Raw!CS102</f>
        <v>0.971</v>
      </c>
      <c r="AV102" s="255" t="str">
        <f>Raw!CT102</f>
        <v/>
      </c>
      <c r="AW102" s="263">
        <f>if(Raw!CW102&gt;0,Raw!CW102,"None")</f>
        <v>0.05727937706</v>
      </c>
      <c r="AX102" s="263">
        <f>if(Raw!CX102&gt;0,Raw!CX102,"None")</f>
        <v>0.1044741815</v>
      </c>
      <c r="AY102" s="255" t="str">
        <f>Raw!CY102</f>
        <v/>
      </c>
      <c r="AZ102" s="255" t="str">
        <f>Raw!CZ102</f>
        <v/>
      </c>
      <c r="BA102" s="255" t="str">
        <f>Raw!DA102</f>
        <v>Hals Iceland</v>
      </c>
      <c r="BB102" s="255" t="str">
        <f>Raw!DB102</f>
        <v>Reuse after long delay</v>
      </c>
      <c r="BC102" s="257" t="str">
        <f>Raw!DC102</f>
        <v/>
      </c>
      <c r="BD102" s="264"/>
    </row>
    <row r="103">
      <c r="A103" s="249">
        <f>Raw!A103</f>
        <v>99</v>
      </c>
      <c r="B103" s="250" t="str">
        <f>Raw!B103</f>
        <v>Smelting Course</v>
      </c>
      <c r="C103" s="250" t="str">
        <f>Raw!C103</f>
        <v>Koss/Ferral/Gallant</v>
      </c>
      <c r="D103" s="250" t="str">
        <f>Raw!D103</f>
        <v>Wareham ON</v>
      </c>
      <c r="E103" s="251">
        <f>Raw!E103</f>
        <v>45605</v>
      </c>
      <c r="F103" s="250" t="str">
        <f>Raw!F103</f>
        <v>Viking Age</v>
      </c>
      <c r="G103" s="250" t="str">
        <f>Raw!G103</f>
        <v>N</v>
      </c>
      <c r="H103" s="250" t="str">
        <f>Raw!H103</f>
        <v>Teaching</v>
      </c>
      <c r="I103" s="250" t="str">
        <f>Raw!I103</f>
        <v>short shaft on block</v>
      </c>
      <c r="J103" s="250" t="str">
        <f>Raw!J103</f>
        <v>manure cobb / block</v>
      </c>
      <c r="K103" s="250" t="str">
        <f>if(isblank(Raw!K103),"",if(Raw!K103&gt;1,concatenate("Use ",Raw!K103," of Expt ",Raw!L103),"Use 1"))</f>
        <v/>
      </c>
      <c r="L103" s="250" t="str">
        <f>Raw!M103</f>
        <v>Circle</v>
      </c>
      <c r="M103" s="250" t="str">
        <f>Raw!N103</f>
        <v>cylinder</v>
      </c>
      <c r="N103" s="250">
        <f>Raw!O103</f>
        <v>61</v>
      </c>
      <c r="O103" s="250">
        <f>Raw!S103</f>
        <v>40</v>
      </c>
      <c r="P103" s="252" t="str">
        <f>Raw!T103</f>
        <v>33 to 29</v>
      </c>
      <c r="Q103" s="250">
        <f>if(L103="Rectangle",concatenate(Raw!U103," x ",Raw!V103),if(L103="Oval",concatenate(Raw!U103," by ",Raw!V103),if(isnumber(Raw!V103),concatenate(Raw!U103," to ",Raw!V103),Raw!U103)))</f>
        <v>23</v>
      </c>
      <c r="R103" s="250">
        <f>if(AND(Raw!Z103="Y",isnumber(Raw!X103)),concatenate(Raw!X103," (E)"),Raw!X103)</f>
        <v>23</v>
      </c>
      <c r="S103" s="262">
        <f>Calcs!B103</f>
        <v>415.5</v>
      </c>
      <c r="T103" s="252" t="str">
        <f>Raw!AB103</f>
        <v>3 to 5</v>
      </c>
      <c r="U103" s="252" t="str">
        <f>Raw!AC103</f>
        <v/>
      </c>
      <c r="V103" s="252" t="str">
        <f>Raw!AD103</f>
        <v>forged copper</v>
      </c>
      <c r="W103" s="252" t="str">
        <f>concatenate(Raw!AE103,if(Raw!AF103="Y"," (T)",))</f>
        <v>2.5 (T)</v>
      </c>
      <c r="X103" s="252" t="str">
        <f>concatenate(Raw!AG103,if(isblank(Raw!AH103),"",concatenate(" ",Raw!AH103)),if(isblank(Raw!AI103),""," (E)"))</f>
        <v>20 Down</v>
      </c>
      <c r="Y103" s="252" t="str">
        <f>concatenate(Raw!AJ103,if(isblank(Raw!AK103),""," (E)"))</f>
        <v>5</v>
      </c>
      <c r="Z103" s="252" t="str">
        <f>Raw!AL103</f>
        <v>thin ash</v>
      </c>
      <c r="AA103" s="252" t="str">
        <f>concatenate(Raw!AO103,if(Raw!AP103="Y"," (E)",))</f>
        <v>13.5</v>
      </c>
      <c r="AB103" s="252" t="str">
        <f>Raw!AQ103</f>
        <v>electric blower</v>
      </c>
      <c r="AC103" s="252" t="str">
        <f>concatenate(ifs(istext(Raw!AT103),Raw!AT103,AND(Raw!AT103&gt;0,isblank(Raw!AS103)),concatenate(Raw!AT103," (A)"),AND(Raw!AR103&gt;0,Raw!AS103&gt;0),concatenate(Raw!AR103," to ",Raw!AS103),1,Raw!AS103),ifs(Raw!AU103="Y-","- (E)",Raw!AU103="Y"," (E)",1,))</f>
        <v>700 (A)</v>
      </c>
      <c r="AD103" s="253">
        <f>Raw!AW103</f>
        <v>498.6</v>
      </c>
      <c r="AE103" s="250" t="str">
        <f>concatenate(Raw!AX103,if(isblank(Raw!AZ103),"",concatenate("/",Raw!AZ103)),if(isblank(Raw!BB103),"",concatenate("/",Raw!BB103)),if(isblank(Raw!BD103),"",concatenate("/",Raw!BD103)),if(isblank(Raw!BF103),"",concatenate("/",Raw!BF103)),if(Raw!BK103&gt;0,if(isblank(Raw!AX103),"Gromps","/Gromps"),))</f>
        <v>Gatineau Magnetite</v>
      </c>
      <c r="AF103" s="250" t="str">
        <f>concatenate(round(Raw!AY103,1),if(isblank(Raw!AZ103),"",concatenate("/",round(Raw!BA103,1))),if(isblank(Raw!BB103),"",concatenate("/",round(Raw!BC103,1))),if(isblank(Raw!BD103),"",concatenate("/",round(Raw!BE103,1))),if(isblank(Raw!BF103),"",concatenate("/",round(Raw!BG103,1))),if(isblank(Raw!BK103),,concatenate("/",if(isnumber(Raw!BK103),round(Raw!BK103,1),Raw!BK103))))</f>
        <v>34.5</v>
      </c>
      <c r="AG103" s="262">
        <f>Raw!BL103</f>
        <v>34.5</v>
      </c>
      <c r="AH103" s="254" t="str">
        <f>Raw!BI103</f>
        <v>?</v>
      </c>
      <c r="AI103" s="255" t="str">
        <f>Raw!BJ103</f>
        <v/>
      </c>
      <c r="AJ103" s="255">
        <f>Raw!BM103</f>
        <v>2</v>
      </c>
      <c r="AK103" s="255" t="str">
        <f>Raw!BO103</f>
        <v>all to 25</v>
      </c>
      <c r="AL103" s="256" t="str">
        <f>Raw!BV103</f>
        <v>NR</v>
      </c>
      <c r="AM103" s="255" t="str">
        <f>if(ISNUMBER(Raw!BW103),concatenate(floor(Raw!BW103/60,1),":",MOD(Raw!BW103,60)),Raw!BW103)</f>
        <v>1:16</v>
      </c>
      <c r="AN103" s="255">
        <f>Raw!BX103</f>
        <v>83</v>
      </c>
      <c r="AO103" s="256">
        <f>Raw!BZ103</f>
        <v>17.4</v>
      </c>
      <c r="AP103" s="256">
        <f>Raw!CA103</f>
        <v>6.744186047</v>
      </c>
      <c r="AQ103" s="255" t="str">
        <f>Raw!CB103</f>
        <v>tropical (Brazil)</v>
      </c>
      <c r="AR103" s="255" t="str">
        <f>Raw!CC103</f>
        <v/>
      </c>
      <c r="AS103" s="255" t="str">
        <f>concatenate(floor(Raw!CE103/60,1),":",text(MOD(Raw!CE103,60),"00"),ifs(Raw!CF103="Y"," (E)", Raw!CF103="Y+"," +", isblank(Raw!CF103),""))</f>
        <v>5:48</v>
      </c>
      <c r="AT103" s="255" t="str">
        <f>Raw!CR103</f>
        <v>bottom</v>
      </c>
      <c r="AU103" s="255">
        <f>Raw!CS103</f>
        <v>0</v>
      </c>
      <c r="AV103" s="255" t="str">
        <f>Raw!CT103</f>
        <v>no bloom recovered</v>
      </c>
      <c r="AW103" s="263" t="str">
        <f>if(Raw!CW103&gt;0,Raw!CW103,"None")</f>
        <v>na</v>
      </c>
      <c r="AX103" s="263" t="str">
        <f>if(Raw!CX103&gt;0,Raw!CX103,"None")</f>
        <v>?</v>
      </c>
      <c r="AY103" s="255" t="str">
        <f>Raw!CY103</f>
        <v/>
      </c>
      <c r="AZ103" s="255" t="str">
        <f>Raw!CZ103</f>
        <v/>
      </c>
      <c r="BA103" s="255" t="str">
        <f>Raw!DA103</f>
        <v/>
      </c>
      <c r="BB103" s="255" t="str">
        <f>Raw!DB103</f>
        <v/>
      </c>
      <c r="BC103" s="257" t="str">
        <f>Raw!DC103</f>
        <v/>
      </c>
      <c r="BD103" s="264"/>
    </row>
    <row r="104">
      <c r="A104" s="265">
        <f>Raw!A104</f>
        <v>100</v>
      </c>
      <c r="B104" s="266" t="str">
        <f>Raw!B104</f>
        <v/>
      </c>
      <c r="C104" s="266" t="str">
        <f>Raw!C104</f>
        <v/>
      </c>
      <c r="D104" s="266" t="str">
        <f>Raw!D104</f>
        <v/>
      </c>
      <c r="E104" s="267" t="str">
        <f>Raw!E104</f>
        <v/>
      </c>
      <c r="F104" s="266" t="str">
        <f>Raw!F104</f>
        <v/>
      </c>
      <c r="G104" s="266" t="str">
        <f>Raw!G104</f>
        <v/>
      </c>
      <c r="H104" s="266" t="str">
        <f>Raw!H104</f>
        <v/>
      </c>
      <c r="I104" s="266" t="str">
        <f>Raw!I104</f>
        <v/>
      </c>
      <c r="J104" s="266" t="str">
        <f>Raw!J104</f>
        <v/>
      </c>
      <c r="K104" s="266" t="str">
        <f>if(isblank(Raw!K104),"",if(Raw!K104&gt;1,concatenate("Use ",Raw!K104," of Expt ",Raw!L104),"Use 1"))</f>
        <v/>
      </c>
      <c r="L104" s="266" t="str">
        <f>Raw!M104</f>
        <v/>
      </c>
      <c r="M104" s="266" t="str">
        <f>Raw!N104</f>
        <v/>
      </c>
      <c r="N104" s="266" t="str">
        <f>Raw!O104</f>
        <v/>
      </c>
      <c r="O104" s="266" t="str">
        <f>Raw!S104</f>
        <v/>
      </c>
      <c r="P104" s="268" t="str">
        <f>Raw!T104</f>
        <v/>
      </c>
      <c r="Q104" s="266" t="str">
        <f>if(L104="Rectangle",concatenate(Raw!U104," x ",Raw!V104),if(L104="Oval",concatenate(Raw!U104," by ",Raw!V104),if(isnumber(Raw!V104),concatenate(Raw!U104," to ",Raw!V104),Raw!U104)))</f>
        <v/>
      </c>
      <c r="R104" s="266" t="str">
        <f>if(AND(Raw!Z104="Y",isnumber(Raw!X104)),concatenate(Raw!X104," (E)"),Raw!X104)</f>
        <v/>
      </c>
      <c r="S104" s="269" t="str">
        <f>Calcs!B104</f>
        <v>ERROR</v>
      </c>
      <c r="T104" s="268" t="str">
        <f>Raw!AB104</f>
        <v/>
      </c>
      <c r="U104" s="268" t="str">
        <f>Raw!AC104</f>
        <v/>
      </c>
      <c r="V104" s="268" t="str">
        <f>Raw!AD104</f>
        <v/>
      </c>
      <c r="W104" s="268" t="str">
        <f>concatenate(Raw!AE104,if(Raw!AF104="Y"," (T)",))</f>
        <v/>
      </c>
      <c r="X104" s="268" t="str">
        <f>concatenate(Raw!AG104,if(isblank(Raw!AH104),"",concatenate(" ",Raw!AH104)),if(isblank(Raw!AI104),""," (E)"))</f>
        <v/>
      </c>
      <c r="Y104" s="268" t="str">
        <f>concatenate(Raw!AJ104,if(isblank(Raw!AK104),""," (E)"))</f>
        <v/>
      </c>
      <c r="Z104" s="268" t="str">
        <f>Raw!AL104</f>
        <v/>
      </c>
      <c r="AA104" s="268" t="str">
        <f>concatenate(Raw!AO104,if(Raw!AP104="Y"," (E)",))</f>
        <v/>
      </c>
      <c r="AB104" s="268" t="str">
        <f>Raw!AQ104</f>
        <v/>
      </c>
      <c r="AC104" s="268" t="str">
        <f>concatenate(ifs(istext(Raw!AT104),Raw!AT104,AND(Raw!AT104&gt;0,isblank(Raw!AS104)),concatenate(Raw!AT104," (A)"),AND(Raw!AR104&gt;0,Raw!AS104&gt;0),concatenate(Raw!AR104," to ",Raw!AS104),1,Raw!AS104),ifs(Raw!AU104="Y-","- (E)",Raw!AU104="Y"," (E)",1,))</f>
        <v/>
      </c>
      <c r="AD104" s="270" t="str">
        <f>Raw!AW104</f>
        <v/>
      </c>
      <c r="AE104" s="266" t="str">
        <f>concatenate(Raw!AX104,if(isblank(Raw!AZ104),"",concatenate("/",Raw!AZ104)),if(isblank(Raw!BB104),"",concatenate("/",Raw!BB104)),if(isblank(Raw!BD104),"",concatenate("/",Raw!BD104)),if(isblank(Raw!BF104),"",concatenate("/",Raw!BF104)),if(Raw!BK104&gt;0,if(isblank(Raw!AX104),"Gromps","/Gromps"),))</f>
        <v/>
      </c>
      <c r="AF104" s="266" t="str">
        <f>concatenate(round(Raw!AY104,1),if(isblank(Raw!AZ104),"",concatenate("/",round(Raw!BA104,1))),if(isblank(Raw!BB104),"",concatenate("/",round(Raw!BC104,1))),if(isblank(Raw!BD104),"",concatenate("/",round(Raw!BE104,1))),if(isblank(Raw!BF104),"",concatenate("/",round(Raw!BG104,1))),if(isblank(Raw!BK104),,concatenate("/",if(isnumber(Raw!BK104),round(Raw!BK104,1),Raw!BK104))))</f>
        <v>0</v>
      </c>
      <c r="AG104" s="266" t="str">
        <f>Raw!BL104</f>
        <v/>
      </c>
      <c r="AH104" s="271" t="str">
        <f>Raw!BI104</f>
        <v/>
      </c>
      <c r="AI104" s="271" t="str">
        <f>Raw!BJ104</f>
        <v/>
      </c>
      <c r="AJ104" s="271" t="str">
        <f>Raw!BM104</f>
        <v/>
      </c>
      <c r="AK104" s="271" t="str">
        <f>Raw!BO104</f>
        <v/>
      </c>
      <c r="AL104" s="271" t="str">
        <f>Raw!BV104</f>
        <v/>
      </c>
      <c r="AM104" s="271" t="str">
        <f>if(ISNUMBER(Raw!BW104),concatenate(floor(Raw!BW104/60,1),":",MOD(Raw!BW104,60)),Raw!BW104)</f>
        <v/>
      </c>
      <c r="AN104" s="271" t="str">
        <f>Raw!BX104</f>
        <v/>
      </c>
      <c r="AO104" s="271" t="str">
        <f>Raw!BZ104</f>
        <v/>
      </c>
      <c r="AP104" s="272" t="str">
        <f>Raw!CA104</f>
        <v/>
      </c>
      <c r="AQ104" s="271" t="str">
        <f>Raw!CB104</f>
        <v/>
      </c>
      <c r="AR104" s="271" t="str">
        <f>Raw!CC104</f>
        <v/>
      </c>
      <c r="AS104" s="271" t="str">
        <f>concatenate(floor(Raw!CE104/60,1),":",text(MOD(Raw!CE104,60),"00"),ifs(Raw!CF104="Y"," (E)", Raw!CF104="Y+"," +", isblank(Raw!CF104),""))</f>
        <v>0:00</v>
      </c>
      <c r="AT104" s="271" t="str">
        <f>Raw!CR104</f>
        <v/>
      </c>
      <c r="AU104" s="271" t="str">
        <f>Raw!CS104</f>
        <v/>
      </c>
      <c r="AV104" s="271" t="str">
        <f>Raw!CT104</f>
        <v/>
      </c>
      <c r="AW104" s="271" t="str">
        <f>if(Raw!CW104&gt;0,Raw!CW104,"None")</f>
        <v>None</v>
      </c>
      <c r="AX104" s="271" t="str">
        <f>if(Raw!CX104&gt;0,Raw!CX104,"None")</f>
        <v>None</v>
      </c>
      <c r="AY104" s="271" t="str">
        <f>Raw!CY104</f>
        <v/>
      </c>
      <c r="AZ104" s="271" t="str">
        <f>Raw!CZ104</f>
        <v/>
      </c>
      <c r="BA104" s="271" t="str">
        <f>Raw!DA104</f>
        <v/>
      </c>
      <c r="BB104" s="271" t="str">
        <f>Raw!DB104</f>
        <v/>
      </c>
      <c r="BC104" s="273" t="str">
        <f>Raw!DC104</f>
        <v/>
      </c>
      <c r="BD104" s="264"/>
    </row>
    <row r="10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row>
    <row r="106">
      <c r="A106" s="264"/>
      <c r="B106" s="264"/>
      <c r="C106" s="264"/>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4"/>
      <c r="AY106" s="264"/>
      <c r="AZ106" s="264"/>
      <c r="BA106" s="264"/>
      <c r="BB106" s="264"/>
      <c r="BC106" s="264"/>
      <c r="BD106" s="264"/>
    </row>
    <row r="107">
      <c r="A107" s="264"/>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4"/>
      <c r="AV107" s="264"/>
      <c r="AW107" s="264"/>
      <c r="AX107" s="264"/>
      <c r="AY107" s="264"/>
      <c r="AZ107" s="264"/>
      <c r="BA107" s="264"/>
      <c r="BB107" s="264"/>
      <c r="BC107" s="264"/>
      <c r="BD107" s="264"/>
    </row>
    <row r="108">
      <c r="A108" s="264"/>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264"/>
      <c r="AO108" s="264"/>
      <c r="AP108" s="264"/>
      <c r="AQ108" s="264"/>
      <c r="AR108" s="264"/>
      <c r="AS108" s="264"/>
      <c r="AT108" s="264"/>
      <c r="AU108" s="264"/>
      <c r="AV108" s="264"/>
      <c r="AW108" s="264"/>
      <c r="AX108" s="264"/>
      <c r="AY108" s="264"/>
      <c r="AZ108" s="264"/>
      <c r="BA108" s="264"/>
      <c r="BB108" s="264"/>
      <c r="BC108" s="264"/>
      <c r="BD108" s="264"/>
    </row>
    <row r="109">
      <c r="A109" s="264"/>
      <c r="B109" s="264"/>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264"/>
      <c r="AO109" s="264"/>
      <c r="AP109" s="264"/>
      <c r="AQ109" s="264"/>
      <c r="AR109" s="264"/>
      <c r="AS109" s="264"/>
      <c r="AT109" s="264"/>
      <c r="AU109" s="264"/>
      <c r="AV109" s="264"/>
      <c r="AW109" s="264"/>
      <c r="AX109" s="264"/>
      <c r="AY109" s="264"/>
      <c r="AZ109" s="264"/>
      <c r="BA109" s="264"/>
      <c r="BB109" s="264"/>
      <c r="BC109" s="264"/>
      <c r="BD109" s="264"/>
    </row>
    <row r="110">
      <c r="A110" s="264"/>
      <c r="B110" s="264"/>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264"/>
      <c r="AO110" s="264"/>
      <c r="AP110" s="264"/>
      <c r="AQ110" s="264"/>
      <c r="AR110" s="264"/>
      <c r="AS110" s="264"/>
      <c r="AT110" s="264"/>
      <c r="AU110" s="264"/>
      <c r="AV110" s="264"/>
      <c r="AW110" s="264"/>
      <c r="AX110" s="264"/>
      <c r="AY110" s="264"/>
      <c r="AZ110" s="264"/>
      <c r="BA110" s="264"/>
      <c r="BB110" s="264"/>
      <c r="BC110" s="264"/>
      <c r="BD110" s="264"/>
    </row>
    <row r="111">
      <c r="A111" s="264"/>
      <c r="B111" s="264"/>
      <c r="C111" s="264"/>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4"/>
      <c r="AY111" s="264"/>
      <c r="AZ111" s="264"/>
      <c r="BA111" s="264"/>
      <c r="BB111" s="264"/>
      <c r="BC111" s="264"/>
      <c r="BD111" s="264"/>
    </row>
    <row r="112">
      <c r="A112" s="264"/>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4"/>
      <c r="AY112" s="264"/>
      <c r="AZ112" s="264"/>
      <c r="BA112" s="264"/>
      <c r="BB112" s="264"/>
      <c r="BC112" s="264"/>
      <c r="BD112" s="264"/>
    </row>
    <row r="113">
      <c r="A113" s="264"/>
      <c r="B113" s="264"/>
      <c r="C113" s="264"/>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264"/>
      <c r="AO113" s="264"/>
      <c r="AP113" s="264"/>
      <c r="AQ113" s="264"/>
      <c r="AR113" s="264"/>
      <c r="AS113" s="264"/>
      <c r="AT113" s="264"/>
      <c r="AU113" s="264"/>
      <c r="AV113" s="264"/>
      <c r="AW113" s="264"/>
      <c r="AX113" s="264"/>
      <c r="AY113" s="264"/>
      <c r="AZ113" s="264"/>
      <c r="BA113" s="264"/>
      <c r="BB113" s="264"/>
      <c r="BC113" s="264"/>
      <c r="BD113" s="264"/>
    </row>
    <row r="114">
      <c r="A114" s="264"/>
      <c r="B114" s="264"/>
      <c r="C114" s="264"/>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264"/>
      <c r="AO114" s="264"/>
      <c r="AP114" s="264"/>
      <c r="AQ114" s="264"/>
      <c r="AR114" s="264"/>
      <c r="AS114" s="264"/>
      <c r="AT114" s="264"/>
      <c r="AU114" s="264"/>
      <c r="AV114" s="264"/>
      <c r="AW114" s="264"/>
      <c r="AX114" s="264"/>
      <c r="AY114" s="264"/>
      <c r="AZ114" s="264"/>
      <c r="BA114" s="264"/>
      <c r="BB114" s="264"/>
      <c r="BC114" s="264"/>
      <c r="BD114" s="264"/>
    </row>
    <row r="115">
      <c r="A115" s="264"/>
      <c r="B115" s="264"/>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264"/>
      <c r="AO115" s="264"/>
      <c r="AP115" s="264"/>
      <c r="AQ115" s="264"/>
      <c r="AR115" s="264"/>
      <c r="AS115" s="264"/>
      <c r="AT115" s="264"/>
      <c r="AU115" s="264"/>
      <c r="AV115" s="264"/>
      <c r="AW115" s="264"/>
      <c r="AX115" s="264"/>
      <c r="AY115" s="264"/>
      <c r="AZ115" s="264"/>
      <c r="BA115" s="264"/>
      <c r="BB115" s="264"/>
      <c r="BC115" s="264"/>
      <c r="BD115" s="264"/>
    </row>
    <row r="116">
      <c r="A116" s="264"/>
      <c r="B116" s="264"/>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264"/>
      <c r="AO116" s="264"/>
      <c r="AP116" s="264"/>
      <c r="AQ116" s="264"/>
      <c r="AR116" s="264"/>
      <c r="AS116" s="264"/>
      <c r="AT116" s="264"/>
      <c r="AU116" s="264"/>
      <c r="AV116" s="264"/>
      <c r="AW116" s="264"/>
      <c r="AX116" s="264"/>
      <c r="AY116" s="264"/>
      <c r="AZ116" s="264"/>
      <c r="BA116" s="264"/>
      <c r="BB116" s="264"/>
      <c r="BC116" s="264"/>
      <c r="BD116" s="264"/>
    </row>
    <row r="117">
      <c r="A117" s="264"/>
      <c r="B117" s="264"/>
      <c r="C117" s="264"/>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264"/>
      <c r="AO117" s="264"/>
      <c r="AP117" s="264"/>
      <c r="AQ117" s="264"/>
      <c r="AR117" s="264"/>
      <c r="AS117" s="264"/>
      <c r="AT117" s="264"/>
      <c r="AU117" s="264"/>
      <c r="AV117" s="264"/>
      <c r="AW117" s="264"/>
      <c r="AX117" s="264"/>
      <c r="AY117" s="264"/>
      <c r="AZ117" s="264"/>
      <c r="BA117" s="264"/>
      <c r="BB117" s="264"/>
      <c r="BC117" s="264"/>
      <c r="BD117" s="264"/>
    </row>
    <row r="118">
      <c r="A118" s="264"/>
      <c r="B118" s="264"/>
      <c r="C118" s="264"/>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264"/>
      <c r="AO118" s="264"/>
      <c r="AP118" s="264"/>
      <c r="AQ118" s="264"/>
      <c r="AR118" s="264"/>
      <c r="AS118" s="264"/>
      <c r="AT118" s="264"/>
      <c r="AU118" s="264"/>
      <c r="AV118" s="264"/>
      <c r="AW118" s="264"/>
      <c r="AX118" s="264"/>
      <c r="AY118" s="264"/>
      <c r="AZ118" s="264"/>
      <c r="BA118" s="264"/>
      <c r="BB118" s="264"/>
      <c r="BC118" s="264"/>
      <c r="BD118" s="264"/>
    </row>
    <row r="119">
      <c r="A119" s="264"/>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264"/>
      <c r="AO119" s="264"/>
      <c r="AP119" s="264"/>
      <c r="AQ119" s="264"/>
      <c r="AR119" s="264"/>
      <c r="AS119" s="264"/>
      <c r="AT119" s="264"/>
      <c r="AU119" s="264"/>
      <c r="AV119" s="264"/>
      <c r="AW119" s="264"/>
      <c r="AX119" s="264"/>
      <c r="AY119" s="264"/>
      <c r="AZ119" s="264"/>
      <c r="BA119" s="264"/>
      <c r="BB119" s="264"/>
      <c r="BC119" s="264"/>
      <c r="BD119" s="264"/>
    </row>
    <row r="120">
      <c r="A120" s="264"/>
      <c r="B120" s="264"/>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264"/>
      <c r="AO120" s="264"/>
      <c r="AP120" s="264"/>
      <c r="AQ120" s="264"/>
      <c r="AR120" s="264"/>
      <c r="AS120" s="264"/>
      <c r="AT120" s="264"/>
      <c r="AU120" s="264"/>
      <c r="AV120" s="264"/>
      <c r="AW120" s="264"/>
      <c r="AX120" s="264"/>
      <c r="AY120" s="264"/>
      <c r="AZ120" s="264"/>
      <c r="BA120" s="264"/>
      <c r="BB120" s="264"/>
      <c r="BC120" s="264"/>
      <c r="BD120" s="264"/>
    </row>
    <row r="121">
      <c r="A121" s="264"/>
      <c r="B121" s="264"/>
      <c r="C121" s="264"/>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264"/>
      <c r="AO121" s="264"/>
      <c r="AP121" s="264"/>
      <c r="AQ121" s="264"/>
      <c r="AR121" s="264"/>
      <c r="AS121" s="264"/>
      <c r="AT121" s="264"/>
      <c r="AU121" s="264"/>
      <c r="AV121" s="264"/>
      <c r="AW121" s="264"/>
      <c r="AX121" s="264"/>
      <c r="AY121" s="264"/>
      <c r="AZ121" s="264"/>
      <c r="BA121" s="264"/>
      <c r="BB121" s="264"/>
      <c r="BC121" s="264"/>
      <c r="BD121" s="264"/>
    </row>
    <row r="122">
      <c r="A122" s="264"/>
      <c r="B122" s="264"/>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c r="AA122" s="264"/>
      <c r="AB122" s="264"/>
      <c r="AC122" s="264"/>
      <c r="AD122" s="264"/>
      <c r="AE122" s="264"/>
      <c r="AF122" s="264"/>
      <c r="AG122" s="264"/>
      <c r="AH122" s="264"/>
      <c r="AI122" s="264"/>
      <c r="AJ122" s="264"/>
      <c r="AK122" s="264"/>
      <c r="AL122" s="264"/>
      <c r="AM122" s="264"/>
      <c r="AN122" s="264"/>
      <c r="AO122" s="264"/>
      <c r="AP122" s="264"/>
      <c r="AQ122" s="264"/>
      <c r="AR122" s="264"/>
      <c r="AS122" s="264"/>
      <c r="AT122" s="264"/>
      <c r="AU122" s="264"/>
      <c r="AV122" s="264"/>
      <c r="AW122" s="264"/>
      <c r="AX122" s="264"/>
      <c r="AY122" s="264"/>
      <c r="AZ122" s="264"/>
      <c r="BA122" s="264"/>
      <c r="BB122" s="264"/>
      <c r="BC122" s="264"/>
      <c r="BD122" s="264"/>
    </row>
    <row r="123">
      <c r="A123" s="264"/>
      <c r="B123" s="264"/>
      <c r="C123" s="264"/>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c r="AA123" s="264"/>
      <c r="AB123" s="264"/>
      <c r="AC123" s="264"/>
      <c r="AD123" s="264"/>
      <c r="AE123" s="264"/>
      <c r="AF123" s="264"/>
      <c r="AG123" s="264"/>
      <c r="AH123" s="264"/>
      <c r="AI123" s="264"/>
      <c r="AJ123" s="264"/>
      <c r="AK123" s="264"/>
      <c r="AL123" s="264"/>
      <c r="AM123" s="264"/>
      <c r="AN123" s="264"/>
      <c r="AO123" s="264"/>
      <c r="AP123" s="264"/>
      <c r="AQ123" s="264"/>
      <c r="AR123" s="264"/>
      <c r="AS123" s="264"/>
      <c r="AT123" s="264"/>
      <c r="AU123" s="264"/>
      <c r="AV123" s="264"/>
      <c r="AW123" s="264"/>
      <c r="AX123" s="264"/>
      <c r="AY123" s="264"/>
      <c r="AZ123" s="264"/>
      <c r="BA123" s="264"/>
      <c r="BB123" s="264"/>
      <c r="BC123" s="264"/>
      <c r="BD123" s="264"/>
    </row>
    <row r="124">
      <c r="A124" s="264"/>
      <c r="B124" s="264"/>
      <c r="C124" s="264"/>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c r="AA124" s="264"/>
      <c r="AB124" s="264"/>
      <c r="AC124" s="264"/>
      <c r="AD124" s="264"/>
      <c r="AE124" s="264"/>
      <c r="AF124" s="264"/>
      <c r="AG124" s="264"/>
      <c r="AH124" s="264"/>
      <c r="AI124" s="264"/>
      <c r="AJ124" s="264"/>
      <c r="AK124" s="264"/>
      <c r="AL124" s="264"/>
      <c r="AM124" s="264"/>
      <c r="AN124" s="264"/>
      <c r="AO124" s="264"/>
      <c r="AP124" s="264"/>
      <c r="AQ124" s="264"/>
      <c r="AR124" s="264"/>
      <c r="AS124" s="264"/>
      <c r="AT124" s="264"/>
      <c r="AU124" s="264"/>
      <c r="AV124" s="264"/>
      <c r="AW124" s="264"/>
      <c r="AX124" s="264"/>
      <c r="AY124" s="264"/>
      <c r="AZ124" s="264"/>
      <c r="BA124" s="264"/>
      <c r="BB124" s="264"/>
      <c r="BC124" s="264"/>
      <c r="BD124" s="264"/>
    </row>
    <row r="125">
      <c r="A125" s="264"/>
      <c r="B125" s="264"/>
      <c r="C125" s="264"/>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c r="AA125" s="264"/>
      <c r="AB125" s="264"/>
      <c r="AC125" s="264"/>
      <c r="AD125" s="264"/>
      <c r="AE125" s="264"/>
      <c r="AF125" s="264"/>
      <c r="AG125" s="264"/>
      <c r="AH125" s="264"/>
      <c r="AI125" s="264"/>
      <c r="AJ125" s="264"/>
      <c r="AK125" s="264"/>
      <c r="AL125" s="264"/>
      <c r="AM125" s="264"/>
      <c r="AN125" s="264"/>
      <c r="AO125" s="264"/>
      <c r="AP125" s="264"/>
      <c r="AQ125" s="264"/>
      <c r="AR125" s="264"/>
      <c r="AS125" s="264"/>
      <c r="AT125" s="264"/>
      <c r="AU125" s="264"/>
      <c r="AV125" s="264"/>
      <c r="AW125" s="264"/>
      <c r="AX125" s="264"/>
      <c r="AY125" s="264"/>
      <c r="AZ125" s="264"/>
      <c r="BA125" s="264"/>
      <c r="BB125" s="264"/>
      <c r="BC125" s="264"/>
      <c r="BD125" s="264"/>
    </row>
    <row r="126">
      <c r="A126" s="264"/>
      <c r="B126" s="264"/>
      <c r="C126" s="264"/>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c r="AA126" s="264"/>
      <c r="AB126" s="264"/>
      <c r="AC126" s="264"/>
      <c r="AD126" s="264"/>
      <c r="AE126" s="264"/>
      <c r="AF126" s="264"/>
      <c r="AG126" s="264"/>
      <c r="AH126" s="264"/>
      <c r="AI126" s="264"/>
      <c r="AJ126" s="264"/>
      <c r="AK126" s="264"/>
      <c r="AL126" s="264"/>
      <c r="AM126" s="264"/>
      <c r="AN126" s="264"/>
      <c r="AO126" s="264"/>
      <c r="AP126" s="264"/>
      <c r="AQ126" s="264"/>
      <c r="AR126" s="264"/>
      <c r="AS126" s="264"/>
      <c r="AT126" s="264"/>
      <c r="AU126" s="264"/>
      <c r="AV126" s="264"/>
      <c r="AW126" s="264"/>
      <c r="AX126" s="264"/>
      <c r="AY126" s="264"/>
      <c r="AZ126" s="264"/>
      <c r="BA126" s="264"/>
      <c r="BB126" s="264"/>
      <c r="BC126" s="264"/>
      <c r="BD126" s="264"/>
    </row>
    <row r="127">
      <c r="A127" s="264"/>
      <c r="B127" s="264"/>
      <c r="C127" s="264"/>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c r="AA127" s="264"/>
      <c r="AB127" s="264"/>
      <c r="AC127" s="264"/>
      <c r="AD127" s="264"/>
      <c r="AE127" s="264"/>
      <c r="AF127" s="264"/>
      <c r="AG127" s="264"/>
      <c r="AH127" s="264"/>
      <c r="AI127" s="264"/>
      <c r="AJ127" s="264"/>
      <c r="AK127" s="264"/>
      <c r="AL127" s="264"/>
      <c r="AM127" s="264"/>
      <c r="AN127" s="264"/>
      <c r="AO127" s="264"/>
      <c r="AP127" s="264"/>
      <c r="AQ127" s="264"/>
      <c r="AR127" s="264"/>
      <c r="AS127" s="264"/>
      <c r="AT127" s="264"/>
      <c r="AU127" s="264"/>
      <c r="AV127" s="264"/>
      <c r="AW127" s="264"/>
      <c r="AX127" s="264"/>
      <c r="AY127" s="264"/>
      <c r="AZ127" s="264"/>
      <c r="BA127" s="264"/>
      <c r="BB127" s="264"/>
      <c r="BC127" s="264"/>
      <c r="BD127" s="264"/>
    </row>
    <row r="128">
      <c r="A128" s="264"/>
      <c r="B128" s="264"/>
      <c r="C128" s="264"/>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c r="AA128" s="264"/>
      <c r="AB128" s="264"/>
      <c r="AC128" s="264"/>
      <c r="AD128" s="264"/>
      <c r="AE128" s="264"/>
      <c r="AF128" s="264"/>
      <c r="AG128" s="264"/>
      <c r="AH128" s="264"/>
      <c r="AI128" s="264"/>
      <c r="AJ128" s="264"/>
      <c r="AK128" s="264"/>
      <c r="AL128" s="264"/>
      <c r="AM128" s="264"/>
      <c r="AN128" s="264"/>
      <c r="AO128" s="264"/>
      <c r="AP128" s="264"/>
      <c r="AQ128" s="264"/>
      <c r="AR128" s="264"/>
      <c r="AS128" s="264"/>
      <c r="AT128" s="264"/>
      <c r="AU128" s="264"/>
      <c r="AV128" s="264"/>
      <c r="AW128" s="264"/>
      <c r="AX128" s="264"/>
      <c r="AY128" s="264"/>
      <c r="AZ128" s="264"/>
      <c r="BA128" s="264"/>
      <c r="BB128" s="264"/>
      <c r="BC128" s="264"/>
      <c r="BD128" s="264"/>
    </row>
    <row r="129">
      <c r="A129" s="264"/>
      <c r="B129" s="264"/>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c r="AA129" s="264"/>
      <c r="AB129" s="264"/>
      <c r="AC129" s="264"/>
      <c r="AD129" s="264"/>
      <c r="AE129" s="264"/>
      <c r="AF129" s="264"/>
      <c r="AG129" s="264"/>
      <c r="AH129" s="264"/>
      <c r="AI129" s="264"/>
      <c r="AJ129" s="264"/>
      <c r="AK129" s="264"/>
      <c r="AL129" s="264"/>
      <c r="AM129" s="264"/>
      <c r="AN129" s="264"/>
      <c r="AO129" s="264"/>
      <c r="AP129" s="264"/>
      <c r="AQ129" s="264"/>
      <c r="AR129" s="264"/>
      <c r="AS129" s="264"/>
      <c r="AT129" s="264"/>
      <c r="AU129" s="264"/>
      <c r="AV129" s="264"/>
      <c r="AW129" s="264"/>
      <c r="AX129" s="264"/>
      <c r="AY129" s="264"/>
      <c r="AZ129" s="264"/>
      <c r="BA129" s="264"/>
      <c r="BB129" s="264"/>
      <c r="BC129" s="264"/>
      <c r="BD129" s="264"/>
    </row>
    <row r="130">
      <c r="A130" s="264"/>
      <c r="B130" s="264"/>
      <c r="C130" s="264"/>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c r="AA130" s="264"/>
      <c r="AB130" s="264"/>
      <c r="AC130" s="264"/>
      <c r="AD130" s="264"/>
      <c r="AE130" s="264"/>
      <c r="AF130" s="264"/>
      <c r="AG130" s="264"/>
      <c r="AH130" s="264"/>
      <c r="AI130" s="264"/>
      <c r="AJ130" s="264"/>
      <c r="AK130" s="264"/>
      <c r="AL130" s="264"/>
      <c r="AM130" s="264"/>
      <c r="AN130" s="264"/>
      <c r="AO130" s="264"/>
      <c r="AP130" s="264"/>
      <c r="AQ130" s="264"/>
      <c r="AR130" s="264"/>
      <c r="AS130" s="264"/>
      <c r="AT130" s="264"/>
      <c r="AU130" s="264"/>
      <c r="AV130" s="264"/>
      <c r="AW130" s="264"/>
      <c r="AX130" s="264"/>
      <c r="AY130" s="264"/>
      <c r="AZ130" s="264"/>
      <c r="BA130" s="264"/>
      <c r="BB130" s="264"/>
      <c r="BC130" s="264"/>
      <c r="BD130" s="264"/>
    </row>
    <row r="131">
      <c r="A131" s="264"/>
      <c r="B131" s="264"/>
      <c r="C131" s="264"/>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c r="AA131" s="264"/>
      <c r="AB131" s="264"/>
      <c r="AC131" s="264"/>
      <c r="AD131" s="264"/>
      <c r="AE131" s="264"/>
      <c r="AF131" s="264"/>
      <c r="AG131" s="264"/>
      <c r="AH131" s="264"/>
      <c r="AI131" s="264"/>
      <c r="AJ131" s="264"/>
      <c r="AK131" s="264"/>
      <c r="AL131" s="264"/>
      <c r="AM131" s="264"/>
      <c r="AN131" s="264"/>
      <c r="AO131" s="264"/>
      <c r="AP131" s="264"/>
      <c r="AQ131" s="264"/>
      <c r="AR131" s="264"/>
      <c r="AS131" s="264"/>
      <c r="AT131" s="264"/>
      <c r="AU131" s="264"/>
      <c r="AV131" s="264"/>
      <c r="AW131" s="264"/>
      <c r="AX131" s="264"/>
      <c r="AY131" s="264"/>
      <c r="AZ131" s="264"/>
      <c r="BA131" s="264"/>
      <c r="BB131" s="264"/>
      <c r="BC131" s="264"/>
      <c r="BD131" s="264"/>
    </row>
    <row r="132">
      <c r="A132" s="264"/>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c r="AA132" s="264"/>
      <c r="AB132" s="264"/>
      <c r="AC132" s="264"/>
      <c r="AD132" s="264"/>
      <c r="AE132" s="264"/>
      <c r="AF132" s="264"/>
      <c r="AG132" s="264"/>
      <c r="AH132" s="264"/>
      <c r="AI132" s="264"/>
      <c r="AJ132" s="264"/>
      <c r="AK132" s="264"/>
      <c r="AL132" s="264"/>
      <c r="AM132" s="264"/>
      <c r="AN132" s="264"/>
      <c r="AO132" s="264"/>
      <c r="AP132" s="264"/>
      <c r="AQ132" s="264"/>
      <c r="AR132" s="264"/>
      <c r="AS132" s="264"/>
      <c r="AT132" s="264"/>
      <c r="AU132" s="264"/>
      <c r="AV132" s="264"/>
      <c r="AW132" s="264"/>
      <c r="AX132" s="264"/>
      <c r="AY132" s="264"/>
      <c r="AZ132" s="264"/>
      <c r="BA132" s="264"/>
      <c r="BB132" s="264"/>
      <c r="BC132" s="264"/>
      <c r="BD132" s="264"/>
    </row>
    <row r="133">
      <c r="A133" s="264"/>
      <c r="B133" s="264"/>
      <c r="C133" s="264"/>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c r="AA133" s="264"/>
      <c r="AB133" s="264"/>
      <c r="AC133" s="264"/>
      <c r="AD133" s="264"/>
      <c r="AE133" s="264"/>
      <c r="AF133" s="264"/>
      <c r="AG133" s="264"/>
      <c r="AH133" s="264"/>
      <c r="AI133" s="264"/>
      <c r="AJ133" s="264"/>
      <c r="AK133" s="264"/>
      <c r="AL133" s="264"/>
      <c r="AM133" s="264"/>
      <c r="AN133" s="264"/>
      <c r="AO133" s="264"/>
      <c r="AP133" s="264"/>
      <c r="AQ133" s="264"/>
      <c r="AR133" s="264"/>
      <c r="AS133" s="264"/>
      <c r="AT133" s="264"/>
      <c r="AU133" s="264"/>
      <c r="AV133" s="264"/>
      <c r="AW133" s="264"/>
      <c r="AX133" s="264"/>
      <c r="AY133" s="264"/>
      <c r="AZ133" s="264"/>
      <c r="BA133" s="264"/>
      <c r="BB133" s="264"/>
      <c r="BC133" s="264"/>
      <c r="BD133" s="264"/>
    </row>
    <row r="134">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4"/>
      <c r="AV134" s="264"/>
      <c r="AW134" s="264"/>
      <c r="AX134" s="264"/>
      <c r="AY134" s="264"/>
      <c r="AZ134" s="264"/>
      <c r="BA134" s="264"/>
      <c r="BB134" s="264"/>
      <c r="BC134" s="264"/>
      <c r="BD134" s="264"/>
    </row>
    <row r="135">
      <c r="A135" s="264"/>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c r="AA135" s="264"/>
      <c r="AB135" s="264"/>
      <c r="AC135" s="264"/>
      <c r="AD135" s="264"/>
      <c r="AE135" s="264"/>
      <c r="AF135" s="264"/>
      <c r="AG135" s="264"/>
      <c r="AH135" s="264"/>
      <c r="AI135" s="264"/>
      <c r="AJ135" s="264"/>
      <c r="AK135" s="264"/>
      <c r="AL135" s="264"/>
      <c r="AM135" s="264"/>
      <c r="AN135" s="264"/>
      <c r="AO135" s="264"/>
      <c r="AP135" s="264"/>
      <c r="AQ135" s="264"/>
      <c r="AR135" s="264"/>
      <c r="AS135" s="264"/>
      <c r="AT135" s="264"/>
      <c r="AU135" s="264"/>
      <c r="AV135" s="264"/>
      <c r="AW135" s="264"/>
      <c r="AX135" s="264"/>
      <c r="AY135" s="264"/>
      <c r="AZ135" s="264"/>
      <c r="BA135" s="264"/>
      <c r="BB135" s="264"/>
      <c r="BC135" s="264"/>
      <c r="BD135" s="264"/>
    </row>
    <row r="136">
      <c r="A136" s="264"/>
      <c r="B136" s="264"/>
      <c r="C136" s="264"/>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c r="AA136" s="264"/>
      <c r="AB136" s="264"/>
      <c r="AC136" s="264"/>
      <c r="AD136" s="264"/>
      <c r="AE136" s="264"/>
      <c r="AF136" s="264"/>
      <c r="AG136" s="264"/>
      <c r="AH136" s="264"/>
      <c r="AI136" s="264"/>
      <c r="AJ136" s="264"/>
      <c r="AK136" s="264"/>
      <c r="AL136" s="264"/>
      <c r="AM136" s="264"/>
      <c r="AN136" s="264"/>
      <c r="AO136" s="264"/>
      <c r="AP136" s="264"/>
      <c r="AQ136" s="264"/>
      <c r="AR136" s="264"/>
      <c r="AS136" s="264"/>
      <c r="AT136" s="264"/>
      <c r="AU136" s="264"/>
      <c r="AV136" s="264"/>
      <c r="AW136" s="264"/>
      <c r="AX136" s="264"/>
      <c r="AY136" s="264"/>
      <c r="AZ136" s="264"/>
      <c r="BA136" s="264"/>
      <c r="BB136" s="264"/>
      <c r="BC136" s="264"/>
      <c r="BD136" s="264"/>
    </row>
    <row r="137">
      <c r="A137" s="264"/>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c r="AA137" s="264"/>
      <c r="AB137" s="264"/>
      <c r="AC137" s="264"/>
      <c r="AD137" s="264"/>
      <c r="AE137" s="264"/>
      <c r="AF137" s="264"/>
      <c r="AG137" s="264"/>
      <c r="AH137" s="264"/>
      <c r="AI137" s="264"/>
      <c r="AJ137" s="264"/>
      <c r="AK137" s="264"/>
      <c r="AL137" s="264"/>
      <c r="AM137" s="264"/>
      <c r="AN137" s="264"/>
      <c r="AO137" s="264"/>
      <c r="AP137" s="264"/>
      <c r="AQ137" s="264"/>
      <c r="AR137" s="264"/>
      <c r="AS137" s="264"/>
      <c r="AT137" s="264"/>
      <c r="AU137" s="264"/>
      <c r="AV137" s="264"/>
      <c r="AW137" s="264"/>
      <c r="AX137" s="264"/>
      <c r="AY137" s="264"/>
      <c r="AZ137" s="264"/>
      <c r="BA137" s="264"/>
      <c r="BB137" s="264"/>
      <c r="BC137" s="264"/>
      <c r="BD137" s="264"/>
    </row>
    <row r="138">
      <c r="A138" s="264"/>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c r="AA138" s="264"/>
      <c r="AB138" s="264"/>
      <c r="AC138" s="264"/>
      <c r="AD138" s="264"/>
      <c r="AE138" s="264"/>
      <c r="AF138" s="264"/>
      <c r="AG138" s="264"/>
      <c r="AH138" s="264"/>
      <c r="AI138" s="264"/>
      <c r="AJ138" s="264"/>
      <c r="AK138" s="264"/>
      <c r="AL138" s="264"/>
      <c r="AM138" s="264"/>
      <c r="AN138" s="264"/>
      <c r="AO138" s="264"/>
      <c r="AP138" s="264"/>
      <c r="AQ138" s="264"/>
      <c r="AR138" s="264"/>
      <c r="AS138" s="264"/>
      <c r="AT138" s="264"/>
      <c r="AU138" s="264"/>
      <c r="AV138" s="264"/>
      <c r="AW138" s="264"/>
      <c r="AX138" s="264"/>
      <c r="AY138" s="264"/>
      <c r="AZ138" s="264"/>
      <c r="BA138" s="264"/>
      <c r="BB138" s="264"/>
      <c r="BC138" s="264"/>
      <c r="BD138" s="264"/>
    </row>
    <row r="139">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c r="AA139" s="264"/>
      <c r="AB139" s="264"/>
      <c r="AC139" s="264"/>
      <c r="AD139" s="264"/>
      <c r="AE139" s="264"/>
      <c r="AF139" s="264"/>
      <c r="AG139" s="264"/>
      <c r="AH139" s="264"/>
      <c r="AI139" s="264"/>
      <c r="AJ139" s="264"/>
      <c r="AK139" s="264"/>
      <c r="AL139" s="264"/>
      <c r="AM139" s="264"/>
      <c r="AN139" s="264"/>
      <c r="AO139" s="264"/>
      <c r="AP139" s="264"/>
      <c r="AQ139" s="264"/>
      <c r="AR139" s="264"/>
      <c r="AS139" s="264"/>
      <c r="AT139" s="264"/>
      <c r="AU139" s="264"/>
      <c r="AV139" s="264"/>
      <c r="AW139" s="264"/>
      <c r="AX139" s="264"/>
      <c r="AY139" s="264"/>
      <c r="AZ139" s="264"/>
      <c r="BA139" s="264"/>
      <c r="BB139" s="264"/>
      <c r="BC139" s="264"/>
      <c r="BD139" s="264"/>
    </row>
    <row r="140">
      <c r="A140" s="264"/>
      <c r="B140" s="264"/>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c r="AA140" s="264"/>
      <c r="AB140" s="264"/>
      <c r="AC140" s="264"/>
      <c r="AD140" s="264"/>
      <c r="AE140" s="264"/>
      <c r="AF140" s="264"/>
      <c r="AG140" s="264"/>
      <c r="AH140" s="264"/>
      <c r="AI140" s="264"/>
      <c r="AJ140" s="264"/>
      <c r="AK140" s="264"/>
      <c r="AL140" s="264"/>
      <c r="AM140" s="264"/>
      <c r="AN140" s="264"/>
      <c r="AO140" s="264"/>
      <c r="AP140" s="264"/>
      <c r="AQ140" s="264"/>
      <c r="AR140" s="264"/>
      <c r="AS140" s="264"/>
      <c r="AT140" s="264"/>
      <c r="AU140" s="264"/>
      <c r="AV140" s="264"/>
      <c r="AW140" s="264"/>
      <c r="AX140" s="264"/>
      <c r="AY140" s="264"/>
      <c r="AZ140" s="264"/>
      <c r="BA140" s="264"/>
      <c r="BB140" s="264"/>
      <c r="BC140" s="264"/>
      <c r="BD140" s="264"/>
    </row>
    <row r="141">
      <c r="A141" s="264"/>
      <c r="B141" s="264"/>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c r="AA141" s="264"/>
      <c r="AB141" s="264"/>
      <c r="AC141" s="264"/>
      <c r="AD141" s="264"/>
      <c r="AE141" s="264"/>
      <c r="AF141" s="264"/>
      <c r="AG141" s="264"/>
      <c r="AH141" s="264"/>
      <c r="AI141" s="264"/>
      <c r="AJ141" s="264"/>
      <c r="AK141" s="264"/>
      <c r="AL141" s="264"/>
      <c r="AM141" s="264"/>
      <c r="AN141" s="264"/>
      <c r="AO141" s="264"/>
      <c r="AP141" s="264"/>
      <c r="AQ141" s="264"/>
      <c r="AR141" s="264"/>
      <c r="AS141" s="264"/>
      <c r="AT141" s="264"/>
      <c r="AU141" s="264"/>
      <c r="AV141" s="264"/>
      <c r="AW141" s="264"/>
      <c r="AX141" s="264"/>
      <c r="AY141" s="264"/>
      <c r="AZ141" s="264"/>
      <c r="BA141" s="264"/>
      <c r="BB141" s="264"/>
      <c r="BC141" s="264"/>
      <c r="BD141" s="264"/>
    </row>
    <row r="142">
      <c r="A142" s="264"/>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264"/>
      <c r="AO142" s="264"/>
      <c r="AP142" s="264"/>
      <c r="AQ142" s="264"/>
      <c r="AR142" s="264"/>
      <c r="AS142" s="264"/>
      <c r="AT142" s="264"/>
      <c r="AU142" s="264"/>
      <c r="AV142" s="264"/>
      <c r="AW142" s="264"/>
      <c r="AX142" s="264"/>
      <c r="AY142" s="264"/>
      <c r="AZ142" s="264"/>
      <c r="BA142" s="264"/>
      <c r="BB142" s="264"/>
      <c r="BC142" s="264"/>
      <c r="BD142" s="264"/>
    </row>
    <row r="143">
      <c r="A143" s="264"/>
      <c r="B143" s="264"/>
      <c r="C143" s="264"/>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c r="AA143" s="264"/>
      <c r="AB143" s="264"/>
      <c r="AC143" s="264"/>
      <c r="AD143" s="264"/>
      <c r="AE143" s="264"/>
      <c r="AF143" s="264"/>
      <c r="AG143" s="264"/>
      <c r="AH143" s="264"/>
      <c r="AI143" s="264"/>
      <c r="AJ143" s="264"/>
      <c r="AK143" s="264"/>
      <c r="AL143" s="264"/>
      <c r="AM143" s="264"/>
      <c r="AN143" s="264"/>
      <c r="AO143" s="264"/>
      <c r="AP143" s="264"/>
      <c r="AQ143" s="264"/>
      <c r="AR143" s="264"/>
      <c r="AS143" s="264"/>
      <c r="AT143" s="264"/>
      <c r="AU143" s="264"/>
      <c r="AV143" s="264"/>
      <c r="AW143" s="264"/>
      <c r="AX143" s="264"/>
      <c r="AY143" s="264"/>
      <c r="AZ143" s="264"/>
      <c r="BA143" s="264"/>
      <c r="BB143" s="264"/>
      <c r="BC143" s="264"/>
      <c r="BD143" s="264"/>
    </row>
    <row r="144">
      <c r="A144" s="264"/>
      <c r="B144" s="264"/>
      <c r="C144" s="264"/>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c r="AA144" s="264"/>
      <c r="AB144" s="264"/>
      <c r="AC144" s="264"/>
      <c r="AD144" s="264"/>
      <c r="AE144" s="264"/>
      <c r="AF144" s="264"/>
      <c r="AG144" s="264"/>
      <c r="AH144" s="264"/>
      <c r="AI144" s="264"/>
      <c r="AJ144" s="264"/>
      <c r="AK144" s="264"/>
      <c r="AL144" s="264"/>
      <c r="AM144" s="264"/>
      <c r="AN144" s="264"/>
      <c r="AO144" s="264"/>
      <c r="AP144" s="264"/>
      <c r="AQ144" s="264"/>
      <c r="AR144" s="264"/>
      <c r="AS144" s="264"/>
      <c r="AT144" s="264"/>
      <c r="AU144" s="264"/>
      <c r="AV144" s="264"/>
      <c r="AW144" s="264"/>
      <c r="AX144" s="264"/>
      <c r="AY144" s="264"/>
      <c r="AZ144" s="264"/>
      <c r="BA144" s="264"/>
      <c r="BB144" s="264"/>
      <c r="BC144" s="264"/>
      <c r="BD144" s="264"/>
    </row>
    <row r="145">
      <c r="A145" s="264"/>
      <c r="B145" s="264"/>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c r="AA145" s="264"/>
      <c r="AB145" s="264"/>
      <c r="AC145" s="264"/>
      <c r="AD145" s="264"/>
      <c r="AE145" s="264"/>
      <c r="AF145" s="264"/>
      <c r="AG145" s="264"/>
      <c r="AH145" s="264"/>
      <c r="AI145" s="264"/>
      <c r="AJ145" s="264"/>
      <c r="AK145" s="264"/>
      <c r="AL145" s="264"/>
      <c r="AM145" s="264"/>
      <c r="AN145" s="264"/>
      <c r="AO145" s="264"/>
      <c r="AP145" s="264"/>
      <c r="AQ145" s="264"/>
      <c r="AR145" s="264"/>
      <c r="AS145" s="264"/>
      <c r="AT145" s="264"/>
      <c r="AU145" s="264"/>
      <c r="AV145" s="264"/>
      <c r="AW145" s="264"/>
      <c r="AX145" s="264"/>
      <c r="AY145" s="264"/>
      <c r="AZ145" s="264"/>
      <c r="BA145" s="264"/>
      <c r="BB145" s="264"/>
      <c r="BC145" s="264"/>
      <c r="BD145" s="264"/>
    </row>
    <row r="146">
      <c r="A146" s="264"/>
      <c r="B146" s="264"/>
      <c r="C146" s="264"/>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c r="AA146" s="264"/>
      <c r="AB146" s="264"/>
      <c r="AC146" s="264"/>
      <c r="AD146" s="264"/>
      <c r="AE146" s="264"/>
      <c r="AF146" s="264"/>
      <c r="AG146" s="264"/>
      <c r="AH146" s="264"/>
      <c r="AI146" s="264"/>
      <c r="AJ146" s="264"/>
      <c r="AK146" s="264"/>
      <c r="AL146" s="264"/>
      <c r="AM146" s="264"/>
      <c r="AN146" s="264"/>
      <c r="AO146" s="264"/>
      <c r="AP146" s="264"/>
      <c r="AQ146" s="264"/>
      <c r="AR146" s="264"/>
      <c r="AS146" s="264"/>
      <c r="AT146" s="264"/>
      <c r="AU146" s="264"/>
      <c r="AV146" s="264"/>
      <c r="AW146" s="264"/>
      <c r="AX146" s="264"/>
      <c r="AY146" s="264"/>
      <c r="AZ146" s="264"/>
      <c r="BA146" s="264"/>
      <c r="BB146" s="264"/>
      <c r="BC146" s="264"/>
      <c r="BD146" s="264"/>
    </row>
    <row r="147">
      <c r="A147" s="264"/>
      <c r="B147" s="264"/>
      <c r="C147" s="264"/>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c r="AA147" s="264"/>
      <c r="AB147" s="264"/>
      <c r="AC147" s="264"/>
      <c r="AD147" s="264"/>
      <c r="AE147" s="264"/>
      <c r="AF147" s="264"/>
      <c r="AG147" s="264"/>
      <c r="AH147" s="264"/>
      <c r="AI147" s="264"/>
      <c r="AJ147" s="264"/>
      <c r="AK147" s="264"/>
      <c r="AL147" s="264"/>
      <c r="AM147" s="264"/>
      <c r="AN147" s="264"/>
      <c r="AO147" s="264"/>
      <c r="AP147" s="264"/>
      <c r="AQ147" s="264"/>
      <c r="AR147" s="264"/>
      <c r="AS147" s="264"/>
      <c r="AT147" s="264"/>
      <c r="AU147" s="264"/>
      <c r="AV147" s="264"/>
      <c r="AW147" s="264"/>
      <c r="AX147" s="264"/>
      <c r="AY147" s="264"/>
      <c r="AZ147" s="264"/>
      <c r="BA147" s="264"/>
      <c r="BB147" s="264"/>
      <c r="BC147" s="264"/>
      <c r="BD147" s="264"/>
    </row>
    <row r="148">
      <c r="A148" s="264"/>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264"/>
      <c r="AN148" s="264"/>
      <c r="AO148" s="264"/>
      <c r="AP148" s="264"/>
      <c r="AQ148" s="264"/>
      <c r="AR148" s="264"/>
      <c r="AS148" s="264"/>
      <c r="AT148" s="264"/>
      <c r="AU148" s="264"/>
      <c r="AV148" s="264"/>
      <c r="AW148" s="264"/>
      <c r="AX148" s="264"/>
      <c r="AY148" s="264"/>
      <c r="AZ148" s="264"/>
      <c r="BA148" s="264"/>
      <c r="BB148" s="264"/>
      <c r="BC148" s="264"/>
      <c r="BD148" s="264"/>
    </row>
    <row r="149">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264"/>
      <c r="AN149" s="264"/>
      <c r="AO149" s="264"/>
      <c r="AP149" s="264"/>
      <c r="AQ149" s="264"/>
      <c r="AR149" s="264"/>
      <c r="AS149" s="264"/>
      <c r="AT149" s="264"/>
      <c r="AU149" s="264"/>
      <c r="AV149" s="264"/>
      <c r="AW149" s="264"/>
      <c r="AX149" s="264"/>
      <c r="AY149" s="264"/>
      <c r="AZ149" s="264"/>
      <c r="BA149" s="264"/>
      <c r="BB149" s="264"/>
      <c r="BC149" s="264"/>
      <c r="BD149" s="264"/>
    </row>
    <row r="150">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264"/>
      <c r="AN150" s="264"/>
      <c r="AO150" s="264"/>
      <c r="AP150" s="264"/>
      <c r="AQ150" s="264"/>
      <c r="AR150" s="264"/>
      <c r="AS150" s="264"/>
      <c r="AT150" s="264"/>
      <c r="AU150" s="264"/>
      <c r="AV150" s="264"/>
      <c r="AW150" s="264"/>
      <c r="AX150" s="264"/>
      <c r="AY150" s="264"/>
      <c r="AZ150" s="264"/>
      <c r="BA150" s="264"/>
      <c r="BB150" s="264"/>
      <c r="BC150" s="264"/>
      <c r="BD150" s="264"/>
    </row>
    <row r="15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264"/>
      <c r="AN151" s="264"/>
      <c r="AO151" s="264"/>
      <c r="AP151" s="264"/>
      <c r="AQ151" s="264"/>
      <c r="AR151" s="264"/>
      <c r="AS151" s="264"/>
      <c r="AT151" s="264"/>
      <c r="AU151" s="264"/>
      <c r="AV151" s="264"/>
      <c r="AW151" s="264"/>
      <c r="AX151" s="264"/>
      <c r="AY151" s="264"/>
      <c r="AZ151" s="264"/>
      <c r="BA151" s="264"/>
      <c r="BB151" s="264"/>
      <c r="BC151" s="264"/>
      <c r="BD151" s="264"/>
    </row>
    <row r="152">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264"/>
      <c r="AN152" s="264"/>
      <c r="AO152" s="264"/>
      <c r="AP152" s="264"/>
      <c r="AQ152" s="264"/>
      <c r="AR152" s="264"/>
      <c r="AS152" s="264"/>
      <c r="AT152" s="264"/>
      <c r="AU152" s="264"/>
      <c r="AV152" s="264"/>
      <c r="AW152" s="264"/>
      <c r="AX152" s="264"/>
      <c r="AY152" s="264"/>
      <c r="AZ152" s="264"/>
      <c r="BA152" s="264"/>
      <c r="BB152" s="264"/>
      <c r="BC152" s="264"/>
      <c r="BD152" s="264"/>
    </row>
    <row r="153">
      <c r="A153" s="264"/>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64"/>
      <c r="AN153" s="264"/>
      <c r="AO153" s="264"/>
      <c r="AP153" s="264"/>
      <c r="AQ153" s="264"/>
      <c r="AR153" s="264"/>
      <c r="AS153" s="264"/>
      <c r="AT153" s="264"/>
      <c r="AU153" s="264"/>
      <c r="AV153" s="264"/>
      <c r="AW153" s="264"/>
      <c r="AX153" s="264"/>
      <c r="AY153" s="264"/>
      <c r="AZ153" s="264"/>
      <c r="BA153" s="264"/>
      <c r="BB153" s="264"/>
      <c r="BC153" s="264"/>
      <c r="BD153" s="264"/>
    </row>
    <row r="154">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64"/>
      <c r="AN154" s="264"/>
      <c r="AO154" s="264"/>
      <c r="AP154" s="264"/>
      <c r="AQ154" s="264"/>
      <c r="AR154" s="264"/>
      <c r="AS154" s="264"/>
      <c r="AT154" s="264"/>
      <c r="AU154" s="264"/>
      <c r="AV154" s="264"/>
      <c r="AW154" s="264"/>
      <c r="AX154" s="264"/>
      <c r="AY154" s="264"/>
      <c r="AZ154" s="264"/>
      <c r="BA154" s="264"/>
      <c r="BB154" s="264"/>
      <c r="BC154" s="264"/>
      <c r="BD154" s="264"/>
    </row>
    <row r="155">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64"/>
      <c r="AN155" s="264"/>
      <c r="AO155" s="264"/>
      <c r="AP155" s="264"/>
      <c r="AQ155" s="264"/>
      <c r="AR155" s="264"/>
      <c r="AS155" s="264"/>
      <c r="AT155" s="264"/>
      <c r="AU155" s="264"/>
      <c r="AV155" s="264"/>
      <c r="AW155" s="264"/>
      <c r="AX155" s="264"/>
      <c r="AY155" s="264"/>
      <c r="AZ155" s="264"/>
      <c r="BA155" s="264"/>
      <c r="BB155" s="264"/>
      <c r="BC155" s="264"/>
      <c r="BD155" s="264"/>
    </row>
    <row r="156">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64"/>
      <c r="AN156" s="264"/>
      <c r="AO156" s="264"/>
      <c r="AP156" s="264"/>
      <c r="AQ156" s="264"/>
      <c r="AR156" s="264"/>
      <c r="AS156" s="264"/>
      <c r="AT156" s="264"/>
      <c r="AU156" s="264"/>
      <c r="AV156" s="264"/>
      <c r="AW156" s="264"/>
      <c r="AX156" s="264"/>
      <c r="AY156" s="264"/>
      <c r="AZ156" s="264"/>
      <c r="BA156" s="264"/>
      <c r="BB156" s="264"/>
      <c r="BC156" s="264"/>
      <c r="BD156" s="264"/>
    </row>
    <row r="157">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64"/>
      <c r="AN157" s="264"/>
      <c r="AO157" s="264"/>
      <c r="AP157" s="264"/>
      <c r="AQ157" s="264"/>
      <c r="AR157" s="264"/>
      <c r="AS157" s="264"/>
      <c r="AT157" s="264"/>
      <c r="AU157" s="264"/>
      <c r="AV157" s="264"/>
      <c r="AW157" s="264"/>
      <c r="AX157" s="264"/>
      <c r="AY157" s="264"/>
      <c r="AZ157" s="264"/>
      <c r="BA157" s="264"/>
      <c r="BB157" s="264"/>
      <c r="BC157" s="264"/>
      <c r="BD157" s="264"/>
    </row>
    <row r="158">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64"/>
      <c r="AN158" s="264"/>
      <c r="AO158" s="264"/>
      <c r="AP158" s="264"/>
      <c r="AQ158" s="264"/>
      <c r="AR158" s="264"/>
      <c r="AS158" s="264"/>
      <c r="AT158" s="264"/>
      <c r="AU158" s="264"/>
      <c r="AV158" s="264"/>
      <c r="AW158" s="264"/>
      <c r="AX158" s="264"/>
      <c r="AY158" s="264"/>
      <c r="AZ158" s="264"/>
      <c r="BA158" s="264"/>
      <c r="BB158" s="264"/>
      <c r="BC158" s="264"/>
      <c r="BD158" s="264"/>
    </row>
    <row r="159">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64"/>
      <c r="AN159" s="264"/>
      <c r="AO159" s="264"/>
      <c r="AP159" s="264"/>
      <c r="AQ159" s="264"/>
      <c r="AR159" s="264"/>
      <c r="AS159" s="264"/>
      <c r="AT159" s="264"/>
      <c r="AU159" s="264"/>
      <c r="AV159" s="264"/>
      <c r="AW159" s="264"/>
      <c r="AX159" s="264"/>
      <c r="AY159" s="264"/>
      <c r="AZ159" s="264"/>
      <c r="BA159" s="264"/>
      <c r="BB159" s="264"/>
      <c r="BC159" s="264"/>
      <c r="BD159" s="264"/>
    </row>
    <row r="160">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64"/>
      <c r="AN160" s="264"/>
      <c r="AO160" s="264"/>
      <c r="AP160" s="264"/>
      <c r="AQ160" s="264"/>
      <c r="AR160" s="264"/>
      <c r="AS160" s="264"/>
      <c r="AT160" s="264"/>
      <c r="AU160" s="264"/>
      <c r="AV160" s="264"/>
      <c r="AW160" s="264"/>
      <c r="AX160" s="264"/>
      <c r="AY160" s="264"/>
      <c r="AZ160" s="264"/>
      <c r="BA160" s="264"/>
      <c r="BB160" s="264"/>
      <c r="BC160" s="264"/>
      <c r="BD160" s="264"/>
    </row>
    <row r="16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64"/>
      <c r="AN161" s="264"/>
      <c r="AO161" s="264"/>
      <c r="AP161" s="264"/>
      <c r="AQ161" s="264"/>
      <c r="AR161" s="264"/>
      <c r="AS161" s="264"/>
      <c r="AT161" s="264"/>
      <c r="AU161" s="264"/>
      <c r="AV161" s="264"/>
      <c r="AW161" s="264"/>
      <c r="AX161" s="264"/>
      <c r="AY161" s="264"/>
      <c r="AZ161" s="264"/>
      <c r="BA161" s="264"/>
      <c r="BB161" s="264"/>
      <c r="BC161" s="264"/>
      <c r="BD161" s="264"/>
    </row>
    <row r="162">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64"/>
      <c r="AN162" s="264"/>
      <c r="AO162" s="264"/>
      <c r="AP162" s="264"/>
      <c r="AQ162" s="264"/>
      <c r="AR162" s="264"/>
      <c r="AS162" s="264"/>
      <c r="AT162" s="264"/>
      <c r="AU162" s="264"/>
      <c r="AV162" s="264"/>
      <c r="AW162" s="264"/>
      <c r="AX162" s="264"/>
      <c r="AY162" s="264"/>
      <c r="AZ162" s="264"/>
      <c r="BA162" s="264"/>
      <c r="BB162" s="264"/>
      <c r="BC162" s="264"/>
      <c r="BD162" s="264"/>
    </row>
    <row r="163">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64"/>
      <c r="AN163" s="264"/>
      <c r="AO163" s="264"/>
      <c r="AP163" s="264"/>
      <c r="AQ163" s="264"/>
      <c r="AR163" s="264"/>
      <c r="AS163" s="264"/>
      <c r="AT163" s="264"/>
      <c r="AU163" s="264"/>
      <c r="AV163" s="264"/>
      <c r="AW163" s="264"/>
      <c r="AX163" s="264"/>
      <c r="AY163" s="264"/>
      <c r="AZ163" s="264"/>
      <c r="BA163" s="264"/>
      <c r="BB163" s="264"/>
      <c r="BC163" s="264"/>
      <c r="BD163" s="264"/>
    </row>
    <row r="164">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64"/>
      <c r="AN164" s="264"/>
      <c r="AO164" s="264"/>
      <c r="AP164" s="264"/>
      <c r="AQ164" s="264"/>
      <c r="AR164" s="264"/>
      <c r="AS164" s="264"/>
      <c r="AT164" s="264"/>
      <c r="AU164" s="264"/>
      <c r="AV164" s="264"/>
      <c r="AW164" s="264"/>
      <c r="AX164" s="264"/>
      <c r="AY164" s="264"/>
      <c r="AZ164" s="264"/>
      <c r="BA164" s="264"/>
      <c r="BB164" s="264"/>
      <c r="BC164" s="264"/>
      <c r="BD164" s="264"/>
    </row>
    <row r="165">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264"/>
      <c r="AO165" s="264"/>
      <c r="AP165" s="264"/>
      <c r="AQ165" s="264"/>
      <c r="AR165" s="264"/>
      <c r="AS165" s="264"/>
      <c r="AT165" s="264"/>
      <c r="AU165" s="264"/>
      <c r="AV165" s="264"/>
      <c r="AW165" s="264"/>
      <c r="AX165" s="264"/>
      <c r="AY165" s="264"/>
      <c r="AZ165" s="264"/>
      <c r="BA165" s="264"/>
      <c r="BB165" s="264"/>
      <c r="BC165" s="264"/>
      <c r="BD165" s="264"/>
    </row>
    <row r="166">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64"/>
      <c r="AN166" s="264"/>
      <c r="AO166" s="264"/>
      <c r="AP166" s="264"/>
      <c r="AQ166" s="264"/>
      <c r="AR166" s="264"/>
      <c r="AS166" s="264"/>
      <c r="AT166" s="264"/>
      <c r="AU166" s="264"/>
      <c r="AV166" s="264"/>
      <c r="AW166" s="264"/>
      <c r="AX166" s="264"/>
      <c r="AY166" s="264"/>
      <c r="AZ166" s="264"/>
      <c r="BA166" s="264"/>
      <c r="BB166" s="264"/>
      <c r="BC166" s="264"/>
      <c r="BD166" s="264"/>
    </row>
    <row r="167">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264"/>
      <c r="AO167" s="264"/>
      <c r="AP167" s="264"/>
      <c r="AQ167" s="264"/>
      <c r="AR167" s="264"/>
      <c r="AS167" s="264"/>
      <c r="AT167" s="264"/>
      <c r="AU167" s="264"/>
      <c r="AV167" s="264"/>
      <c r="AW167" s="264"/>
      <c r="AX167" s="264"/>
      <c r="AY167" s="264"/>
      <c r="AZ167" s="264"/>
      <c r="BA167" s="264"/>
      <c r="BB167" s="264"/>
      <c r="BC167" s="264"/>
      <c r="BD167" s="264"/>
    </row>
    <row r="168">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64"/>
      <c r="AN168" s="264"/>
      <c r="AO168" s="264"/>
      <c r="AP168" s="264"/>
      <c r="AQ168" s="264"/>
      <c r="AR168" s="264"/>
      <c r="AS168" s="264"/>
      <c r="AT168" s="264"/>
      <c r="AU168" s="264"/>
      <c r="AV168" s="264"/>
      <c r="AW168" s="264"/>
      <c r="AX168" s="264"/>
      <c r="AY168" s="264"/>
      <c r="AZ168" s="264"/>
      <c r="BA168" s="264"/>
      <c r="BB168" s="264"/>
      <c r="BC168" s="264"/>
      <c r="BD168" s="264"/>
    </row>
    <row r="169">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264"/>
      <c r="AO169" s="264"/>
      <c r="AP169" s="264"/>
      <c r="AQ169" s="264"/>
      <c r="AR169" s="264"/>
      <c r="AS169" s="264"/>
      <c r="AT169" s="264"/>
      <c r="AU169" s="264"/>
      <c r="AV169" s="264"/>
      <c r="AW169" s="264"/>
      <c r="AX169" s="264"/>
      <c r="AY169" s="264"/>
      <c r="AZ169" s="264"/>
      <c r="BA169" s="264"/>
      <c r="BB169" s="264"/>
      <c r="BC169" s="264"/>
      <c r="BD169" s="264"/>
    </row>
    <row r="170">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64"/>
      <c r="AN170" s="264"/>
      <c r="AO170" s="264"/>
      <c r="AP170" s="264"/>
      <c r="AQ170" s="264"/>
      <c r="AR170" s="264"/>
      <c r="AS170" s="264"/>
      <c r="AT170" s="264"/>
      <c r="AU170" s="264"/>
      <c r="AV170" s="264"/>
      <c r="AW170" s="264"/>
      <c r="AX170" s="264"/>
      <c r="AY170" s="264"/>
      <c r="AZ170" s="264"/>
      <c r="BA170" s="264"/>
      <c r="BB170" s="264"/>
      <c r="BC170" s="264"/>
      <c r="BD170" s="264"/>
    </row>
    <row r="17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64"/>
      <c r="AN171" s="264"/>
      <c r="AO171" s="264"/>
      <c r="AP171" s="264"/>
      <c r="AQ171" s="264"/>
      <c r="AR171" s="264"/>
      <c r="AS171" s="264"/>
      <c r="AT171" s="264"/>
      <c r="AU171" s="264"/>
      <c r="AV171" s="264"/>
      <c r="AW171" s="264"/>
      <c r="AX171" s="264"/>
      <c r="AY171" s="264"/>
      <c r="AZ171" s="264"/>
      <c r="BA171" s="264"/>
      <c r="BB171" s="264"/>
      <c r="BC171" s="264"/>
      <c r="BD171" s="264"/>
    </row>
    <row r="172">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4"/>
      <c r="AY172" s="264"/>
      <c r="AZ172" s="264"/>
      <c r="BA172" s="264"/>
      <c r="BB172" s="264"/>
      <c r="BC172" s="264"/>
      <c r="BD172" s="264"/>
    </row>
    <row r="173">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264"/>
      <c r="AO173" s="264"/>
      <c r="AP173" s="264"/>
      <c r="AQ173" s="264"/>
      <c r="AR173" s="264"/>
      <c r="AS173" s="264"/>
      <c r="AT173" s="264"/>
      <c r="AU173" s="264"/>
      <c r="AV173" s="264"/>
      <c r="AW173" s="264"/>
      <c r="AX173" s="264"/>
      <c r="AY173" s="264"/>
      <c r="AZ173" s="264"/>
      <c r="BA173" s="264"/>
      <c r="BB173" s="264"/>
      <c r="BC173" s="264"/>
      <c r="BD173" s="264"/>
    </row>
    <row r="174">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64"/>
      <c r="AN174" s="264"/>
      <c r="AO174" s="264"/>
      <c r="AP174" s="264"/>
      <c r="AQ174" s="264"/>
      <c r="AR174" s="264"/>
      <c r="AS174" s="264"/>
      <c r="AT174" s="264"/>
      <c r="AU174" s="264"/>
      <c r="AV174" s="264"/>
      <c r="AW174" s="264"/>
      <c r="AX174" s="264"/>
      <c r="AY174" s="264"/>
      <c r="AZ174" s="264"/>
      <c r="BA174" s="264"/>
      <c r="BB174" s="264"/>
      <c r="BC174" s="264"/>
      <c r="BD174" s="264"/>
    </row>
    <row r="175">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64"/>
      <c r="AN175" s="264"/>
      <c r="AO175" s="264"/>
      <c r="AP175" s="264"/>
      <c r="AQ175" s="264"/>
      <c r="AR175" s="264"/>
      <c r="AS175" s="264"/>
      <c r="AT175" s="264"/>
      <c r="AU175" s="264"/>
      <c r="AV175" s="264"/>
      <c r="AW175" s="264"/>
      <c r="AX175" s="264"/>
      <c r="AY175" s="264"/>
      <c r="AZ175" s="264"/>
      <c r="BA175" s="264"/>
      <c r="BB175" s="264"/>
      <c r="BC175" s="264"/>
      <c r="BD175" s="264"/>
    </row>
    <row r="176">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64"/>
      <c r="AN176" s="264"/>
      <c r="AO176" s="264"/>
      <c r="AP176" s="264"/>
      <c r="AQ176" s="264"/>
      <c r="AR176" s="264"/>
      <c r="AS176" s="264"/>
      <c r="AT176" s="264"/>
      <c r="AU176" s="264"/>
      <c r="AV176" s="264"/>
      <c r="AW176" s="264"/>
      <c r="AX176" s="264"/>
      <c r="AY176" s="264"/>
      <c r="AZ176" s="264"/>
      <c r="BA176" s="264"/>
      <c r="BB176" s="264"/>
      <c r="BC176" s="264"/>
      <c r="BD176" s="264"/>
    </row>
    <row r="177">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264"/>
      <c r="AO177" s="264"/>
      <c r="AP177" s="264"/>
      <c r="AQ177" s="264"/>
      <c r="AR177" s="264"/>
      <c r="AS177" s="264"/>
      <c r="AT177" s="264"/>
      <c r="AU177" s="264"/>
      <c r="AV177" s="264"/>
      <c r="AW177" s="264"/>
      <c r="AX177" s="264"/>
      <c r="AY177" s="264"/>
      <c r="AZ177" s="264"/>
      <c r="BA177" s="264"/>
      <c r="BB177" s="264"/>
      <c r="BC177" s="264"/>
      <c r="BD177" s="264"/>
    </row>
    <row r="178">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64"/>
      <c r="AN178" s="264"/>
      <c r="AO178" s="264"/>
      <c r="AP178" s="264"/>
      <c r="AQ178" s="264"/>
      <c r="AR178" s="264"/>
      <c r="AS178" s="264"/>
      <c r="AT178" s="264"/>
      <c r="AU178" s="264"/>
      <c r="AV178" s="264"/>
      <c r="AW178" s="264"/>
      <c r="AX178" s="264"/>
      <c r="AY178" s="264"/>
      <c r="AZ178" s="264"/>
      <c r="BA178" s="264"/>
      <c r="BB178" s="264"/>
      <c r="BC178" s="264"/>
      <c r="BD178" s="264"/>
    </row>
    <row r="179">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64"/>
      <c r="AN179" s="264"/>
      <c r="AO179" s="264"/>
      <c r="AP179" s="264"/>
      <c r="AQ179" s="264"/>
      <c r="AR179" s="264"/>
      <c r="AS179" s="264"/>
      <c r="AT179" s="264"/>
      <c r="AU179" s="264"/>
      <c r="AV179" s="264"/>
      <c r="AW179" s="264"/>
      <c r="AX179" s="264"/>
      <c r="AY179" s="264"/>
      <c r="AZ179" s="264"/>
      <c r="BA179" s="264"/>
      <c r="BB179" s="264"/>
      <c r="BC179" s="264"/>
      <c r="BD179" s="264"/>
    </row>
    <row r="180">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264"/>
      <c r="AO180" s="264"/>
      <c r="AP180" s="264"/>
      <c r="AQ180" s="264"/>
      <c r="AR180" s="264"/>
      <c r="AS180" s="264"/>
      <c r="AT180" s="264"/>
      <c r="AU180" s="264"/>
      <c r="AV180" s="264"/>
      <c r="AW180" s="264"/>
      <c r="AX180" s="264"/>
      <c r="AY180" s="264"/>
      <c r="AZ180" s="264"/>
      <c r="BA180" s="264"/>
      <c r="BB180" s="264"/>
      <c r="BC180" s="264"/>
      <c r="BD180" s="264"/>
    </row>
    <row r="18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64"/>
      <c r="AN181" s="264"/>
      <c r="AO181" s="264"/>
      <c r="AP181" s="264"/>
      <c r="AQ181" s="264"/>
      <c r="AR181" s="264"/>
      <c r="AS181" s="264"/>
      <c r="AT181" s="264"/>
      <c r="AU181" s="264"/>
      <c r="AV181" s="264"/>
      <c r="AW181" s="264"/>
      <c r="AX181" s="264"/>
      <c r="AY181" s="264"/>
      <c r="AZ181" s="264"/>
      <c r="BA181" s="264"/>
      <c r="BB181" s="264"/>
      <c r="BC181" s="264"/>
      <c r="BD181" s="264"/>
    </row>
    <row r="182">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row>
    <row r="183">
      <c r="A183" s="264"/>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row>
    <row r="184">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row>
    <row r="185">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row>
    <row r="186">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64"/>
      <c r="AN186" s="264"/>
      <c r="AO186" s="264"/>
      <c r="AP186" s="264"/>
      <c r="AQ186" s="264"/>
      <c r="AR186" s="264"/>
      <c r="AS186" s="264"/>
      <c r="AT186" s="264"/>
      <c r="AU186" s="264"/>
      <c r="AV186" s="264"/>
      <c r="AW186" s="264"/>
      <c r="AX186" s="264"/>
      <c r="AY186" s="264"/>
      <c r="AZ186" s="264"/>
      <c r="BA186" s="264"/>
      <c r="BB186" s="264"/>
      <c r="BC186" s="264"/>
      <c r="BD186" s="264"/>
    </row>
    <row r="187">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264"/>
      <c r="AO187" s="264"/>
      <c r="AP187" s="264"/>
      <c r="AQ187" s="264"/>
      <c r="AR187" s="264"/>
      <c r="AS187" s="264"/>
      <c r="AT187" s="264"/>
      <c r="AU187" s="264"/>
      <c r="AV187" s="264"/>
      <c r="AW187" s="264"/>
      <c r="AX187" s="264"/>
      <c r="AY187" s="264"/>
      <c r="AZ187" s="264"/>
      <c r="BA187" s="264"/>
      <c r="BB187" s="264"/>
      <c r="BC187" s="264"/>
      <c r="BD187" s="264"/>
    </row>
    <row r="188">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64"/>
      <c r="AN188" s="264"/>
      <c r="AO188" s="264"/>
      <c r="AP188" s="264"/>
      <c r="AQ188" s="264"/>
      <c r="AR188" s="264"/>
      <c r="AS188" s="264"/>
      <c r="AT188" s="264"/>
      <c r="AU188" s="264"/>
      <c r="AV188" s="264"/>
      <c r="AW188" s="264"/>
      <c r="AX188" s="264"/>
      <c r="AY188" s="264"/>
      <c r="AZ188" s="264"/>
      <c r="BA188" s="264"/>
      <c r="BB188" s="264"/>
      <c r="BC188" s="264"/>
      <c r="BD188" s="264"/>
    </row>
    <row r="189">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264"/>
      <c r="AO189" s="264"/>
      <c r="AP189" s="264"/>
      <c r="AQ189" s="264"/>
      <c r="AR189" s="264"/>
      <c r="AS189" s="264"/>
      <c r="AT189" s="264"/>
      <c r="AU189" s="264"/>
      <c r="AV189" s="264"/>
      <c r="AW189" s="264"/>
      <c r="AX189" s="264"/>
      <c r="AY189" s="264"/>
      <c r="AZ189" s="264"/>
      <c r="BA189" s="264"/>
      <c r="BB189" s="264"/>
      <c r="BC189" s="264"/>
      <c r="BD189" s="264"/>
    </row>
    <row r="190">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64"/>
      <c r="AN190" s="264"/>
      <c r="AO190" s="264"/>
      <c r="AP190" s="264"/>
      <c r="AQ190" s="264"/>
      <c r="AR190" s="264"/>
      <c r="AS190" s="264"/>
      <c r="AT190" s="264"/>
      <c r="AU190" s="264"/>
      <c r="AV190" s="264"/>
      <c r="AW190" s="264"/>
      <c r="AX190" s="264"/>
      <c r="AY190" s="264"/>
      <c r="AZ190" s="264"/>
      <c r="BA190" s="264"/>
      <c r="BB190" s="264"/>
      <c r="BC190" s="264"/>
      <c r="BD190" s="264"/>
    </row>
    <row r="19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64"/>
      <c r="AN191" s="264"/>
      <c r="AO191" s="264"/>
      <c r="AP191" s="264"/>
      <c r="AQ191" s="264"/>
      <c r="AR191" s="264"/>
      <c r="AS191" s="264"/>
      <c r="AT191" s="264"/>
      <c r="AU191" s="264"/>
      <c r="AV191" s="264"/>
      <c r="AW191" s="264"/>
      <c r="AX191" s="264"/>
      <c r="AY191" s="264"/>
      <c r="AZ191" s="264"/>
      <c r="BA191" s="264"/>
      <c r="BB191" s="264"/>
      <c r="BC191" s="264"/>
      <c r="BD191" s="264"/>
    </row>
    <row r="192">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64"/>
      <c r="AN192" s="264"/>
      <c r="AO192" s="264"/>
      <c r="AP192" s="264"/>
      <c r="AQ192" s="264"/>
      <c r="AR192" s="264"/>
      <c r="AS192" s="264"/>
      <c r="AT192" s="264"/>
      <c r="AU192" s="264"/>
      <c r="AV192" s="264"/>
      <c r="AW192" s="264"/>
      <c r="AX192" s="264"/>
      <c r="AY192" s="264"/>
      <c r="AZ192" s="264"/>
      <c r="BA192" s="264"/>
      <c r="BB192" s="264"/>
      <c r="BC192" s="264"/>
      <c r="BD192" s="264"/>
    </row>
    <row r="193">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c r="AA193" s="264"/>
      <c r="AB193" s="264"/>
      <c r="AC193" s="264"/>
      <c r="AD193" s="264"/>
      <c r="AE193" s="264"/>
      <c r="AF193" s="264"/>
      <c r="AG193" s="264"/>
      <c r="AH193" s="264"/>
      <c r="AI193" s="264"/>
      <c r="AJ193" s="264"/>
      <c r="AK193" s="264"/>
      <c r="AL193" s="264"/>
      <c r="AM193" s="264"/>
      <c r="AN193" s="264"/>
      <c r="AO193" s="264"/>
      <c r="AP193" s="264"/>
      <c r="AQ193" s="264"/>
      <c r="AR193" s="264"/>
      <c r="AS193" s="264"/>
      <c r="AT193" s="264"/>
      <c r="AU193" s="264"/>
      <c r="AV193" s="264"/>
      <c r="AW193" s="264"/>
      <c r="AX193" s="264"/>
      <c r="AY193" s="264"/>
      <c r="AZ193" s="264"/>
      <c r="BA193" s="264"/>
      <c r="BB193" s="264"/>
      <c r="BC193" s="264"/>
      <c r="BD193" s="264"/>
    </row>
    <row r="194">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c r="AA194" s="264"/>
      <c r="AB194" s="264"/>
      <c r="AC194" s="264"/>
      <c r="AD194" s="264"/>
      <c r="AE194" s="264"/>
      <c r="AF194" s="264"/>
      <c r="AG194" s="264"/>
      <c r="AH194" s="264"/>
      <c r="AI194" s="264"/>
      <c r="AJ194" s="264"/>
      <c r="AK194" s="264"/>
      <c r="AL194" s="264"/>
      <c r="AM194" s="264"/>
      <c r="AN194" s="264"/>
      <c r="AO194" s="264"/>
      <c r="AP194" s="264"/>
      <c r="AQ194" s="264"/>
      <c r="AR194" s="264"/>
      <c r="AS194" s="264"/>
      <c r="AT194" s="264"/>
      <c r="AU194" s="264"/>
      <c r="AV194" s="264"/>
      <c r="AW194" s="264"/>
      <c r="AX194" s="264"/>
      <c r="AY194" s="264"/>
      <c r="AZ194" s="264"/>
      <c r="BA194" s="264"/>
      <c r="BB194" s="264"/>
      <c r="BC194" s="264"/>
      <c r="BD194" s="264"/>
    </row>
    <row r="195">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c r="AA195" s="264"/>
      <c r="AB195" s="264"/>
      <c r="AC195" s="264"/>
      <c r="AD195" s="264"/>
      <c r="AE195" s="264"/>
      <c r="AF195" s="264"/>
      <c r="AG195" s="264"/>
      <c r="AH195" s="264"/>
      <c r="AI195" s="264"/>
      <c r="AJ195" s="264"/>
      <c r="AK195" s="264"/>
      <c r="AL195" s="264"/>
      <c r="AM195" s="264"/>
      <c r="AN195" s="264"/>
      <c r="AO195" s="264"/>
      <c r="AP195" s="264"/>
      <c r="AQ195" s="264"/>
      <c r="AR195" s="264"/>
      <c r="AS195" s="264"/>
      <c r="AT195" s="264"/>
      <c r="AU195" s="264"/>
      <c r="AV195" s="264"/>
      <c r="AW195" s="264"/>
      <c r="AX195" s="264"/>
      <c r="AY195" s="264"/>
      <c r="AZ195" s="264"/>
      <c r="BA195" s="264"/>
      <c r="BB195" s="264"/>
      <c r="BC195" s="264"/>
      <c r="BD195" s="264"/>
    </row>
    <row r="196">
      <c r="A196" s="264"/>
      <c r="B196" s="264"/>
      <c r="C196" s="264"/>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c r="AA196" s="264"/>
      <c r="AB196" s="264"/>
      <c r="AC196" s="264"/>
      <c r="AD196" s="264"/>
      <c r="AE196" s="264"/>
      <c r="AF196" s="264"/>
      <c r="AG196" s="264"/>
      <c r="AH196" s="264"/>
      <c r="AI196" s="264"/>
      <c r="AJ196" s="264"/>
      <c r="AK196" s="264"/>
      <c r="AL196" s="264"/>
      <c r="AM196" s="264"/>
      <c r="AN196" s="264"/>
      <c r="AO196" s="264"/>
      <c r="AP196" s="264"/>
      <c r="AQ196" s="264"/>
      <c r="AR196" s="264"/>
      <c r="AS196" s="264"/>
      <c r="AT196" s="264"/>
      <c r="AU196" s="264"/>
      <c r="AV196" s="264"/>
      <c r="AW196" s="264"/>
      <c r="AX196" s="264"/>
      <c r="AY196" s="264"/>
      <c r="AZ196" s="264"/>
      <c r="BA196" s="264"/>
      <c r="BB196" s="264"/>
      <c r="BC196" s="264"/>
      <c r="BD196" s="264"/>
    </row>
    <row r="197">
      <c r="A197" s="264"/>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c r="AA197" s="264"/>
      <c r="AB197" s="264"/>
      <c r="AC197" s="264"/>
      <c r="AD197" s="264"/>
      <c r="AE197" s="264"/>
      <c r="AF197" s="264"/>
      <c r="AG197" s="264"/>
      <c r="AH197" s="264"/>
      <c r="AI197" s="264"/>
      <c r="AJ197" s="264"/>
      <c r="AK197" s="264"/>
      <c r="AL197" s="264"/>
      <c r="AM197" s="264"/>
      <c r="AN197" s="264"/>
      <c r="AO197" s="264"/>
      <c r="AP197" s="264"/>
      <c r="AQ197" s="264"/>
      <c r="AR197" s="264"/>
      <c r="AS197" s="264"/>
      <c r="AT197" s="264"/>
      <c r="AU197" s="264"/>
      <c r="AV197" s="264"/>
      <c r="AW197" s="264"/>
      <c r="AX197" s="264"/>
      <c r="AY197" s="264"/>
      <c r="AZ197" s="264"/>
      <c r="BA197" s="264"/>
      <c r="BB197" s="264"/>
      <c r="BC197" s="264"/>
      <c r="BD197" s="264"/>
    </row>
    <row r="198">
      <c r="A198" s="264"/>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c r="AA198" s="264"/>
      <c r="AB198" s="264"/>
      <c r="AC198" s="264"/>
      <c r="AD198" s="264"/>
      <c r="AE198" s="264"/>
      <c r="AF198" s="264"/>
      <c r="AG198" s="264"/>
      <c r="AH198" s="264"/>
      <c r="AI198" s="264"/>
      <c r="AJ198" s="264"/>
      <c r="AK198" s="264"/>
      <c r="AL198" s="264"/>
      <c r="AM198" s="264"/>
      <c r="AN198" s="264"/>
      <c r="AO198" s="264"/>
      <c r="AP198" s="264"/>
      <c r="AQ198" s="264"/>
      <c r="AR198" s="264"/>
      <c r="AS198" s="264"/>
      <c r="AT198" s="264"/>
      <c r="AU198" s="264"/>
      <c r="AV198" s="264"/>
      <c r="AW198" s="264"/>
      <c r="AX198" s="264"/>
      <c r="AY198" s="264"/>
      <c r="AZ198" s="264"/>
      <c r="BA198" s="264"/>
      <c r="BB198" s="264"/>
      <c r="BC198" s="264"/>
      <c r="BD198" s="264"/>
    </row>
    <row r="199">
      <c r="A199" s="264"/>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264"/>
      <c r="AO199" s="264"/>
      <c r="AP199" s="264"/>
      <c r="AQ199" s="264"/>
      <c r="AR199" s="264"/>
      <c r="AS199" s="264"/>
      <c r="AT199" s="264"/>
      <c r="AU199" s="264"/>
      <c r="AV199" s="264"/>
      <c r="AW199" s="264"/>
      <c r="AX199" s="264"/>
      <c r="AY199" s="264"/>
      <c r="AZ199" s="264"/>
      <c r="BA199" s="264"/>
      <c r="BB199" s="264"/>
      <c r="BC199" s="264"/>
      <c r="BD199" s="264"/>
    </row>
    <row r="200">
      <c r="A200" s="264"/>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264"/>
      <c r="AO200" s="264"/>
      <c r="AP200" s="264"/>
      <c r="AQ200" s="264"/>
      <c r="AR200" s="264"/>
      <c r="AS200" s="264"/>
      <c r="AT200" s="264"/>
      <c r="AU200" s="264"/>
      <c r="AV200" s="264"/>
      <c r="AW200" s="264"/>
      <c r="AX200" s="264"/>
      <c r="AY200" s="264"/>
      <c r="AZ200" s="264"/>
      <c r="BA200" s="264"/>
      <c r="BB200" s="264"/>
      <c r="BC200" s="264"/>
      <c r="BD200" s="264"/>
    </row>
    <row r="201">
      <c r="A201" s="264"/>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264"/>
      <c r="AO201" s="264"/>
      <c r="AP201" s="264"/>
      <c r="AQ201" s="264"/>
      <c r="AR201" s="264"/>
      <c r="AS201" s="264"/>
      <c r="AT201" s="264"/>
      <c r="AU201" s="264"/>
      <c r="AV201" s="264"/>
      <c r="AW201" s="264"/>
      <c r="AX201" s="264"/>
      <c r="AY201" s="264"/>
      <c r="AZ201" s="264"/>
      <c r="BA201" s="264"/>
      <c r="BB201" s="264"/>
      <c r="BC201" s="264"/>
      <c r="BD201" s="264"/>
    </row>
    <row r="202">
      <c r="A202" s="264"/>
      <c r="B202" s="264"/>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row>
    <row r="203">
      <c r="A203" s="264"/>
      <c r="B203" s="264"/>
      <c r="C203" s="264"/>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row>
    <row r="204">
      <c r="A204" s="264"/>
      <c r="B204" s="264"/>
      <c r="C204" s="264"/>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row>
    <row r="205">
      <c r="A205" s="264"/>
      <c r="B205" s="264"/>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row>
    <row r="206">
      <c r="A206" s="264"/>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264"/>
      <c r="AO206" s="264"/>
      <c r="AP206" s="264"/>
      <c r="AQ206" s="264"/>
      <c r="AR206" s="264"/>
      <c r="AS206" s="264"/>
      <c r="AT206" s="264"/>
      <c r="AU206" s="264"/>
      <c r="AV206" s="264"/>
      <c r="AW206" s="264"/>
      <c r="AX206" s="264"/>
      <c r="AY206" s="264"/>
      <c r="AZ206" s="264"/>
      <c r="BA206" s="264"/>
      <c r="BB206" s="264"/>
      <c r="BC206" s="264"/>
      <c r="BD206" s="264"/>
    </row>
    <row r="207">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64"/>
      <c r="AN207" s="264"/>
      <c r="AO207" s="264"/>
      <c r="AP207" s="264"/>
      <c r="AQ207" s="264"/>
      <c r="AR207" s="264"/>
      <c r="AS207" s="264"/>
      <c r="AT207" s="264"/>
      <c r="AU207" s="264"/>
      <c r="AV207" s="264"/>
      <c r="AW207" s="264"/>
      <c r="AX207" s="264"/>
      <c r="AY207" s="264"/>
      <c r="AZ207" s="264"/>
      <c r="BA207" s="264"/>
      <c r="BB207" s="264"/>
      <c r="BC207" s="264"/>
      <c r="BD207" s="264"/>
    </row>
    <row r="208">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264"/>
      <c r="AO208" s="264"/>
      <c r="AP208" s="264"/>
      <c r="AQ208" s="264"/>
      <c r="AR208" s="264"/>
      <c r="AS208" s="264"/>
      <c r="AT208" s="264"/>
      <c r="AU208" s="264"/>
      <c r="AV208" s="264"/>
      <c r="AW208" s="264"/>
      <c r="AX208" s="264"/>
      <c r="AY208" s="264"/>
      <c r="AZ208" s="264"/>
      <c r="BA208" s="264"/>
      <c r="BB208" s="264"/>
      <c r="BC208" s="264"/>
      <c r="BD208" s="264"/>
    </row>
    <row r="209">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264"/>
      <c r="AO209" s="264"/>
      <c r="AP209" s="264"/>
      <c r="AQ209" s="264"/>
      <c r="AR209" s="264"/>
      <c r="AS209" s="264"/>
      <c r="AT209" s="264"/>
      <c r="AU209" s="264"/>
      <c r="AV209" s="264"/>
      <c r="AW209" s="264"/>
      <c r="AX209" s="264"/>
      <c r="AY209" s="264"/>
      <c r="AZ209" s="264"/>
      <c r="BA209" s="264"/>
      <c r="BB209" s="264"/>
      <c r="BC209" s="264"/>
      <c r="BD209" s="264"/>
    </row>
    <row r="210">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64"/>
      <c r="AN210" s="264"/>
      <c r="AO210" s="264"/>
      <c r="AP210" s="264"/>
      <c r="AQ210" s="264"/>
      <c r="AR210" s="264"/>
      <c r="AS210" s="264"/>
      <c r="AT210" s="264"/>
      <c r="AU210" s="264"/>
      <c r="AV210" s="264"/>
      <c r="AW210" s="264"/>
      <c r="AX210" s="264"/>
      <c r="AY210" s="264"/>
      <c r="AZ210" s="264"/>
      <c r="BA210" s="264"/>
      <c r="BB210" s="264"/>
      <c r="BC210" s="264"/>
      <c r="BD210" s="264"/>
    </row>
    <row r="21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264"/>
      <c r="AO211" s="264"/>
      <c r="AP211" s="264"/>
      <c r="AQ211" s="264"/>
      <c r="AR211" s="264"/>
      <c r="AS211" s="264"/>
      <c r="AT211" s="264"/>
      <c r="AU211" s="264"/>
      <c r="AV211" s="264"/>
      <c r="AW211" s="264"/>
      <c r="AX211" s="264"/>
      <c r="AY211" s="264"/>
      <c r="AZ211" s="264"/>
      <c r="BA211" s="264"/>
      <c r="BB211" s="264"/>
      <c r="BC211" s="264"/>
      <c r="BD211" s="264"/>
    </row>
    <row r="212">
      <c r="A212" s="264"/>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4"/>
      <c r="AY212" s="264"/>
      <c r="AZ212" s="264"/>
      <c r="BA212" s="264"/>
      <c r="BB212" s="264"/>
      <c r="BC212" s="264"/>
      <c r="BD212" s="264"/>
    </row>
    <row r="213">
      <c r="A213" s="264"/>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264"/>
      <c r="AO213" s="264"/>
      <c r="AP213" s="264"/>
      <c r="AQ213" s="264"/>
      <c r="AR213" s="264"/>
      <c r="AS213" s="264"/>
      <c r="AT213" s="264"/>
      <c r="AU213" s="264"/>
      <c r="AV213" s="264"/>
      <c r="AW213" s="264"/>
      <c r="AX213" s="264"/>
      <c r="AY213" s="264"/>
      <c r="AZ213" s="264"/>
      <c r="BA213" s="264"/>
      <c r="BB213" s="264"/>
      <c r="BC213" s="264"/>
      <c r="BD213" s="264"/>
    </row>
    <row r="214">
      <c r="A214" s="264"/>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4"/>
      <c r="AY214" s="264"/>
      <c r="AZ214" s="264"/>
      <c r="BA214" s="264"/>
      <c r="BB214" s="264"/>
      <c r="BC214" s="264"/>
      <c r="BD214" s="264"/>
    </row>
    <row r="215">
      <c r="A215" s="264"/>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4"/>
      <c r="AY215" s="264"/>
      <c r="AZ215" s="264"/>
      <c r="BA215" s="264"/>
      <c r="BB215" s="264"/>
      <c r="BC215" s="264"/>
      <c r="BD215" s="264"/>
    </row>
    <row r="216">
      <c r="A216" s="264"/>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64"/>
      <c r="AF216" s="264"/>
      <c r="AG216" s="264"/>
      <c r="AH216" s="264"/>
      <c r="AI216" s="264"/>
      <c r="AJ216" s="264"/>
      <c r="AK216" s="264"/>
      <c r="AL216" s="264"/>
      <c r="AM216" s="264"/>
      <c r="AN216" s="264"/>
      <c r="AO216" s="264"/>
      <c r="AP216" s="264"/>
      <c r="AQ216" s="264"/>
      <c r="AR216" s="264"/>
      <c r="AS216" s="264"/>
      <c r="AT216" s="264"/>
      <c r="AU216" s="264"/>
      <c r="AV216" s="264"/>
      <c r="AW216" s="264"/>
      <c r="AX216" s="264"/>
      <c r="AY216" s="264"/>
      <c r="AZ216" s="264"/>
      <c r="BA216" s="264"/>
      <c r="BB216" s="264"/>
      <c r="BC216" s="264"/>
      <c r="BD216" s="264"/>
    </row>
    <row r="217">
      <c r="A217" s="264"/>
      <c r="B217" s="264"/>
      <c r="C217" s="264"/>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64"/>
      <c r="AF217" s="264"/>
      <c r="AG217" s="264"/>
      <c r="AH217" s="264"/>
      <c r="AI217" s="264"/>
      <c r="AJ217" s="264"/>
      <c r="AK217" s="264"/>
      <c r="AL217" s="264"/>
      <c r="AM217" s="264"/>
      <c r="AN217" s="264"/>
      <c r="AO217" s="264"/>
      <c r="AP217" s="264"/>
      <c r="AQ217" s="264"/>
      <c r="AR217" s="264"/>
      <c r="AS217" s="264"/>
      <c r="AT217" s="264"/>
      <c r="AU217" s="264"/>
      <c r="AV217" s="264"/>
      <c r="AW217" s="264"/>
      <c r="AX217" s="264"/>
      <c r="AY217" s="264"/>
      <c r="AZ217" s="264"/>
      <c r="BA217" s="264"/>
      <c r="BB217" s="264"/>
      <c r="BC217" s="264"/>
      <c r="BD217" s="264"/>
    </row>
    <row r="218">
      <c r="A218" s="264"/>
      <c r="B218" s="264"/>
      <c r="C218" s="264"/>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c r="AA218" s="264"/>
      <c r="AB218" s="264"/>
      <c r="AC218" s="264"/>
      <c r="AD218" s="264"/>
      <c r="AE218" s="264"/>
      <c r="AF218" s="264"/>
      <c r="AG218" s="264"/>
      <c r="AH218" s="264"/>
      <c r="AI218" s="264"/>
      <c r="AJ218" s="264"/>
      <c r="AK218" s="264"/>
      <c r="AL218" s="264"/>
      <c r="AM218" s="264"/>
      <c r="AN218" s="264"/>
      <c r="AO218" s="264"/>
      <c r="AP218" s="264"/>
      <c r="AQ218" s="264"/>
      <c r="AR218" s="264"/>
      <c r="AS218" s="264"/>
      <c r="AT218" s="264"/>
      <c r="AU218" s="264"/>
      <c r="AV218" s="264"/>
      <c r="AW218" s="264"/>
      <c r="AX218" s="264"/>
      <c r="AY218" s="264"/>
      <c r="AZ218" s="264"/>
      <c r="BA218" s="264"/>
      <c r="BB218" s="264"/>
      <c r="BC218" s="264"/>
      <c r="BD218" s="264"/>
    </row>
    <row r="219">
      <c r="A219" s="264"/>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64"/>
      <c r="AN219" s="264"/>
      <c r="AO219" s="264"/>
      <c r="AP219" s="264"/>
      <c r="AQ219" s="264"/>
      <c r="AR219" s="264"/>
      <c r="AS219" s="264"/>
      <c r="AT219" s="264"/>
      <c r="AU219" s="264"/>
      <c r="AV219" s="264"/>
      <c r="AW219" s="264"/>
      <c r="AX219" s="264"/>
      <c r="AY219" s="264"/>
      <c r="AZ219" s="264"/>
      <c r="BA219" s="264"/>
      <c r="BB219" s="264"/>
      <c r="BC219" s="264"/>
      <c r="BD219" s="264"/>
    </row>
    <row r="220">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264"/>
      <c r="AO220" s="264"/>
      <c r="AP220" s="264"/>
      <c r="AQ220" s="264"/>
      <c r="AR220" s="264"/>
      <c r="AS220" s="264"/>
      <c r="AT220" s="264"/>
      <c r="AU220" s="264"/>
      <c r="AV220" s="264"/>
      <c r="AW220" s="264"/>
      <c r="AX220" s="264"/>
      <c r="AY220" s="264"/>
      <c r="AZ220" s="264"/>
      <c r="BA220" s="264"/>
      <c r="BB220" s="264"/>
      <c r="BC220" s="264"/>
      <c r="BD220" s="264"/>
    </row>
    <row r="22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264"/>
      <c r="AO221" s="264"/>
      <c r="AP221" s="264"/>
      <c r="AQ221" s="264"/>
      <c r="AR221" s="264"/>
      <c r="AS221" s="264"/>
      <c r="AT221" s="264"/>
      <c r="AU221" s="264"/>
      <c r="AV221" s="264"/>
      <c r="AW221" s="264"/>
      <c r="AX221" s="264"/>
      <c r="AY221" s="264"/>
      <c r="AZ221" s="264"/>
      <c r="BA221" s="264"/>
      <c r="BB221" s="264"/>
      <c r="BC221" s="264"/>
      <c r="BD221" s="264"/>
    </row>
    <row r="222">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264"/>
      <c r="AO222" s="264"/>
      <c r="AP222" s="264"/>
      <c r="AQ222" s="264"/>
      <c r="AR222" s="264"/>
      <c r="AS222" s="264"/>
      <c r="AT222" s="264"/>
      <c r="AU222" s="264"/>
      <c r="AV222" s="264"/>
      <c r="AW222" s="264"/>
      <c r="AX222" s="264"/>
      <c r="AY222" s="264"/>
      <c r="AZ222" s="264"/>
      <c r="BA222" s="264"/>
      <c r="BB222" s="264"/>
      <c r="BC222" s="264"/>
      <c r="BD222" s="264"/>
    </row>
    <row r="223">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64"/>
      <c r="AN223" s="264"/>
      <c r="AO223" s="264"/>
      <c r="AP223" s="264"/>
      <c r="AQ223" s="264"/>
      <c r="AR223" s="264"/>
      <c r="AS223" s="264"/>
      <c r="AT223" s="264"/>
      <c r="AU223" s="264"/>
      <c r="AV223" s="264"/>
      <c r="AW223" s="264"/>
      <c r="AX223" s="264"/>
      <c r="AY223" s="264"/>
      <c r="AZ223" s="264"/>
      <c r="BA223" s="264"/>
      <c r="BB223" s="264"/>
      <c r="BC223" s="264"/>
      <c r="BD223" s="264"/>
    </row>
    <row r="224">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264"/>
      <c r="AO224" s="264"/>
      <c r="AP224" s="264"/>
      <c r="AQ224" s="264"/>
      <c r="AR224" s="264"/>
      <c r="AS224" s="264"/>
      <c r="AT224" s="264"/>
      <c r="AU224" s="264"/>
      <c r="AV224" s="264"/>
      <c r="AW224" s="264"/>
      <c r="AX224" s="264"/>
      <c r="AY224" s="264"/>
      <c r="AZ224" s="264"/>
      <c r="BA224" s="264"/>
      <c r="BB224" s="264"/>
      <c r="BC224" s="264"/>
      <c r="BD224" s="264"/>
    </row>
    <row r="225">
      <c r="A225" s="264"/>
      <c r="B225" s="264"/>
      <c r="C225" s="264"/>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264"/>
      <c r="AO225" s="264"/>
      <c r="AP225" s="264"/>
      <c r="AQ225" s="264"/>
      <c r="AR225" s="264"/>
      <c r="AS225" s="264"/>
      <c r="AT225" s="264"/>
      <c r="AU225" s="264"/>
      <c r="AV225" s="264"/>
      <c r="AW225" s="264"/>
      <c r="AX225" s="264"/>
      <c r="AY225" s="264"/>
      <c r="AZ225" s="264"/>
      <c r="BA225" s="264"/>
      <c r="BB225" s="264"/>
      <c r="BC225" s="264"/>
      <c r="BD225" s="264"/>
    </row>
    <row r="226">
      <c r="A226" s="264"/>
      <c r="B226" s="264"/>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264"/>
      <c r="AO226" s="264"/>
      <c r="AP226" s="264"/>
      <c r="AQ226" s="264"/>
      <c r="AR226" s="264"/>
      <c r="AS226" s="264"/>
      <c r="AT226" s="264"/>
      <c r="AU226" s="264"/>
      <c r="AV226" s="264"/>
      <c r="AW226" s="264"/>
      <c r="AX226" s="264"/>
      <c r="AY226" s="264"/>
      <c r="AZ226" s="264"/>
      <c r="BA226" s="264"/>
      <c r="BB226" s="264"/>
      <c r="BC226" s="264"/>
      <c r="BD226" s="264"/>
    </row>
    <row r="227">
      <c r="A227" s="264"/>
      <c r="B227" s="264"/>
      <c r="C227" s="264"/>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c r="AA227" s="264"/>
      <c r="AB227" s="264"/>
      <c r="AC227" s="264"/>
      <c r="AD227" s="264"/>
      <c r="AE227" s="264"/>
      <c r="AF227" s="264"/>
      <c r="AG227" s="264"/>
      <c r="AH227" s="264"/>
      <c r="AI227" s="264"/>
      <c r="AJ227" s="264"/>
      <c r="AK227" s="264"/>
      <c r="AL227" s="264"/>
      <c r="AM227" s="264"/>
      <c r="AN227" s="264"/>
      <c r="AO227" s="264"/>
      <c r="AP227" s="264"/>
      <c r="AQ227" s="264"/>
      <c r="AR227" s="264"/>
      <c r="AS227" s="264"/>
      <c r="AT227" s="264"/>
      <c r="AU227" s="264"/>
      <c r="AV227" s="264"/>
      <c r="AW227" s="264"/>
      <c r="AX227" s="264"/>
      <c r="AY227" s="264"/>
      <c r="AZ227" s="264"/>
      <c r="BA227" s="264"/>
      <c r="BB227" s="264"/>
      <c r="BC227" s="264"/>
      <c r="BD227" s="264"/>
    </row>
    <row r="228">
      <c r="A228" s="264"/>
      <c r="B228" s="264"/>
      <c r="C228" s="264"/>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264"/>
      <c r="AO228" s="264"/>
      <c r="AP228" s="264"/>
      <c r="AQ228" s="264"/>
      <c r="AR228" s="264"/>
      <c r="AS228" s="264"/>
      <c r="AT228" s="264"/>
      <c r="AU228" s="264"/>
      <c r="AV228" s="264"/>
      <c r="AW228" s="264"/>
      <c r="AX228" s="264"/>
      <c r="AY228" s="264"/>
      <c r="AZ228" s="264"/>
      <c r="BA228" s="264"/>
      <c r="BB228" s="264"/>
      <c r="BC228" s="264"/>
      <c r="BD228" s="264"/>
    </row>
    <row r="229">
      <c r="A229" s="264"/>
      <c r="B229" s="264"/>
      <c r="C229" s="264"/>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264"/>
      <c r="AO229" s="264"/>
      <c r="AP229" s="264"/>
      <c r="AQ229" s="264"/>
      <c r="AR229" s="264"/>
      <c r="AS229" s="264"/>
      <c r="AT229" s="264"/>
      <c r="AU229" s="264"/>
      <c r="AV229" s="264"/>
      <c r="AW229" s="264"/>
      <c r="AX229" s="264"/>
      <c r="AY229" s="264"/>
      <c r="AZ229" s="264"/>
      <c r="BA229" s="264"/>
      <c r="BB229" s="264"/>
      <c r="BC229" s="264"/>
      <c r="BD229" s="264"/>
    </row>
    <row r="230">
      <c r="A230" s="264"/>
      <c r="B230" s="264"/>
      <c r="C230" s="264"/>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c r="AA230" s="264"/>
      <c r="AB230" s="264"/>
      <c r="AC230" s="264"/>
      <c r="AD230" s="264"/>
      <c r="AE230" s="264"/>
      <c r="AF230" s="264"/>
      <c r="AG230" s="264"/>
      <c r="AH230" s="264"/>
      <c r="AI230" s="264"/>
      <c r="AJ230" s="264"/>
      <c r="AK230" s="264"/>
      <c r="AL230" s="264"/>
      <c r="AM230" s="264"/>
      <c r="AN230" s="264"/>
      <c r="AO230" s="264"/>
      <c r="AP230" s="264"/>
      <c r="AQ230" s="264"/>
      <c r="AR230" s="264"/>
      <c r="AS230" s="264"/>
      <c r="AT230" s="264"/>
      <c r="AU230" s="264"/>
      <c r="AV230" s="264"/>
      <c r="AW230" s="264"/>
      <c r="AX230" s="264"/>
      <c r="AY230" s="264"/>
      <c r="AZ230" s="264"/>
      <c r="BA230" s="264"/>
      <c r="BB230" s="264"/>
      <c r="BC230" s="264"/>
      <c r="BD230" s="264"/>
    </row>
    <row r="231">
      <c r="A231" s="264"/>
      <c r="B231" s="264"/>
      <c r="C231" s="264"/>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c r="AA231" s="264"/>
      <c r="AB231" s="264"/>
      <c r="AC231" s="264"/>
      <c r="AD231" s="264"/>
      <c r="AE231" s="264"/>
      <c r="AF231" s="264"/>
      <c r="AG231" s="264"/>
      <c r="AH231" s="264"/>
      <c r="AI231" s="264"/>
      <c r="AJ231" s="264"/>
      <c r="AK231" s="264"/>
      <c r="AL231" s="264"/>
      <c r="AM231" s="264"/>
      <c r="AN231" s="264"/>
      <c r="AO231" s="264"/>
      <c r="AP231" s="264"/>
      <c r="AQ231" s="264"/>
      <c r="AR231" s="264"/>
      <c r="AS231" s="264"/>
      <c r="AT231" s="264"/>
      <c r="AU231" s="264"/>
      <c r="AV231" s="264"/>
      <c r="AW231" s="264"/>
      <c r="AX231" s="264"/>
      <c r="AY231" s="264"/>
      <c r="AZ231" s="264"/>
      <c r="BA231" s="264"/>
      <c r="BB231" s="264"/>
      <c r="BC231" s="264"/>
      <c r="BD231" s="264"/>
    </row>
    <row r="232">
      <c r="A232" s="264"/>
      <c r="B232" s="264"/>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4"/>
      <c r="AY232" s="264"/>
      <c r="AZ232" s="264"/>
      <c r="BA232" s="264"/>
      <c r="BB232" s="264"/>
      <c r="BC232" s="264"/>
      <c r="BD232" s="264"/>
    </row>
    <row r="233">
      <c r="A233" s="264"/>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64"/>
      <c r="AG233" s="264"/>
      <c r="AH233" s="264"/>
      <c r="AI233" s="264"/>
      <c r="AJ233" s="264"/>
      <c r="AK233" s="264"/>
      <c r="AL233" s="264"/>
      <c r="AM233" s="264"/>
      <c r="AN233" s="264"/>
      <c r="AO233" s="264"/>
      <c r="AP233" s="264"/>
      <c r="AQ233" s="264"/>
      <c r="AR233" s="264"/>
      <c r="AS233" s="264"/>
      <c r="AT233" s="264"/>
      <c r="AU233" s="264"/>
      <c r="AV233" s="264"/>
      <c r="AW233" s="264"/>
      <c r="AX233" s="264"/>
      <c r="AY233" s="264"/>
      <c r="AZ233" s="264"/>
      <c r="BA233" s="264"/>
      <c r="BB233" s="264"/>
      <c r="BC233" s="264"/>
      <c r="BD233" s="264"/>
    </row>
    <row r="234">
      <c r="A234" s="264"/>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264"/>
      <c r="AO234" s="264"/>
      <c r="AP234" s="264"/>
      <c r="AQ234" s="264"/>
      <c r="AR234" s="264"/>
      <c r="AS234" s="264"/>
      <c r="AT234" s="264"/>
      <c r="AU234" s="264"/>
      <c r="AV234" s="264"/>
      <c r="AW234" s="264"/>
      <c r="AX234" s="264"/>
      <c r="AY234" s="264"/>
      <c r="AZ234" s="264"/>
      <c r="BA234" s="264"/>
      <c r="BB234" s="264"/>
      <c r="BC234" s="264"/>
      <c r="BD234" s="264"/>
    </row>
    <row r="235">
      <c r="A235" s="264"/>
      <c r="B235" s="264"/>
      <c r="C235" s="264"/>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c r="AA235" s="264"/>
      <c r="AB235" s="264"/>
      <c r="AC235" s="264"/>
      <c r="AD235" s="264"/>
      <c r="AE235" s="264"/>
      <c r="AF235" s="264"/>
      <c r="AG235" s="264"/>
      <c r="AH235" s="264"/>
      <c r="AI235" s="264"/>
      <c r="AJ235" s="264"/>
      <c r="AK235" s="264"/>
      <c r="AL235" s="264"/>
      <c r="AM235" s="264"/>
      <c r="AN235" s="264"/>
      <c r="AO235" s="264"/>
      <c r="AP235" s="264"/>
      <c r="AQ235" s="264"/>
      <c r="AR235" s="264"/>
      <c r="AS235" s="264"/>
      <c r="AT235" s="264"/>
      <c r="AU235" s="264"/>
      <c r="AV235" s="264"/>
      <c r="AW235" s="264"/>
      <c r="AX235" s="264"/>
      <c r="AY235" s="264"/>
      <c r="AZ235" s="264"/>
      <c r="BA235" s="264"/>
      <c r="BB235" s="264"/>
      <c r="BC235" s="264"/>
      <c r="BD235" s="264"/>
    </row>
    <row r="236">
      <c r="A236" s="264"/>
      <c r="B236" s="264"/>
      <c r="C236" s="264"/>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c r="AA236" s="264"/>
      <c r="AB236" s="264"/>
      <c r="AC236" s="264"/>
      <c r="AD236" s="264"/>
      <c r="AE236" s="264"/>
      <c r="AF236" s="264"/>
      <c r="AG236" s="264"/>
      <c r="AH236" s="264"/>
      <c r="AI236" s="264"/>
      <c r="AJ236" s="264"/>
      <c r="AK236" s="264"/>
      <c r="AL236" s="264"/>
      <c r="AM236" s="264"/>
      <c r="AN236" s="264"/>
      <c r="AO236" s="264"/>
      <c r="AP236" s="264"/>
      <c r="AQ236" s="264"/>
      <c r="AR236" s="264"/>
      <c r="AS236" s="264"/>
      <c r="AT236" s="264"/>
      <c r="AU236" s="264"/>
      <c r="AV236" s="264"/>
      <c r="AW236" s="264"/>
      <c r="AX236" s="264"/>
      <c r="AY236" s="264"/>
      <c r="AZ236" s="264"/>
      <c r="BA236" s="264"/>
      <c r="BB236" s="264"/>
      <c r="BC236" s="264"/>
      <c r="BD236" s="264"/>
    </row>
    <row r="237">
      <c r="A237" s="264"/>
      <c r="B237" s="264"/>
      <c r="C237" s="264"/>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c r="AA237" s="264"/>
      <c r="AB237" s="264"/>
      <c r="AC237" s="264"/>
      <c r="AD237" s="264"/>
      <c r="AE237" s="264"/>
      <c r="AF237" s="264"/>
      <c r="AG237" s="264"/>
      <c r="AH237" s="264"/>
      <c r="AI237" s="264"/>
      <c r="AJ237" s="264"/>
      <c r="AK237" s="264"/>
      <c r="AL237" s="264"/>
      <c r="AM237" s="264"/>
      <c r="AN237" s="264"/>
      <c r="AO237" s="264"/>
      <c r="AP237" s="264"/>
      <c r="AQ237" s="264"/>
      <c r="AR237" s="264"/>
      <c r="AS237" s="264"/>
      <c r="AT237" s="264"/>
      <c r="AU237" s="264"/>
      <c r="AV237" s="264"/>
      <c r="AW237" s="264"/>
      <c r="AX237" s="264"/>
      <c r="AY237" s="264"/>
      <c r="AZ237" s="264"/>
      <c r="BA237" s="264"/>
      <c r="BB237" s="264"/>
      <c r="BC237" s="264"/>
      <c r="BD237" s="264"/>
    </row>
    <row r="238">
      <c r="A238" s="264"/>
      <c r="B238" s="264"/>
      <c r="C238" s="264"/>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c r="AA238" s="264"/>
      <c r="AB238" s="264"/>
      <c r="AC238" s="264"/>
      <c r="AD238" s="264"/>
      <c r="AE238" s="264"/>
      <c r="AF238" s="264"/>
      <c r="AG238" s="264"/>
      <c r="AH238" s="264"/>
      <c r="AI238" s="264"/>
      <c r="AJ238" s="264"/>
      <c r="AK238" s="264"/>
      <c r="AL238" s="264"/>
      <c r="AM238" s="264"/>
      <c r="AN238" s="264"/>
      <c r="AO238" s="264"/>
      <c r="AP238" s="264"/>
      <c r="AQ238" s="264"/>
      <c r="AR238" s="264"/>
      <c r="AS238" s="264"/>
      <c r="AT238" s="264"/>
      <c r="AU238" s="264"/>
      <c r="AV238" s="264"/>
      <c r="AW238" s="264"/>
      <c r="AX238" s="264"/>
      <c r="AY238" s="264"/>
      <c r="AZ238" s="264"/>
      <c r="BA238" s="264"/>
      <c r="BB238" s="264"/>
      <c r="BC238" s="264"/>
      <c r="BD238" s="264"/>
    </row>
    <row r="239">
      <c r="A239" s="264"/>
      <c r="B239" s="264"/>
      <c r="C239" s="264"/>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264"/>
      <c r="AO239" s="264"/>
      <c r="AP239" s="264"/>
      <c r="AQ239" s="264"/>
      <c r="AR239" s="264"/>
      <c r="AS239" s="264"/>
      <c r="AT239" s="264"/>
      <c r="AU239" s="264"/>
      <c r="AV239" s="264"/>
      <c r="AW239" s="264"/>
      <c r="AX239" s="264"/>
      <c r="AY239" s="264"/>
      <c r="AZ239" s="264"/>
      <c r="BA239" s="264"/>
      <c r="BB239" s="264"/>
      <c r="BC239" s="264"/>
      <c r="BD239" s="264"/>
    </row>
    <row r="240">
      <c r="A240" s="264"/>
      <c r="B240" s="264"/>
      <c r="C240" s="264"/>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c r="AA240" s="264"/>
      <c r="AB240" s="264"/>
      <c r="AC240" s="264"/>
      <c r="AD240" s="264"/>
      <c r="AE240" s="264"/>
      <c r="AF240" s="264"/>
      <c r="AG240" s="264"/>
      <c r="AH240" s="264"/>
      <c r="AI240" s="264"/>
      <c r="AJ240" s="264"/>
      <c r="AK240" s="264"/>
      <c r="AL240" s="264"/>
      <c r="AM240" s="264"/>
      <c r="AN240" s="264"/>
      <c r="AO240" s="264"/>
      <c r="AP240" s="264"/>
      <c r="AQ240" s="264"/>
      <c r="AR240" s="264"/>
      <c r="AS240" s="264"/>
      <c r="AT240" s="264"/>
      <c r="AU240" s="264"/>
      <c r="AV240" s="264"/>
      <c r="AW240" s="264"/>
      <c r="AX240" s="264"/>
      <c r="AY240" s="264"/>
      <c r="AZ240" s="264"/>
      <c r="BA240" s="264"/>
      <c r="BB240" s="264"/>
      <c r="BC240" s="264"/>
      <c r="BD240" s="264"/>
    </row>
    <row r="241">
      <c r="A241" s="264"/>
      <c r="B241" s="264"/>
      <c r="C241" s="264"/>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c r="AA241" s="264"/>
      <c r="AB241" s="264"/>
      <c r="AC241" s="264"/>
      <c r="AD241" s="264"/>
      <c r="AE241" s="264"/>
      <c r="AF241" s="264"/>
      <c r="AG241" s="264"/>
      <c r="AH241" s="264"/>
      <c r="AI241" s="264"/>
      <c r="AJ241" s="264"/>
      <c r="AK241" s="264"/>
      <c r="AL241" s="264"/>
      <c r="AM241" s="264"/>
      <c r="AN241" s="264"/>
      <c r="AO241" s="264"/>
      <c r="AP241" s="264"/>
      <c r="AQ241" s="264"/>
      <c r="AR241" s="264"/>
      <c r="AS241" s="264"/>
      <c r="AT241" s="264"/>
      <c r="AU241" s="264"/>
      <c r="AV241" s="264"/>
      <c r="AW241" s="264"/>
      <c r="AX241" s="264"/>
      <c r="AY241" s="264"/>
      <c r="AZ241" s="264"/>
      <c r="BA241" s="264"/>
      <c r="BB241" s="264"/>
      <c r="BC241" s="264"/>
      <c r="BD241" s="264"/>
    </row>
    <row r="242">
      <c r="A242" s="264"/>
      <c r="B242" s="264"/>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64"/>
      <c r="AG242" s="264"/>
      <c r="AH242" s="264"/>
      <c r="AI242" s="264"/>
      <c r="AJ242" s="264"/>
      <c r="AK242" s="264"/>
      <c r="AL242" s="264"/>
      <c r="AM242" s="264"/>
      <c r="AN242" s="264"/>
      <c r="AO242" s="264"/>
      <c r="AP242" s="264"/>
      <c r="AQ242" s="264"/>
      <c r="AR242" s="264"/>
      <c r="AS242" s="264"/>
      <c r="AT242" s="264"/>
      <c r="AU242" s="264"/>
      <c r="AV242" s="264"/>
      <c r="AW242" s="264"/>
      <c r="AX242" s="264"/>
      <c r="AY242" s="264"/>
      <c r="AZ242" s="264"/>
      <c r="BA242" s="264"/>
      <c r="BB242" s="264"/>
      <c r="BC242" s="264"/>
      <c r="BD242" s="264"/>
    </row>
    <row r="243">
      <c r="A243" s="264"/>
      <c r="B243" s="264"/>
      <c r="C243" s="264"/>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c r="AA243" s="264"/>
      <c r="AB243" s="264"/>
      <c r="AC243" s="264"/>
      <c r="AD243" s="264"/>
      <c r="AE243" s="264"/>
      <c r="AF243" s="264"/>
      <c r="AG243" s="264"/>
      <c r="AH243" s="264"/>
      <c r="AI243" s="264"/>
      <c r="AJ243" s="264"/>
      <c r="AK243" s="264"/>
      <c r="AL243" s="264"/>
      <c r="AM243" s="264"/>
      <c r="AN243" s="264"/>
      <c r="AO243" s="264"/>
      <c r="AP243" s="264"/>
      <c r="AQ243" s="264"/>
      <c r="AR243" s="264"/>
      <c r="AS243" s="264"/>
      <c r="AT243" s="264"/>
      <c r="AU243" s="264"/>
      <c r="AV243" s="264"/>
      <c r="AW243" s="264"/>
      <c r="AX243" s="264"/>
      <c r="AY243" s="264"/>
      <c r="AZ243" s="264"/>
      <c r="BA243" s="264"/>
      <c r="BB243" s="264"/>
      <c r="BC243" s="264"/>
      <c r="BD243" s="264"/>
    </row>
    <row r="244">
      <c r="A244" s="264"/>
      <c r="B244" s="264"/>
      <c r="C244" s="264"/>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c r="AA244" s="264"/>
      <c r="AB244" s="264"/>
      <c r="AC244" s="264"/>
      <c r="AD244" s="264"/>
      <c r="AE244" s="264"/>
      <c r="AF244" s="264"/>
      <c r="AG244" s="264"/>
      <c r="AH244" s="264"/>
      <c r="AI244" s="264"/>
      <c r="AJ244" s="264"/>
      <c r="AK244" s="264"/>
      <c r="AL244" s="264"/>
      <c r="AM244" s="264"/>
      <c r="AN244" s="264"/>
      <c r="AO244" s="264"/>
      <c r="AP244" s="264"/>
      <c r="AQ244" s="264"/>
      <c r="AR244" s="264"/>
      <c r="AS244" s="264"/>
      <c r="AT244" s="264"/>
      <c r="AU244" s="264"/>
      <c r="AV244" s="264"/>
      <c r="AW244" s="264"/>
      <c r="AX244" s="264"/>
      <c r="AY244" s="264"/>
      <c r="AZ244" s="264"/>
      <c r="BA244" s="264"/>
      <c r="BB244" s="264"/>
      <c r="BC244" s="264"/>
      <c r="BD244" s="264"/>
    </row>
    <row r="245">
      <c r="A245" s="264"/>
      <c r="B245" s="264"/>
      <c r="C245" s="264"/>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c r="AA245" s="264"/>
      <c r="AB245" s="264"/>
      <c r="AC245" s="264"/>
      <c r="AD245" s="264"/>
      <c r="AE245" s="264"/>
      <c r="AF245" s="264"/>
      <c r="AG245" s="264"/>
      <c r="AH245" s="264"/>
      <c r="AI245" s="264"/>
      <c r="AJ245" s="264"/>
      <c r="AK245" s="264"/>
      <c r="AL245" s="264"/>
      <c r="AM245" s="264"/>
      <c r="AN245" s="264"/>
      <c r="AO245" s="264"/>
      <c r="AP245" s="264"/>
      <c r="AQ245" s="264"/>
      <c r="AR245" s="264"/>
      <c r="AS245" s="264"/>
      <c r="AT245" s="264"/>
      <c r="AU245" s="264"/>
      <c r="AV245" s="264"/>
      <c r="AW245" s="264"/>
      <c r="AX245" s="264"/>
      <c r="AY245" s="264"/>
      <c r="AZ245" s="264"/>
      <c r="BA245" s="264"/>
      <c r="BB245" s="264"/>
      <c r="BC245" s="264"/>
      <c r="BD245" s="264"/>
    </row>
    <row r="246">
      <c r="A246" s="264"/>
      <c r="B246" s="264"/>
      <c r="C246" s="264"/>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c r="AA246" s="264"/>
      <c r="AB246" s="264"/>
      <c r="AC246" s="264"/>
      <c r="AD246" s="264"/>
      <c r="AE246" s="264"/>
      <c r="AF246" s="264"/>
      <c r="AG246" s="264"/>
      <c r="AH246" s="264"/>
      <c r="AI246" s="264"/>
      <c r="AJ246" s="264"/>
      <c r="AK246" s="264"/>
      <c r="AL246" s="264"/>
      <c r="AM246" s="264"/>
      <c r="AN246" s="264"/>
      <c r="AO246" s="264"/>
      <c r="AP246" s="264"/>
      <c r="AQ246" s="264"/>
      <c r="AR246" s="264"/>
      <c r="AS246" s="264"/>
      <c r="AT246" s="264"/>
      <c r="AU246" s="264"/>
      <c r="AV246" s="264"/>
      <c r="AW246" s="264"/>
      <c r="AX246" s="264"/>
      <c r="AY246" s="264"/>
      <c r="AZ246" s="264"/>
      <c r="BA246" s="264"/>
      <c r="BB246" s="264"/>
      <c r="BC246" s="264"/>
      <c r="BD246" s="264"/>
    </row>
    <row r="247">
      <c r="A247" s="264"/>
      <c r="B247" s="264"/>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c r="AA247" s="264"/>
      <c r="AB247" s="264"/>
      <c r="AC247" s="264"/>
      <c r="AD247" s="264"/>
      <c r="AE247" s="264"/>
      <c r="AF247" s="264"/>
      <c r="AG247" s="264"/>
      <c r="AH247" s="264"/>
      <c r="AI247" s="264"/>
      <c r="AJ247" s="264"/>
      <c r="AK247" s="264"/>
      <c r="AL247" s="264"/>
      <c r="AM247" s="264"/>
      <c r="AN247" s="264"/>
      <c r="AO247" s="264"/>
      <c r="AP247" s="264"/>
      <c r="AQ247" s="264"/>
      <c r="AR247" s="264"/>
      <c r="AS247" s="264"/>
      <c r="AT247" s="264"/>
      <c r="AU247" s="264"/>
      <c r="AV247" s="264"/>
      <c r="AW247" s="264"/>
      <c r="AX247" s="264"/>
      <c r="AY247" s="264"/>
      <c r="AZ247" s="264"/>
      <c r="BA247" s="264"/>
      <c r="BB247" s="264"/>
      <c r="BC247" s="264"/>
      <c r="BD247" s="264"/>
    </row>
    <row r="248">
      <c r="A248" s="264"/>
      <c r="B248" s="264"/>
      <c r="C248" s="264"/>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c r="AA248" s="264"/>
      <c r="AB248" s="264"/>
      <c r="AC248" s="264"/>
      <c r="AD248" s="264"/>
      <c r="AE248" s="264"/>
      <c r="AF248" s="264"/>
      <c r="AG248" s="264"/>
      <c r="AH248" s="264"/>
      <c r="AI248" s="264"/>
      <c r="AJ248" s="264"/>
      <c r="AK248" s="264"/>
      <c r="AL248" s="264"/>
      <c r="AM248" s="264"/>
      <c r="AN248" s="264"/>
      <c r="AO248" s="264"/>
      <c r="AP248" s="264"/>
      <c r="AQ248" s="264"/>
      <c r="AR248" s="264"/>
      <c r="AS248" s="264"/>
      <c r="AT248" s="264"/>
      <c r="AU248" s="264"/>
      <c r="AV248" s="264"/>
      <c r="AW248" s="264"/>
      <c r="AX248" s="264"/>
      <c r="AY248" s="264"/>
      <c r="AZ248" s="264"/>
      <c r="BA248" s="264"/>
      <c r="BB248" s="264"/>
      <c r="BC248" s="264"/>
      <c r="BD248" s="264"/>
    </row>
    <row r="249">
      <c r="A249" s="264"/>
      <c r="B249" s="264"/>
      <c r="C249" s="264"/>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c r="AA249" s="264"/>
      <c r="AB249" s="264"/>
      <c r="AC249" s="264"/>
      <c r="AD249" s="264"/>
      <c r="AE249" s="264"/>
      <c r="AF249" s="264"/>
      <c r="AG249" s="264"/>
      <c r="AH249" s="264"/>
      <c r="AI249" s="264"/>
      <c r="AJ249" s="264"/>
      <c r="AK249" s="264"/>
      <c r="AL249" s="264"/>
      <c r="AM249" s="264"/>
      <c r="AN249" s="264"/>
      <c r="AO249" s="264"/>
      <c r="AP249" s="264"/>
      <c r="AQ249" s="264"/>
      <c r="AR249" s="264"/>
      <c r="AS249" s="264"/>
      <c r="AT249" s="264"/>
      <c r="AU249" s="264"/>
      <c r="AV249" s="264"/>
      <c r="AW249" s="264"/>
      <c r="AX249" s="264"/>
      <c r="AY249" s="264"/>
      <c r="AZ249" s="264"/>
      <c r="BA249" s="264"/>
      <c r="BB249" s="264"/>
      <c r="BC249" s="264"/>
      <c r="BD249" s="264"/>
    </row>
    <row r="250">
      <c r="A250" s="264"/>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c r="AA250" s="264"/>
      <c r="AB250" s="264"/>
      <c r="AC250" s="264"/>
      <c r="AD250" s="264"/>
      <c r="AE250" s="264"/>
      <c r="AF250" s="264"/>
      <c r="AG250" s="264"/>
      <c r="AH250" s="264"/>
      <c r="AI250" s="264"/>
      <c r="AJ250" s="264"/>
      <c r="AK250" s="264"/>
      <c r="AL250" s="264"/>
      <c r="AM250" s="264"/>
      <c r="AN250" s="264"/>
      <c r="AO250" s="264"/>
      <c r="AP250" s="264"/>
      <c r="AQ250" s="264"/>
      <c r="AR250" s="264"/>
      <c r="AS250" s="264"/>
      <c r="AT250" s="264"/>
      <c r="AU250" s="264"/>
      <c r="AV250" s="264"/>
      <c r="AW250" s="264"/>
      <c r="AX250" s="264"/>
      <c r="AY250" s="264"/>
      <c r="AZ250" s="264"/>
      <c r="BA250" s="264"/>
      <c r="BB250" s="264"/>
      <c r="BC250" s="264"/>
      <c r="BD250" s="264"/>
    </row>
    <row r="251">
      <c r="A251" s="264"/>
      <c r="B251" s="264"/>
      <c r="C251" s="264"/>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c r="AA251" s="264"/>
      <c r="AB251" s="264"/>
      <c r="AC251" s="264"/>
      <c r="AD251" s="264"/>
      <c r="AE251" s="264"/>
      <c r="AF251" s="264"/>
      <c r="AG251" s="264"/>
      <c r="AH251" s="264"/>
      <c r="AI251" s="264"/>
      <c r="AJ251" s="264"/>
      <c r="AK251" s="264"/>
      <c r="AL251" s="264"/>
      <c r="AM251" s="264"/>
      <c r="AN251" s="264"/>
      <c r="AO251" s="264"/>
      <c r="AP251" s="264"/>
      <c r="AQ251" s="264"/>
      <c r="AR251" s="264"/>
      <c r="AS251" s="264"/>
      <c r="AT251" s="264"/>
      <c r="AU251" s="264"/>
      <c r="AV251" s="264"/>
      <c r="AW251" s="264"/>
      <c r="AX251" s="264"/>
      <c r="AY251" s="264"/>
      <c r="AZ251" s="264"/>
      <c r="BA251" s="264"/>
      <c r="BB251" s="264"/>
      <c r="BC251" s="264"/>
      <c r="BD251" s="264"/>
    </row>
    <row r="252">
      <c r="A252" s="264"/>
      <c r="B252" s="264"/>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c r="AA252" s="264"/>
      <c r="AB252" s="264"/>
      <c r="AC252" s="264"/>
      <c r="AD252" s="264"/>
      <c r="AE252" s="264"/>
      <c r="AF252" s="264"/>
      <c r="AG252" s="264"/>
      <c r="AH252" s="264"/>
      <c r="AI252" s="264"/>
      <c r="AJ252" s="264"/>
      <c r="AK252" s="264"/>
      <c r="AL252" s="264"/>
      <c r="AM252" s="264"/>
      <c r="AN252" s="264"/>
      <c r="AO252" s="264"/>
      <c r="AP252" s="264"/>
      <c r="AQ252" s="264"/>
      <c r="AR252" s="264"/>
      <c r="AS252" s="264"/>
      <c r="AT252" s="264"/>
      <c r="AU252" s="264"/>
      <c r="AV252" s="264"/>
      <c r="AW252" s="264"/>
      <c r="AX252" s="264"/>
      <c r="AY252" s="264"/>
      <c r="AZ252" s="264"/>
      <c r="BA252" s="264"/>
      <c r="BB252" s="264"/>
      <c r="BC252" s="264"/>
      <c r="BD252" s="264"/>
    </row>
    <row r="253">
      <c r="A253" s="264"/>
      <c r="B253" s="264"/>
      <c r="C253" s="264"/>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c r="AA253" s="264"/>
      <c r="AB253" s="264"/>
      <c r="AC253" s="264"/>
      <c r="AD253" s="264"/>
      <c r="AE253" s="264"/>
      <c r="AF253" s="264"/>
      <c r="AG253" s="264"/>
      <c r="AH253" s="264"/>
      <c r="AI253" s="264"/>
      <c r="AJ253" s="264"/>
      <c r="AK253" s="264"/>
      <c r="AL253" s="264"/>
      <c r="AM253" s="264"/>
      <c r="AN253" s="264"/>
      <c r="AO253" s="264"/>
      <c r="AP253" s="264"/>
      <c r="AQ253" s="264"/>
      <c r="AR253" s="264"/>
      <c r="AS253" s="264"/>
      <c r="AT253" s="264"/>
      <c r="AU253" s="264"/>
      <c r="AV253" s="264"/>
      <c r="AW253" s="264"/>
      <c r="AX253" s="264"/>
      <c r="AY253" s="264"/>
      <c r="AZ253" s="264"/>
      <c r="BA253" s="264"/>
      <c r="BB253" s="264"/>
      <c r="BC253" s="264"/>
      <c r="BD253" s="264"/>
    </row>
    <row r="254">
      <c r="A254" s="264"/>
      <c r="B254" s="264"/>
      <c r="C254" s="264"/>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c r="AA254" s="264"/>
      <c r="AB254" s="264"/>
      <c r="AC254" s="264"/>
      <c r="AD254" s="264"/>
      <c r="AE254" s="264"/>
      <c r="AF254" s="264"/>
      <c r="AG254" s="264"/>
      <c r="AH254" s="264"/>
      <c r="AI254" s="264"/>
      <c r="AJ254" s="264"/>
      <c r="AK254" s="264"/>
      <c r="AL254" s="264"/>
      <c r="AM254" s="264"/>
      <c r="AN254" s="264"/>
      <c r="AO254" s="264"/>
      <c r="AP254" s="264"/>
      <c r="AQ254" s="264"/>
      <c r="AR254" s="264"/>
      <c r="AS254" s="264"/>
      <c r="AT254" s="264"/>
      <c r="AU254" s="264"/>
      <c r="AV254" s="264"/>
      <c r="AW254" s="264"/>
      <c r="AX254" s="264"/>
      <c r="AY254" s="264"/>
      <c r="AZ254" s="264"/>
      <c r="BA254" s="264"/>
      <c r="BB254" s="264"/>
      <c r="BC254" s="264"/>
      <c r="BD254" s="264"/>
    </row>
    <row r="255">
      <c r="A255" s="264"/>
      <c r="B255" s="264"/>
      <c r="C255" s="264"/>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c r="AA255" s="264"/>
      <c r="AB255" s="264"/>
      <c r="AC255" s="264"/>
      <c r="AD255" s="264"/>
      <c r="AE255" s="264"/>
      <c r="AF255" s="264"/>
      <c r="AG255" s="264"/>
      <c r="AH255" s="264"/>
      <c r="AI255" s="264"/>
      <c r="AJ255" s="264"/>
      <c r="AK255" s="264"/>
      <c r="AL255" s="264"/>
      <c r="AM255" s="264"/>
      <c r="AN255" s="264"/>
      <c r="AO255" s="264"/>
      <c r="AP255" s="264"/>
      <c r="AQ255" s="264"/>
      <c r="AR255" s="264"/>
      <c r="AS255" s="264"/>
      <c r="AT255" s="264"/>
      <c r="AU255" s="264"/>
      <c r="AV255" s="264"/>
      <c r="AW255" s="264"/>
      <c r="AX255" s="264"/>
      <c r="AY255" s="264"/>
      <c r="AZ255" s="264"/>
      <c r="BA255" s="264"/>
      <c r="BB255" s="264"/>
      <c r="BC255" s="264"/>
      <c r="BD255" s="264"/>
    </row>
    <row r="256">
      <c r="A256" s="264"/>
      <c r="B256" s="264"/>
      <c r="C256" s="264"/>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c r="AA256" s="264"/>
      <c r="AB256" s="264"/>
      <c r="AC256" s="264"/>
      <c r="AD256" s="264"/>
      <c r="AE256" s="264"/>
      <c r="AF256" s="264"/>
      <c r="AG256" s="264"/>
      <c r="AH256" s="264"/>
      <c r="AI256" s="264"/>
      <c r="AJ256" s="264"/>
      <c r="AK256" s="264"/>
      <c r="AL256" s="264"/>
      <c r="AM256" s="264"/>
      <c r="AN256" s="264"/>
      <c r="AO256" s="264"/>
      <c r="AP256" s="264"/>
      <c r="AQ256" s="264"/>
      <c r="AR256" s="264"/>
      <c r="AS256" s="264"/>
      <c r="AT256" s="264"/>
      <c r="AU256" s="264"/>
      <c r="AV256" s="264"/>
      <c r="AW256" s="264"/>
      <c r="AX256" s="264"/>
      <c r="AY256" s="264"/>
      <c r="AZ256" s="264"/>
      <c r="BA256" s="264"/>
      <c r="BB256" s="264"/>
      <c r="BC256" s="264"/>
      <c r="BD256" s="264"/>
    </row>
    <row r="257">
      <c r="A257" s="264"/>
      <c r="B257" s="264"/>
      <c r="C257" s="264"/>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c r="AA257" s="264"/>
      <c r="AB257" s="264"/>
      <c r="AC257" s="264"/>
      <c r="AD257" s="264"/>
      <c r="AE257" s="264"/>
      <c r="AF257" s="264"/>
      <c r="AG257" s="264"/>
      <c r="AH257" s="264"/>
      <c r="AI257" s="264"/>
      <c r="AJ257" s="264"/>
      <c r="AK257" s="264"/>
      <c r="AL257" s="264"/>
      <c r="AM257" s="264"/>
      <c r="AN257" s="264"/>
      <c r="AO257" s="264"/>
      <c r="AP257" s="264"/>
      <c r="AQ257" s="264"/>
      <c r="AR257" s="264"/>
      <c r="AS257" s="264"/>
      <c r="AT257" s="264"/>
      <c r="AU257" s="264"/>
      <c r="AV257" s="264"/>
      <c r="AW257" s="264"/>
      <c r="AX257" s="264"/>
      <c r="AY257" s="264"/>
      <c r="AZ257" s="264"/>
      <c r="BA257" s="264"/>
      <c r="BB257" s="264"/>
      <c r="BC257" s="264"/>
      <c r="BD257" s="264"/>
    </row>
    <row r="258">
      <c r="A258" s="264"/>
      <c r="B258" s="264"/>
      <c r="C258" s="264"/>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c r="AA258" s="264"/>
      <c r="AB258" s="264"/>
      <c r="AC258" s="264"/>
      <c r="AD258" s="264"/>
      <c r="AE258" s="264"/>
      <c r="AF258" s="264"/>
      <c r="AG258" s="264"/>
      <c r="AH258" s="264"/>
      <c r="AI258" s="264"/>
      <c r="AJ258" s="264"/>
      <c r="AK258" s="264"/>
      <c r="AL258" s="264"/>
      <c r="AM258" s="264"/>
      <c r="AN258" s="264"/>
      <c r="AO258" s="264"/>
      <c r="AP258" s="264"/>
      <c r="AQ258" s="264"/>
      <c r="AR258" s="264"/>
      <c r="AS258" s="264"/>
      <c r="AT258" s="264"/>
      <c r="AU258" s="264"/>
      <c r="AV258" s="264"/>
      <c r="AW258" s="264"/>
      <c r="AX258" s="264"/>
      <c r="AY258" s="264"/>
      <c r="AZ258" s="264"/>
      <c r="BA258" s="264"/>
      <c r="BB258" s="264"/>
      <c r="BC258" s="264"/>
      <c r="BD258" s="264"/>
    </row>
    <row r="259">
      <c r="A259" s="264"/>
      <c r="B259" s="264"/>
      <c r="C259" s="264"/>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c r="AA259" s="264"/>
      <c r="AB259" s="264"/>
      <c r="AC259" s="264"/>
      <c r="AD259" s="264"/>
      <c r="AE259" s="264"/>
      <c r="AF259" s="264"/>
      <c r="AG259" s="264"/>
      <c r="AH259" s="264"/>
      <c r="AI259" s="264"/>
      <c r="AJ259" s="264"/>
      <c r="AK259" s="264"/>
      <c r="AL259" s="264"/>
      <c r="AM259" s="264"/>
      <c r="AN259" s="264"/>
      <c r="AO259" s="264"/>
      <c r="AP259" s="264"/>
      <c r="AQ259" s="264"/>
      <c r="AR259" s="264"/>
      <c r="AS259" s="264"/>
      <c r="AT259" s="264"/>
      <c r="AU259" s="264"/>
      <c r="AV259" s="264"/>
      <c r="AW259" s="264"/>
      <c r="AX259" s="264"/>
      <c r="AY259" s="264"/>
      <c r="AZ259" s="264"/>
      <c r="BA259" s="264"/>
      <c r="BB259" s="264"/>
      <c r="BC259" s="264"/>
      <c r="BD259" s="264"/>
    </row>
    <row r="260">
      <c r="A260" s="264"/>
      <c r="B260" s="264"/>
      <c r="C260" s="264"/>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c r="AA260" s="264"/>
      <c r="AB260" s="264"/>
      <c r="AC260" s="264"/>
      <c r="AD260" s="264"/>
      <c r="AE260" s="264"/>
      <c r="AF260" s="264"/>
      <c r="AG260" s="264"/>
      <c r="AH260" s="264"/>
      <c r="AI260" s="264"/>
      <c r="AJ260" s="264"/>
      <c r="AK260" s="264"/>
      <c r="AL260" s="264"/>
      <c r="AM260" s="264"/>
      <c r="AN260" s="264"/>
      <c r="AO260" s="264"/>
      <c r="AP260" s="264"/>
      <c r="AQ260" s="264"/>
      <c r="AR260" s="264"/>
      <c r="AS260" s="264"/>
      <c r="AT260" s="264"/>
      <c r="AU260" s="264"/>
      <c r="AV260" s="264"/>
      <c r="AW260" s="264"/>
      <c r="AX260" s="264"/>
      <c r="AY260" s="264"/>
      <c r="AZ260" s="264"/>
      <c r="BA260" s="264"/>
      <c r="BB260" s="264"/>
      <c r="BC260" s="264"/>
      <c r="BD260" s="264"/>
    </row>
    <row r="261">
      <c r="A261" s="264"/>
      <c r="B261" s="264"/>
      <c r="C261" s="264"/>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c r="AA261" s="264"/>
      <c r="AB261" s="264"/>
      <c r="AC261" s="264"/>
      <c r="AD261" s="264"/>
      <c r="AE261" s="264"/>
      <c r="AF261" s="264"/>
      <c r="AG261" s="264"/>
      <c r="AH261" s="264"/>
      <c r="AI261" s="264"/>
      <c r="AJ261" s="264"/>
      <c r="AK261" s="264"/>
      <c r="AL261" s="264"/>
      <c r="AM261" s="264"/>
      <c r="AN261" s="264"/>
      <c r="AO261" s="264"/>
      <c r="AP261" s="264"/>
      <c r="AQ261" s="264"/>
      <c r="AR261" s="264"/>
      <c r="AS261" s="264"/>
      <c r="AT261" s="264"/>
      <c r="AU261" s="264"/>
      <c r="AV261" s="264"/>
      <c r="AW261" s="264"/>
      <c r="AX261" s="264"/>
      <c r="AY261" s="264"/>
      <c r="AZ261" s="264"/>
      <c r="BA261" s="264"/>
      <c r="BB261" s="264"/>
      <c r="BC261" s="264"/>
      <c r="BD261" s="264"/>
    </row>
    <row r="262">
      <c r="A262" s="264"/>
      <c r="B262" s="264"/>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c r="AA262" s="264"/>
      <c r="AB262" s="264"/>
      <c r="AC262" s="264"/>
      <c r="AD262" s="264"/>
      <c r="AE262" s="264"/>
      <c r="AF262" s="264"/>
      <c r="AG262" s="264"/>
      <c r="AH262" s="264"/>
      <c r="AI262" s="264"/>
      <c r="AJ262" s="264"/>
      <c r="AK262" s="264"/>
      <c r="AL262" s="264"/>
      <c r="AM262" s="264"/>
      <c r="AN262" s="264"/>
      <c r="AO262" s="264"/>
      <c r="AP262" s="264"/>
      <c r="AQ262" s="264"/>
      <c r="AR262" s="264"/>
      <c r="AS262" s="264"/>
      <c r="AT262" s="264"/>
      <c r="AU262" s="264"/>
      <c r="AV262" s="264"/>
      <c r="AW262" s="264"/>
      <c r="AX262" s="264"/>
      <c r="AY262" s="264"/>
      <c r="AZ262" s="264"/>
      <c r="BA262" s="264"/>
      <c r="BB262" s="264"/>
      <c r="BC262" s="264"/>
      <c r="BD262" s="264"/>
    </row>
    <row r="263">
      <c r="A263" s="264"/>
      <c r="B263" s="264"/>
      <c r="C263" s="264"/>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c r="AA263" s="264"/>
      <c r="AB263" s="264"/>
      <c r="AC263" s="264"/>
      <c r="AD263" s="264"/>
      <c r="AE263" s="264"/>
      <c r="AF263" s="264"/>
      <c r="AG263" s="264"/>
      <c r="AH263" s="264"/>
      <c r="AI263" s="264"/>
      <c r="AJ263" s="264"/>
      <c r="AK263" s="264"/>
      <c r="AL263" s="264"/>
      <c r="AM263" s="264"/>
      <c r="AN263" s="264"/>
      <c r="AO263" s="264"/>
      <c r="AP263" s="264"/>
      <c r="AQ263" s="264"/>
      <c r="AR263" s="264"/>
      <c r="AS263" s="264"/>
      <c r="AT263" s="264"/>
      <c r="AU263" s="264"/>
      <c r="AV263" s="264"/>
      <c r="AW263" s="264"/>
      <c r="AX263" s="264"/>
      <c r="AY263" s="264"/>
      <c r="AZ263" s="264"/>
      <c r="BA263" s="264"/>
      <c r="BB263" s="264"/>
      <c r="BC263" s="264"/>
      <c r="BD263" s="264"/>
    </row>
    <row r="264">
      <c r="A264" s="264"/>
      <c r="B264" s="264"/>
      <c r="C264" s="264"/>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c r="AA264" s="264"/>
      <c r="AB264" s="264"/>
      <c r="AC264" s="264"/>
      <c r="AD264" s="264"/>
      <c r="AE264" s="264"/>
      <c r="AF264" s="264"/>
      <c r="AG264" s="264"/>
      <c r="AH264" s="264"/>
      <c r="AI264" s="264"/>
      <c r="AJ264" s="264"/>
      <c r="AK264" s="264"/>
      <c r="AL264" s="264"/>
      <c r="AM264" s="264"/>
      <c r="AN264" s="264"/>
      <c r="AO264" s="264"/>
      <c r="AP264" s="264"/>
      <c r="AQ264" s="264"/>
      <c r="AR264" s="264"/>
      <c r="AS264" s="264"/>
      <c r="AT264" s="264"/>
      <c r="AU264" s="264"/>
      <c r="AV264" s="264"/>
      <c r="AW264" s="264"/>
      <c r="AX264" s="264"/>
      <c r="AY264" s="264"/>
      <c r="AZ264" s="264"/>
      <c r="BA264" s="264"/>
      <c r="BB264" s="264"/>
      <c r="BC264" s="264"/>
      <c r="BD264" s="264"/>
    </row>
    <row r="265">
      <c r="A265" s="264"/>
      <c r="B265" s="264"/>
      <c r="C265" s="264"/>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c r="AA265" s="264"/>
      <c r="AB265" s="264"/>
      <c r="AC265" s="264"/>
      <c r="AD265" s="264"/>
      <c r="AE265" s="264"/>
      <c r="AF265" s="264"/>
      <c r="AG265" s="264"/>
      <c r="AH265" s="264"/>
      <c r="AI265" s="264"/>
      <c r="AJ265" s="264"/>
      <c r="AK265" s="264"/>
      <c r="AL265" s="264"/>
      <c r="AM265" s="264"/>
      <c r="AN265" s="264"/>
      <c r="AO265" s="264"/>
      <c r="AP265" s="264"/>
      <c r="AQ265" s="264"/>
      <c r="AR265" s="264"/>
      <c r="AS265" s="264"/>
      <c r="AT265" s="264"/>
      <c r="AU265" s="264"/>
      <c r="AV265" s="264"/>
      <c r="AW265" s="264"/>
      <c r="AX265" s="264"/>
      <c r="AY265" s="264"/>
      <c r="AZ265" s="264"/>
      <c r="BA265" s="264"/>
      <c r="BB265" s="264"/>
      <c r="BC265" s="264"/>
      <c r="BD265" s="264"/>
    </row>
    <row r="266">
      <c r="A266" s="264"/>
      <c r="B266" s="264"/>
      <c r="C266" s="264"/>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c r="AA266" s="264"/>
      <c r="AB266" s="264"/>
      <c r="AC266" s="264"/>
      <c r="AD266" s="264"/>
      <c r="AE266" s="264"/>
      <c r="AF266" s="264"/>
      <c r="AG266" s="264"/>
      <c r="AH266" s="264"/>
      <c r="AI266" s="264"/>
      <c r="AJ266" s="264"/>
      <c r="AK266" s="264"/>
      <c r="AL266" s="264"/>
      <c r="AM266" s="264"/>
      <c r="AN266" s="264"/>
      <c r="AO266" s="264"/>
      <c r="AP266" s="264"/>
      <c r="AQ266" s="264"/>
      <c r="AR266" s="264"/>
      <c r="AS266" s="264"/>
      <c r="AT266" s="264"/>
      <c r="AU266" s="264"/>
      <c r="AV266" s="264"/>
      <c r="AW266" s="264"/>
      <c r="AX266" s="264"/>
      <c r="AY266" s="264"/>
      <c r="AZ266" s="264"/>
      <c r="BA266" s="264"/>
      <c r="BB266" s="264"/>
      <c r="BC266" s="264"/>
      <c r="BD266" s="264"/>
    </row>
    <row r="267">
      <c r="A267" s="264"/>
      <c r="B267" s="264"/>
      <c r="C267" s="264"/>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c r="AA267" s="264"/>
      <c r="AB267" s="264"/>
      <c r="AC267" s="264"/>
      <c r="AD267" s="264"/>
      <c r="AE267" s="264"/>
      <c r="AF267" s="264"/>
      <c r="AG267" s="264"/>
      <c r="AH267" s="264"/>
      <c r="AI267" s="264"/>
      <c r="AJ267" s="264"/>
      <c r="AK267" s="264"/>
      <c r="AL267" s="264"/>
      <c r="AM267" s="264"/>
      <c r="AN267" s="264"/>
      <c r="AO267" s="264"/>
      <c r="AP267" s="264"/>
      <c r="AQ267" s="264"/>
      <c r="AR267" s="264"/>
      <c r="AS267" s="264"/>
      <c r="AT267" s="264"/>
      <c r="AU267" s="264"/>
      <c r="AV267" s="264"/>
      <c r="AW267" s="264"/>
      <c r="AX267" s="264"/>
      <c r="AY267" s="264"/>
      <c r="AZ267" s="264"/>
      <c r="BA267" s="264"/>
      <c r="BB267" s="264"/>
      <c r="BC267" s="264"/>
      <c r="BD267" s="264"/>
    </row>
    <row r="268">
      <c r="A268" s="264"/>
      <c r="B268" s="264"/>
      <c r="C268" s="264"/>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c r="AA268" s="264"/>
      <c r="AB268" s="264"/>
      <c r="AC268" s="264"/>
      <c r="AD268" s="264"/>
      <c r="AE268" s="264"/>
      <c r="AF268" s="264"/>
      <c r="AG268" s="264"/>
      <c r="AH268" s="264"/>
      <c r="AI268" s="264"/>
      <c r="AJ268" s="264"/>
      <c r="AK268" s="264"/>
      <c r="AL268" s="264"/>
      <c r="AM268" s="264"/>
      <c r="AN268" s="264"/>
      <c r="AO268" s="264"/>
      <c r="AP268" s="264"/>
      <c r="AQ268" s="264"/>
      <c r="AR268" s="264"/>
      <c r="AS268" s="264"/>
      <c r="AT268" s="264"/>
      <c r="AU268" s="264"/>
      <c r="AV268" s="264"/>
      <c r="AW268" s="264"/>
      <c r="AX268" s="264"/>
      <c r="AY268" s="264"/>
      <c r="AZ268" s="264"/>
      <c r="BA268" s="264"/>
      <c r="BB268" s="264"/>
      <c r="BC268" s="264"/>
      <c r="BD268" s="264"/>
    </row>
    <row r="269">
      <c r="A269" s="264"/>
      <c r="B269" s="264"/>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c r="AA269" s="264"/>
      <c r="AB269" s="264"/>
      <c r="AC269" s="264"/>
      <c r="AD269" s="264"/>
      <c r="AE269" s="264"/>
      <c r="AF269" s="264"/>
      <c r="AG269" s="264"/>
      <c r="AH269" s="264"/>
      <c r="AI269" s="264"/>
      <c r="AJ269" s="264"/>
      <c r="AK269" s="264"/>
      <c r="AL269" s="264"/>
      <c r="AM269" s="264"/>
      <c r="AN269" s="264"/>
      <c r="AO269" s="264"/>
      <c r="AP269" s="264"/>
      <c r="AQ269" s="264"/>
      <c r="AR269" s="264"/>
      <c r="AS269" s="264"/>
      <c r="AT269" s="264"/>
      <c r="AU269" s="264"/>
      <c r="AV269" s="264"/>
      <c r="AW269" s="264"/>
      <c r="AX269" s="264"/>
      <c r="AY269" s="264"/>
      <c r="AZ269" s="264"/>
      <c r="BA269" s="264"/>
      <c r="BB269" s="264"/>
      <c r="BC269" s="264"/>
      <c r="BD269" s="264"/>
    </row>
    <row r="270">
      <c r="A270" s="264"/>
      <c r="B270" s="264"/>
      <c r="C270" s="264"/>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c r="AA270" s="264"/>
      <c r="AB270" s="264"/>
      <c r="AC270" s="264"/>
      <c r="AD270" s="264"/>
      <c r="AE270" s="264"/>
      <c r="AF270" s="264"/>
      <c r="AG270" s="264"/>
      <c r="AH270" s="264"/>
      <c r="AI270" s="264"/>
      <c r="AJ270" s="264"/>
      <c r="AK270" s="264"/>
      <c r="AL270" s="264"/>
      <c r="AM270" s="264"/>
      <c r="AN270" s="264"/>
      <c r="AO270" s="264"/>
      <c r="AP270" s="264"/>
      <c r="AQ270" s="264"/>
      <c r="AR270" s="264"/>
      <c r="AS270" s="264"/>
      <c r="AT270" s="264"/>
      <c r="AU270" s="264"/>
      <c r="AV270" s="264"/>
      <c r="AW270" s="264"/>
      <c r="AX270" s="264"/>
      <c r="AY270" s="264"/>
      <c r="AZ270" s="264"/>
      <c r="BA270" s="264"/>
      <c r="BB270" s="264"/>
      <c r="BC270" s="264"/>
      <c r="BD270" s="264"/>
    </row>
    <row r="271">
      <c r="A271" s="264"/>
      <c r="B271" s="264"/>
      <c r="C271" s="264"/>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c r="AA271" s="264"/>
      <c r="AB271" s="264"/>
      <c r="AC271" s="264"/>
      <c r="AD271" s="264"/>
      <c r="AE271" s="264"/>
      <c r="AF271" s="264"/>
      <c r="AG271" s="264"/>
      <c r="AH271" s="264"/>
      <c r="AI271" s="264"/>
      <c r="AJ271" s="264"/>
      <c r="AK271" s="264"/>
      <c r="AL271" s="264"/>
      <c r="AM271" s="264"/>
      <c r="AN271" s="264"/>
      <c r="AO271" s="264"/>
      <c r="AP271" s="264"/>
      <c r="AQ271" s="264"/>
      <c r="AR271" s="264"/>
      <c r="AS271" s="264"/>
      <c r="AT271" s="264"/>
      <c r="AU271" s="264"/>
      <c r="AV271" s="264"/>
      <c r="AW271" s="264"/>
      <c r="AX271" s="264"/>
      <c r="AY271" s="264"/>
      <c r="AZ271" s="264"/>
      <c r="BA271" s="264"/>
      <c r="BB271" s="264"/>
      <c r="BC271" s="264"/>
      <c r="BD271" s="264"/>
    </row>
    <row r="272">
      <c r="A272" s="264"/>
      <c r="B272" s="264"/>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c r="AA272" s="264"/>
      <c r="AB272" s="264"/>
      <c r="AC272" s="264"/>
      <c r="AD272" s="264"/>
      <c r="AE272" s="264"/>
      <c r="AF272" s="264"/>
      <c r="AG272" s="264"/>
      <c r="AH272" s="264"/>
      <c r="AI272" s="264"/>
      <c r="AJ272" s="264"/>
      <c r="AK272" s="264"/>
      <c r="AL272" s="264"/>
      <c r="AM272" s="264"/>
      <c r="AN272" s="264"/>
      <c r="AO272" s="264"/>
      <c r="AP272" s="264"/>
      <c r="AQ272" s="264"/>
      <c r="AR272" s="264"/>
      <c r="AS272" s="264"/>
      <c r="AT272" s="264"/>
      <c r="AU272" s="264"/>
      <c r="AV272" s="264"/>
      <c r="AW272" s="264"/>
      <c r="AX272" s="264"/>
      <c r="AY272" s="264"/>
      <c r="AZ272" s="264"/>
      <c r="BA272" s="264"/>
      <c r="BB272" s="264"/>
      <c r="BC272" s="264"/>
      <c r="BD272" s="264"/>
    </row>
    <row r="273">
      <c r="A273" s="264"/>
      <c r="B273" s="264"/>
      <c r="C273" s="264"/>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c r="AA273" s="264"/>
      <c r="AB273" s="264"/>
      <c r="AC273" s="264"/>
      <c r="AD273" s="264"/>
      <c r="AE273" s="264"/>
      <c r="AF273" s="264"/>
      <c r="AG273" s="264"/>
      <c r="AH273" s="264"/>
      <c r="AI273" s="264"/>
      <c r="AJ273" s="264"/>
      <c r="AK273" s="264"/>
      <c r="AL273" s="264"/>
      <c r="AM273" s="264"/>
      <c r="AN273" s="264"/>
      <c r="AO273" s="264"/>
      <c r="AP273" s="264"/>
      <c r="AQ273" s="264"/>
      <c r="AR273" s="264"/>
      <c r="AS273" s="264"/>
      <c r="AT273" s="264"/>
      <c r="AU273" s="264"/>
      <c r="AV273" s="264"/>
      <c r="AW273" s="264"/>
      <c r="AX273" s="264"/>
      <c r="AY273" s="264"/>
      <c r="AZ273" s="264"/>
      <c r="BA273" s="264"/>
      <c r="BB273" s="264"/>
      <c r="BC273" s="264"/>
      <c r="BD273" s="264"/>
    </row>
    <row r="274">
      <c r="A274" s="264"/>
      <c r="B274" s="264"/>
      <c r="C274" s="264"/>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c r="AA274" s="264"/>
      <c r="AB274" s="264"/>
      <c r="AC274" s="264"/>
      <c r="AD274" s="264"/>
      <c r="AE274" s="264"/>
      <c r="AF274" s="264"/>
      <c r="AG274" s="264"/>
      <c r="AH274" s="264"/>
      <c r="AI274" s="264"/>
      <c r="AJ274" s="264"/>
      <c r="AK274" s="264"/>
      <c r="AL274" s="264"/>
      <c r="AM274" s="264"/>
      <c r="AN274" s="264"/>
      <c r="AO274" s="264"/>
      <c r="AP274" s="264"/>
      <c r="AQ274" s="264"/>
      <c r="AR274" s="264"/>
      <c r="AS274" s="264"/>
      <c r="AT274" s="264"/>
      <c r="AU274" s="264"/>
      <c r="AV274" s="264"/>
      <c r="AW274" s="264"/>
      <c r="AX274" s="264"/>
      <c r="AY274" s="264"/>
      <c r="AZ274" s="264"/>
      <c r="BA274" s="264"/>
      <c r="BB274" s="264"/>
      <c r="BC274" s="264"/>
      <c r="BD274" s="264"/>
    </row>
    <row r="275">
      <c r="A275" s="264"/>
      <c r="B275" s="264"/>
      <c r="C275" s="264"/>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c r="AA275" s="264"/>
      <c r="AB275" s="264"/>
      <c r="AC275" s="264"/>
      <c r="AD275" s="264"/>
      <c r="AE275" s="264"/>
      <c r="AF275" s="264"/>
      <c r="AG275" s="264"/>
      <c r="AH275" s="264"/>
      <c r="AI275" s="264"/>
      <c r="AJ275" s="264"/>
      <c r="AK275" s="264"/>
      <c r="AL275" s="264"/>
      <c r="AM275" s="264"/>
      <c r="AN275" s="264"/>
      <c r="AO275" s="264"/>
      <c r="AP275" s="264"/>
      <c r="AQ275" s="264"/>
      <c r="AR275" s="264"/>
      <c r="AS275" s="264"/>
      <c r="AT275" s="264"/>
      <c r="AU275" s="264"/>
      <c r="AV275" s="264"/>
      <c r="AW275" s="264"/>
      <c r="AX275" s="264"/>
      <c r="AY275" s="264"/>
      <c r="AZ275" s="264"/>
      <c r="BA275" s="264"/>
      <c r="BB275" s="264"/>
      <c r="BC275" s="264"/>
      <c r="BD275" s="264"/>
    </row>
    <row r="276">
      <c r="A276" s="264"/>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c r="AA276" s="264"/>
      <c r="AB276" s="264"/>
      <c r="AC276" s="264"/>
      <c r="AD276" s="264"/>
      <c r="AE276" s="264"/>
      <c r="AF276" s="264"/>
      <c r="AG276" s="264"/>
      <c r="AH276" s="264"/>
      <c r="AI276" s="264"/>
      <c r="AJ276" s="264"/>
      <c r="AK276" s="264"/>
      <c r="AL276" s="264"/>
      <c r="AM276" s="264"/>
      <c r="AN276" s="264"/>
      <c r="AO276" s="264"/>
      <c r="AP276" s="264"/>
      <c r="AQ276" s="264"/>
      <c r="AR276" s="264"/>
      <c r="AS276" s="264"/>
      <c r="AT276" s="264"/>
      <c r="AU276" s="264"/>
      <c r="AV276" s="264"/>
      <c r="AW276" s="264"/>
      <c r="AX276" s="264"/>
      <c r="AY276" s="264"/>
      <c r="AZ276" s="264"/>
      <c r="BA276" s="264"/>
      <c r="BB276" s="264"/>
      <c r="BC276" s="264"/>
      <c r="BD276" s="264"/>
    </row>
    <row r="277">
      <c r="A277" s="264"/>
      <c r="B277" s="264"/>
      <c r="C277" s="264"/>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c r="AA277" s="264"/>
      <c r="AB277" s="264"/>
      <c r="AC277" s="264"/>
      <c r="AD277" s="264"/>
      <c r="AE277" s="264"/>
      <c r="AF277" s="264"/>
      <c r="AG277" s="264"/>
      <c r="AH277" s="264"/>
      <c r="AI277" s="264"/>
      <c r="AJ277" s="264"/>
      <c r="AK277" s="264"/>
      <c r="AL277" s="264"/>
      <c r="AM277" s="264"/>
      <c r="AN277" s="264"/>
      <c r="AO277" s="264"/>
      <c r="AP277" s="264"/>
      <c r="AQ277" s="264"/>
      <c r="AR277" s="264"/>
      <c r="AS277" s="264"/>
      <c r="AT277" s="264"/>
      <c r="AU277" s="264"/>
      <c r="AV277" s="264"/>
      <c r="AW277" s="264"/>
      <c r="AX277" s="264"/>
      <c r="AY277" s="264"/>
      <c r="AZ277" s="264"/>
      <c r="BA277" s="264"/>
      <c r="BB277" s="264"/>
      <c r="BC277" s="264"/>
      <c r="BD277" s="264"/>
    </row>
    <row r="278">
      <c r="A278" s="264"/>
      <c r="B278" s="264"/>
      <c r="C278" s="264"/>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c r="AA278" s="264"/>
      <c r="AB278" s="264"/>
      <c r="AC278" s="264"/>
      <c r="AD278" s="264"/>
      <c r="AE278" s="264"/>
      <c r="AF278" s="264"/>
      <c r="AG278" s="264"/>
      <c r="AH278" s="264"/>
      <c r="AI278" s="264"/>
      <c r="AJ278" s="264"/>
      <c r="AK278" s="264"/>
      <c r="AL278" s="264"/>
      <c r="AM278" s="264"/>
      <c r="AN278" s="264"/>
      <c r="AO278" s="264"/>
      <c r="AP278" s="264"/>
      <c r="AQ278" s="264"/>
      <c r="AR278" s="264"/>
      <c r="AS278" s="264"/>
      <c r="AT278" s="264"/>
      <c r="AU278" s="264"/>
      <c r="AV278" s="264"/>
      <c r="AW278" s="264"/>
      <c r="AX278" s="264"/>
      <c r="AY278" s="264"/>
      <c r="AZ278" s="264"/>
      <c r="BA278" s="264"/>
      <c r="BB278" s="264"/>
      <c r="BC278" s="264"/>
      <c r="BD278" s="264"/>
    </row>
    <row r="279">
      <c r="A279" s="264"/>
      <c r="B279" s="264"/>
      <c r="C279" s="264"/>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c r="AA279" s="264"/>
      <c r="AB279" s="264"/>
      <c r="AC279" s="264"/>
      <c r="AD279" s="264"/>
      <c r="AE279" s="264"/>
      <c r="AF279" s="264"/>
      <c r="AG279" s="264"/>
      <c r="AH279" s="264"/>
      <c r="AI279" s="264"/>
      <c r="AJ279" s="264"/>
      <c r="AK279" s="264"/>
      <c r="AL279" s="264"/>
      <c r="AM279" s="264"/>
      <c r="AN279" s="264"/>
      <c r="AO279" s="264"/>
      <c r="AP279" s="264"/>
      <c r="AQ279" s="264"/>
      <c r="AR279" s="264"/>
      <c r="AS279" s="264"/>
      <c r="AT279" s="264"/>
      <c r="AU279" s="264"/>
      <c r="AV279" s="264"/>
      <c r="AW279" s="264"/>
      <c r="AX279" s="264"/>
      <c r="AY279" s="264"/>
      <c r="AZ279" s="264"/>
      <c r="BA279" s="264"/>
      <c r="BB279" s="264"/>
      <c r="BC279" s="264"/>
      <c r="BD279" s="264"/>
    </row>
    <row r="280">
      <c r="A280" s="264"/>
      <c r="B280" s="264"/>
      <c r="C280" s="264"/>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c r="AA280" s="264"/>
      <c r="AB280" s="264"/>
      <c r="AC280" s="264"/>
      <c r="AD280" s="264"/>
      <c r="AE280" s="264"/>
      <c r="AF280" s="264"/>
      <c r="AG280" s="264"/>
      <c r="AH280" s="264"/>
      <c r="AI280" s="264"/>
      <c r="AJ280" s="264"/>
      <c r="AK280" s="264"/>
      <c r="AL280" s="264"/>
      <c r="AM280" s="264"/>
      <c r="AN280" s="264"/>
      <c r="AO280" s="264"/>
      <c r="AP280" s="264"/>
      <c r="AQ280" s="264"/>
      <c r="AR280" s="264"/>
      <c r="AS280" s="264"/>
      <c r="AT280" s="264"/>
      <c r="AU280" s="264"/>
      <c r="AV280" s="264"/>
      <c r="AW280" s="264"/>
      <c r="AX280" s="264"/>
      <c r="AY280" s="264"/>
      <c r="AZ280" s="264"/>
      <c r="BA280" s="264"/>
      <c r="BB280" s="264"/>
      <c r="BC280" s="264"/>
      <c r="BD280" s="264"/>
    </row>
    <row r="281">
      <c r="A281" s="264"/>
      <c r="B281" s="264"/>
      <c r="C281" s="264"/>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c r="AA281" s="264"/>
      <c r="AB281" s="264"/>
      <c r="AC281" s="264"/>
      <c r="AD281" s="264"/>
      <c r="AE281" s="264"/>
      <c r="AF281" s="264"/>
      <c r="AG281" s="264"/>
      <c r="AH281" s="264"/>
      <c r="AI281" s="264"/>
      <c r="AJ281" s="264"/>
      <c r="AK281" s="264"/>
      <c r="AL281" s="264"/>
      <c r="AM281" s="264"/>
      <c r="AN281" s="264"/>
      <c r="AO281" s="264"/>
      <c r="AP281" s="264"/>
      <c r="AQ281" s="264"/>
      <c r="AR281" s="264"/>
      <c r="AS281" s="264"/>
      <c r="AT281" s="264"/>
      <c r="AU281" s="264"/>
      <c r="AV281" s="264"/>
      <c r="AW281" s="264"/>
      <c r="AX281" s="264"/>
      <c r="AY281" s="264"/>
      <c r="AZ281" s="264"/>
      <c r="BA281" s="264"/>
      <c r="BB281" s="264"/>
      <c r="BC281" s="264"/>
      <c r="BD281" s="264"/>
    </row>
    <row r="282">
      <c r="A282" s="264"/>
      <c r="B282" s="264"/>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c r="AA282" s="264"/>
      <c r="AB282" s="264"/>
      <c r="AC282" s="264"/>
      <c r="AD282" s="264"/>
      <c r="AE282" s="264"/>
      <c r="AF282" s="264"/>
      <c r="AG282" s="264"/>
      <c r="AH282" s="264"/>
      <c r="AI282" s="264"/>
      <c r="AJ282" s="264"/>
      <c r="AK282" s="264"/>
      <c r="AL282" s="264"/>
      <c r="AM282" s="264"/>
      <c r="AN282" s="264"/>
      <c r="AO282" s="264"/>
      <c r="AP282" s="264"/>
      <c r="AQ282" s="264"/>
      <c r="AR282" s="264"/>
      <c r="AS282" s="264"/>
      <c r="AT282" s="264"/>
      <c r="AU282" s="264"/>
      <c r="AV282" s="264"/>
      <c r="AW282" s="264"/>
      <c r="AX282" s="264"/>
      <c r="AY282" s="264"/>
      <c r="AZ282" s="264"/>
      <c r="BA282" s="264"/>
      <c r="BB282" s="264"/>
      <c r="BC282" s="264"/>
      <c r="BD282" s="264"/>
    </row>
    <row r="283">
      <c r="A283" s="264"/>
      <c r="B283" s="264"/>
      <c r="C283" s="264"/>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c r="AA283" s="264"/>
      <c r="AB283" s="264"/>
      <c r="AC283" s="264"/>
      <c r="AD283" s="264"/>
      <c r="AE283" s="264"/>
      <c r="AF283" s="264"/>
      <c r="AG283" s="264"/>
      <c r="AH283" s="264"/>
      <c r="AI283" s="264"/>
      <c r="AJ283" s="264"/>
      <c r="AK283" s="264"/>
      <c r="AL283" s="264"/>
      <c r="AM283" s="264"/>
      <c r="AN283" s="264"/>
      <c r="AO283" s="264"/>
      <c r="AP283" s="264"/>
      <c r="AQ283" s="264"/>
      <c r="AR283" s="264"/>
      <c r="AS283" s="264"/>
      <c r="AT283" s="264"/>
      <c r="AU283" s="264"/>
      <c r="AV283" s="264"/>
      <c r="AW283" s="264"/>
      <c r="AX283" s="264"/>
      <c r="AY283" s="264"/>
      <c r="AZ283" s="264"/>
      <c r="BA283" s="264"/>
      <c r="BB283" s="264"/>
      <c r="BC283" s="264"/>
      <c r="BD283" s="264"/>
    </row>
    <row r="284">
      <c r="A284" s="264"/>
      <c r="B284" s="264"/>
      <c r="C284" s="264"/>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c r="AA284" s="264"/>
      <c r="AB284" s="264"/>
      <c r="AC284" s="264"/>
      <c r="AD284" s="264"/>
      <c r="AE284" s="264"/>
      <c r="AF284" s="264"/>
      <c r="AG284" s="264"/>
      <c r="AH284" s="264"/>
      <c r="AI284" s="264"/>
      <c r="AJ284" s="264"/>
      <c r="AK284" s="264"/>
      <c r="AL284" s="264"/>
      <c r="AM284" s="264"/>
      <c r="AN284" s="264"/>
      <c r="AO284" s="264"/>
      <c r="AP284" s="264"/>
      <c r="AQ284" s="264"/>
      <c r="AR284" s="264"/>
      <c r="AS284" s="264"/>
      <c r="AT284" s="264"/>
      <c r="AU284" s="264"/>
      <c r="AV284" s="264"/>
      <c r="AW284" s="264"/>
      <c r="AX284" s="264"/>
      <c r="AY284" s="264"/>
      <c r="AZ284" s="264"/>
      <c r="BA284" s="264"/>
      <c r="BB284" s="264"/>
      <c r="BC284" s="264"/>
      <c r="BD284" s="264"/>
    </row>
    <row r="285">
      <c r="A285" s="264"/>
      <c r="B285" s="264"/>
      <c r="C285" s="264"/>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c r="AA285" s="264"/>
      <c r="AB285" s="264"/>
      <c r="AC285" s="264"/>
      <c r="AD285" s="264"/>
      <c r="AE285" s="264"/>
      <c r="AF285" s="264"/>
      <c r="AG285" s="264"/>
      <c r="AH285" s="264"/>
      <c r="AI285" s="264"/>
      <c r="AJ285" s="264"/>
      <c r="AK285" s="264"/>
      <c r="AL285" s="264"/>
      <c r="AM285" s="264"/>
      <c r="AN285" s="264"/>
      <c r="AO285" s="264"/>
      <c r="AP285" s="264"/>
      <c r="AQ285" s="264"/>
      <c r="AR285" s="264"/>
      <c r="AS285" s="264"/>
      <c r="AT285" s="264"/>
      <c r="AU285" s="264"/>
      <c r="AV285" s="264"/>
      <c r="AW285" s="264"/>
      <c r="AX285" s="264"/>
      <c r="AY285" s="264"/>
      <c r="AZ285" s="264"/>
      <c r="BA285" s="264"/>
      <c r="BB285" s="264"/>
      <c r="BC285" s="264"/>
      <c r="BD285" s="264"/>
    </row>
    <row r="286">
      <c r="A286" s="264"/>
      <c r="B286" s="264"/>
      <c r="C286" s="264"/>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c r="AA286" s="264"/>
      <c r="AB286" s="264"/>
      <c r="AC286" s="264"/>
      <c r="AD286" s="264"/>
      <c r="AE286" s="264"/>
      <c r="AF286" s="264"/>
      <c r="AG286" s="264"/>
      <c r="AH286" s="264"/>
      <c r="AI286" s="264"/>
      <c r="AJ286" s="264"/>
      <c r="AK286" s="264"/>
      <c r="AL286" s="264"/>
      <c r="AM286" s="264"/>
      <c r="AN286" s="264"/>
      <c r="AO286" s="264"/>
      <c r="AP286" s="264"/>
      <c r="AQ286" s="264"/>
      <c r="AR286" s="264"/>
      <c r="AS286" s="264"/>
      <c r="AT286" s="264"/>
      <c r="AU286" s="264"/>
      <c r="AV286" s="264"/>
      <c r="AW286" s="264"/>
      <c r="AX286" s="264"/>
      <c r="AY286" s="264"/>
      <c r="AZ286" s="264"/>
      <c r="BA286" s="264"/>
      <c r="BB286" s="264"/>
      <c r="BC286" s="264"/>
      <c r="BD286" s="264"/>
    </row>
    <row r="287">
      <c r="A287" s="264"/>
      <c r="B287" s="264"/>
      <c r="C287" s="264"/>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c r="AA287" s="264"/>
      <c r="AB287" s="264"/>
      <c r="AC287" s="264"/>
      <c r="AD287" s="264"/>
      <c r="AE287" s="264"/>
      <c r="AF287" s="264"/>
      <c r="AG287" s="264"/>
      <c r="AH287" s="264"/>
      <c r="AI287" s="264"/>
      <c r="AJ287" s="264"/>
      <c r="AK287" s="264"/>
      <c r="AL287" s="264"/>
      <c r="AM287" s="264"/>
      <c r="AN287" s="264"/>
      <c r="AO287" s="264"/>
      <c r="AP287" s="264"/>
      <c r="AQ287" s="264"/>
      <c r="AR287" s="264"/>
      <c r="AS287" s="264"/>
      <c r="AT287" s="264"/>
      <c r="AU287" s="264"/>
      <c r="AV287" s="264"/>
      <c r="AW287" s="264"/>
      <c r="AX287" s="264"/>
      <c r="AY287" s="264"/>
      <c r="AZ287" s="264"/>
      <c r="BA287" s="264"/>
      <c r="BB287" s="264"/>
      <c r="BC287" s="264"/>
      <c r="BD287" s="264"/>
    </row>
    <row r="288">
      <c r="A288" s="264"/>
      <c r="B288" s="264"/>
      <c r="C288" s="264"/>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c r="AA288" s="264"/>
      <c r="AB288" s="264"/>
      <c r="AC288" s="264"/>
      <c r="AD288" s="264"/>
      <c r="AE288" s="264"/>
      <c r="AF288" s="264"/>
      <c r="AG288" s="264"/>
      <c r="AH288" s="264"/>
      <c r="AI288" s="264"/>
      <c r="AJ288" s="264"/>
      <c r="AK288" s="264"/>
      <c r="AL288" s="264"/>
      <c r="AM288" s="264"/>
      <c r="AN288" s="264"/>
      <c r="AO288" s="264"/>
      <c r="AP288" s="264"/>
      <c r="AQ288" s="264"/>
      <c r="AR288" s="264"/>
      <c r="AS288" s="264"/>
      <c r="AT288" s="264"/>
      <c r="AU288" s="264"/>
      <c r="AV288" s="264"/>
      <c r="AW288" s="264"/>
      <c r="AX288" s="264"/>
      <c r="AY288" s="264"/>
      <c r="AZ288" s="264"/>
      <c r="BA288" s="264"/>
      <c r="BB288" s="264"/>
      <c r="BC288" s="264"/>
      <c r="BD288" s="264"/>
    </row>
    <row r="289">
      <c r="A289" s="264"/>
      <c r="B289" s="264"/>
      <c r="C289" s="264"/>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c r="AA289" s="264"/>
      <c r="AB289" s="264"/>
      <c r="AC289" s="264"/>
      <c r="AD289" s="264"/>
      <c r="AE289" s="264"/>
      <c r="AF289" s="264"/>
      <c r="AG289" s="264"/>
      <c r="AH289" s="264"/>
      <c r="AI289" s="264"/>
      <c r="AJ289" s="264"/>
      <c r="AK289" s="264"/>
      <c r="AL289" s="264"/>
      <c r="AM289" s="264"/>
      <c r="AN289" s="264"/>
      <c r="AO289" s="264"/>
      <c r="AP289" s="264"/>
      <c r="AQ289" s="264"/>
      <c r="AR289" s="264"/>
      <c r="AS289" s="264"/>
      <c r="AT289" s="264"/>
      <c r="AU289" s="264"/>
      <c r="AV289" s="264"/>
      <c r="AW289" s="264"/>
      <c r="AX289" s="264"/>
      <c r="AY289" s="264"/>
      <c r="AZ289" s="264"/>
      <c r="BA289" s="264"/>
      <c r="BB289" s="264"/>
      <c r="BC289" s="264"/>
      <c r="BD289" s="264"/>
    </row>
    <row r="290">
      <c r="A290" s="264"/>
      <c r="B290" s="264"/>
      <c r="C290" s="264"/>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c r="AA290" s="264"/>
      <c r="AB290" s="264"/>
      <c r="AC290" s="264"/>
      <c r="AD290" s="264"/>
      <c r="AE290" s="264"/>
      <c r="AF290" s="264"/>
      <c r="AG290" s="264"/>
      <c r="AH290" s="264"/>
      <c r="AI290" s="264"/>
      <c r="AJ290" s="264"/>
      <c r="AK290" s="264"/>
      <c r="AL290" s="264"/>
      <c r="AM290" s="264"/>
      <c r="AN290" s="264"/>
      <c r="AO290" s="264"/>
      <c r="AP290" s="264"/>
      <c r="AQ290" s="264"/>
      <c r="AR290" s="264"/>
      <c r="AS290" s="264"/>
      <c r="AT290" s="264"/>
      <c r="AU290" s="264"/>
      <c r="AV290" s="264"/>
      <c r="AW290" s="264"/>
      <c r="AX290" s="264"/>
      <c r="AY290" s="264"/>
      <c r="AZ290" s="264"/>
      <c r="BA290" s="264"/>
      <c r="BB290" s="264"/>
      <c r="BC290" s="264"/>
      <c r="BD290" s="264"/>
    </row>
    <row r="291">
      <c r="A291" s="264"/>
      <c r="B291" s="264"/>
      <c r="C291" s="264"/>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c r="AA291" s="264"/>
      <c r="AB291" s="264"/>
      <c r="AC291" s="264"/>
      <c r="AD291" s="264"/>
      <c r="AE291" s="264"/>
      <c r="AF291" s="264"/>
      <c r="AG291" s="264"/>
      <c r="AH291" s="264"/>
      <c r="AI291" s="264"/>
      <c r="AJ291" s="264"/>
      <c r="AK291" s="264"/>
      <c r="AL291" s="264"/>
      <c r="AM291" s="264"/>
      <c r="AN291" s="264"/>
      <c r="AO291" s="264"/>
      <c r="AP291" s="264"/>
      <c r="AQ291" s="264"/>
      <c r="AR291" s="264"/>
      <c r="AS291" s="264"/>
      <c r="AT291" s="264"/>
      <c r="AU291" s="264"/>
      <c r="AV291" s="264"/>
      <c r="AW291" s="264"/>
      <c r="AX291" s="264"/>
      <c r="AY291" s="264"/>
      <c r="AZ291" s="264"/>
      <c r="BA291" s="264"/>
      <c r="BB291" s="264"/>
      <c r="BC291" s="264"/>
      <c r="BD291" s="264"/>
    </row>
    <row r="292">
      <c r="A292" s="264"/>
      <c r="B292" s="264"/>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4"/>
      <c r="AY292" s="264"/>
      <c r="AZ292" s="264"/>
      <c r="BA292" s="264"/>
      <c r="BB292" s="264"/>
      <c r="BC292" s="264"/>
      <c r="BD292" s="264"/>
    </row>
    <row r="293">
      <c r="A293" s="264"/>
      <c r="B293" s="264"/>
      <c r="C293" s="264"/>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c r="AA293" s="264"/>
      <c r="AB293" s="264"/>
      <c r="AC293" s="264"/>
      <c r="AD293" s="264"/>
      <c r="AE293" s="264"/>
      <c r="AF293" s="264"/>
      <c r="AG293" s="264"/>
      <c r="AH293" s="264"/>
      <c r="AI293" s="264"/>
      <c r="AJ293" s="264"/>
      <c r="AK293" s="264"/>
      <c r="AL293" s="264"/>
      <c r="AM293" s="264"/>
      <c r="AN293" s="264"/>
      <c r="AO293" s="264"/>
      <c r="AP293" s="264"/>
      <c r="AQ293" s="264"/>
      <c r="AR293" s="264"/>
      <c r="AS293" s="264"/>
      <c r="AT293" s="264"/>
      <c r="AU293" s="264"/>
      <c r="AV293" s="264"/>
      <c r="AW293" s="264"/>
      <c r="AX293" s="264"/>
      <c r="AY293" s="264"/>
      <c r="AZ293" s="264"/>
      <c r="BA293" s="264"/>
      <c r="BB293" s="264"/>
      <c r="BC293" s="264"/>
      <c r="BD293" s="264"/>
    </row>
    <row r="294">
      <c r="A294" s="264"/>
      <c r="B294" s="264"/>
      <c r="C294" s="264"/>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c r="AA294" s="264"/>
      <c r="AB294" s="264"/>
      <c r="AC294" s="264"/>
      <c r="AD294" s="264"/>
      <c r="AE294" s="264"/>
      <c r="AF294" s="264"/>
      <c r="AG294" s="264"/>
      <c r="AH294" s="264"/>
      <c r="AI294" s="264"/>
      <c r="AJ294" s="264"/>
      <c r="AK294" s="264"/>
      <c r="AL294" s="264"/>
      <c r="AM294" s="264"/>
      <c r="AN294" s="264"/>
      <c r="AO294" s="264"/>
      <c r="AP294" s="264"/>
      <c r="AQ294" s="264"/>
      <c r="AR294" s="264"/>
      <c r="AS294" s="264"/>
      <c r="AT294" s="264"/>
      <c r="AU294" s="264"/>
      <c r="AV294" s="264"/>
      <c r="AW294" s="264"/>
      <c r="AX294" s="264"/>
      <c r="AY294" s="264"/>
      <c r="AZ294" s="264"/>
      <c r="BA294" s="264"/>
      <c r="BB294" s="264"/>
      <c r="BC294" s="264"/>
      <c r="BD294" s="264"/>
    </row>
    <row r="295">
      <c r="A295" s="264"/>
      <c r="B295" s="264"/>
      <c r="C295" s="264"/>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c r="AA295" s="264"/>
      <c r="AB295" s="264"/>
      <c r="AC295" s="264"/>
      <c r="AD295" s="264"/>
      <c r="AE295" s="264"/>
      <c r="AF295" s="264"/>
      <c r="AG295" s="264"/>
      <c r="AH295" s="264"/>
      <c r="AI295" s="264"/>
      <c r="AJ295" s="264"/>
      <c r="AK295" s="264"/>
      <c r="AL295" s="264"/>
      <c r="AM295" s="264"/>
      <c r="AN295" s="264"/>
      <c r="AO295" s="264"/>
      <c r="AP295" s="264"/>
      <c r="AQ295" s="264"/>
      <c r="AR295" s="264"/>
      <c r="AS295" s="264"/>
      <c r="AT295" s="264"/>
      <c r="AU295" s="264"/>
      <c r="AV295" s="264"/>
      <c r="AW295" s="264"/>
      <c r="AX295" s="264"/>
      <c r="AY295" s="264"/>
      <c r="AZ295" s="264"/>
      <c r="BA295" s="264"/>
      <c r="BB295" s="264"/>
      <c r="BC295" s="264"/>
      <c r="BD295" s="264"/>
    </row>
    <row r="296">
      <c r="A296" s="264"/>
      <c r="B296" s="264"/>
      <c r="C296" s="264"/>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c r="AA296" s="264"/>
      <c r="AB296" s="264"/>
      <c r="AC296" s="264"/>
      <c r="AD296" s="264"/>
      <c r="AE296" s="264"/>
      <c r="AF296" s="264"/>
      <c r="AG296" s="264"/>
      <c r="AH296" s="264"/>
      <c r="AI296" s="264"/>
      <c r="AJ296" s="264"/>
      <c r="AK296" s="264"/>
      <c r="AL296" s="264"/>
      <c r="AM296" s="264"/>
      <c r="AN296" s="264"/>
      <c r="AO296" s="264"/>
      <c r="AP296" s="264"/>
      <c r="AQ296" s="264"/>
      <c r="AR296" s="264"/>
      <c r="AS296" s="264"/>
      <c r="AT296" s="264"/>
      <c r="AU296" s="264"/>
      <c r="AV296" s="264"/>
      <c r="AW296" s="264"/>
      <c r="AX296" s="264"/>
      <c r="AY296" s="264"/>
      <c r="AZ296" s="264"/>
      <c r="BA296" s="264"/>
      <c r="BB296" s="264"/>
      <c r="BC296" s="264"/>
      <c r="BD296" s="264"/>
    </row>
    <row r="297">
      <c r="A297" s="264"/>
      <c r="B297" s="264"/>
      <c r="C297" s="264"/>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c r="AA297" s="264"/>
      <c r="AB297" s="264"/>
      <c r="AC297" s="264"/>
      <c r="AD297" s="264"/>
      <c r="AE297" s="264"/>
      <c r="AF297" s="264"/>
      <c r="AG297" s="264"/>
      <c r="AH297" s="264"/>
      <c r="AI297" s="264"/>
      <c r="AJ297" s="264"/>
      <c r="AK297" s="264"/>
      <c r="AL297" s="264"/>
      <c r="AM297" s="264"/>
      <c r="AN297" s="264"/>
      <c r="AO297" s="264"/>
      <c r="AP297" s="264"/>
      <c r="AQ297" s="264"/>
      <c r="AR297" s="264"/>
      <c r="AS297" s="264"/>
      <c r="AT297" s="264"/>
      <c r="AU297" s="264"/>
      <c r="AV297" s="264"/>
      <c r="AW297" s="264"/>
      <c r="AX297" s="264"/>
      <c r="AY297" s="264"/>
      <c r="AZ297" s="264"/>
      <c r="BA297" s="264"/>
      <c r="BB297" s="264"/>
      <c r="BC297" s="264"/>
      <c r="BD297" s="264"/>
    </row>
    <row r="298">
      <c r="A298" s="264"/>
      <c r="B298" s="264"/>
      <c r="C298" s="264"/>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c r="AA298" s="264"/>
      <c r="AB298" s="264"/>
      <c r="AC298" s="264"/>
      <c r="AD298" s="264"/>
      <c r="AE298" s="264"/>
      <c r="AF298" s="264"/>
      <c r="AG298" s="264"/>
      <c r="AH298" s="264"/>
      <c r="AI298" s="264"/>
      <c r="AJ298" s="264"/>
      <c r="AK298" s="264"/>
      <c r="AL298" s="264"/>
      <c r="AM298" s="264"/>
      <c r="AN298" s="264"/>
      <c r="AO298" s="264"/>
      <c r="AP298" s="264"/>
      <c r="AQ298" s="264"/>
      <c r="AR298" s="264"/>
      <c r="AS298" s="264"/>
      <c r="AT298" s="264"/>
      <c r="AU298" s="264"/>
      <c r="AV298" s="264"/>
      <c r="AW298" s="264"/>
      <c r="AX298" s="264"/>
      <c r="AY298" s="264"/>
      <c r="AZ298" s="264"/>
      <c r="BA298" s="264"/>
      <c r="BB298" s="264"/>
      <c r="BC298" s="264"/>
      <c r="BD298" s="264"/>
    </row>
    <row r="299">
      <c r="A299" s="264"/>
      <c r="B299" s="264"/>
      <c r="C299" s="264"/>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c r="AA299" s="264"/>
      <c r="AB299" s="264"/>
      <c r="AC299" s="264"/>
      <c r="AD299" s="264"/>
      <c r="AE299" s="264"/>
      <c r="AF299" s="264"/>
      <c r="AG299" s="264"/>
      <c r="AH299" s="264"/>
      <c r="AI299" s="264"/>
      <c r="AJ299" s="264"/>
      <c r="AK299" s="264"/>
      <c r="AL299" s="264"/>
      <c r="AM299" s="264"/>
      <c r="AN299" s="264"/>
      <c r="AO299" s="264"/>
      <c r="AP299" s="264"/>
      <c r="AQ299" s="264"/>
      <c r="AR299" s="264"/>
      <c r="AS299" s="264"/>
      <c r="AT299" s="264"/>
      <c r="AU299" s="264"/>
      <c r="AV299" s="264"/>
      <c r="AW299" s="264"/>
      <c r="AX299" s="264"/>
      <c r="AY299" s="264"/>
      <c r="AZ299" s="264"/>
      <c r="BA299" s="264"/>
      <c r="BB299" s="264"/>
      <c r="BC299" s="264"/>
      <c r="BD299" s="264"/>
    </row>
    <row r="300">
      <c r="A300" s="264"/>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c r="AA300" s="264"/>
      <c r="AB300" s="264"/>
      <c r="AC300" s="264"/>
      <c r="AD300" s="264"/>
      <c r="AE300" s="264"/>
      <c r="AF300" s="264"/>
      <c r="AG300" s="264"/>
      <c r="AH300" s="264"/>
      <c r="AI300" s="264"/>
      <c r="AJ300" s="264"/>
      <c r="AK300" s="264"/>
      <c r="AL300" s="264"/>
      <c r="AM300" s="264"/>
      <c r="AN300" s="264"/>
      <c r="AO300" s="264"/>
      <c r="AP300" s="264"/>
      <c r="AQ300" s="264"/>
      <c r="AR300" s="264"/>
      <c r="AS300" s="264"/>
      <c r="AT300" s="264"/>
      <c r="AU300" s="264"/>
      <c r="AV300" s="264"/>
      <c r="AW300" s="264"/>
      <c r="AX300" s="264"/>
      <c r="AY300" s="264"/>
      <c r="AZ300" s="264"/>
      <c r="BA300" s="264"/>
      <c r="BB300" s="264"/>
      <c r="BC300" s="264"/>
      <c r="BD300" s="264"/>
    </row>
    <row r="30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c r="AA301" s="264"/>
      <c r="AB301" s="264"/>
      <c r="AC301" s="264"/>
      <c r="AD301" s="264"/>
      <c r="AE301" s="264"/>
      <c r="AF301" s="264"/>
      <c r="AG301" s="264"/>
      <c r="AH301" s="264"/>
      <c r="AI301" s="264"/>
      <c r="AJ301" s="264"/>
      <c r="AK301" s="264"/>
      <c r="AL301" s="264"/>
      <c r="AM301" s="264"/>
      <c r="AN301" s="264"/>
      <c r="AO301" s="264"/>
      <c r="AP301" s="264"/>
      <c r="AQ301" s="264"/>
      <c r="AR301" s="264"/>
      <c r="AS301" s="264"/>
      <c r="AT301" s="264"/>
      <c r="AU301" s="264"/>
      <c r="AV301" s="264"/>
      <c r="AW301" s="264"/>
      <c r="AX301" s="264"/>
      <c r="AY301" s="264"/>
      <c r="AZ301" s="264"/>
      <c r="BA301" s="264"/>
      <c r="BB301" s="264"/>
      <c r="BC301" s="264"/>
      <c r="BD301" s="264"/>
    </row>
    <row r="302">
      <c r="A302" s="264"/>
      <c r="B302" s="264"/>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c r="AA302" s="264"/>
      <c r="AB302" s="264"/>
      <c r="AC302" s="264"/>
      <c r="AD302" s="264"/>
      <c r="AE302" s="264"/>
      <c r="AF302" s="264"/>
      <c r="AG302" s="264"/>
      <c r="AH302" s="264"/>
      <c r="AI302" s="264"/>
      <c r="AJ302" s="264"/>
      <c r="AK302" s="264"/>
      <c r="AL302" s="264"/>
      <c r="AM302" s="264"/>
      <c r="AN302" s="264"/>
      <c r="AO302" s="264"/>
      <c r="AP302" s="264"/>
      <c r="AQ302" s="264"/>
      <c r="AR302" s="264"/>
      <c r="AS302" s="264"/>
      <c r="AT302" s="264"/>
      <c r="AU302" s="264"/>
      <c r="AV302" s="264"/>
      <c r="AW302" s="264"/>
      <c r="AX302" s="264"/>
      <c r="AY302" s="264"/>
      <c r="AZ302" s="264"/>
      <c r="BA302" s="264"/>
      <c r="BB302" s="264"/>
      <c r="BC302" s="264"/>
      <c r="BD302" s="264"/>
    </row>
    <row r="303">
      <c r="A303" s="264"/>
      <c r="B303" s="264"/>
      <c r="C303" s="264"/>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c r="AA303" s="264"/>
      <c r="AB303" s="264"/>
      <c r="AC303" s="264"/>
      <c r="AD303" s="264"/>
      <c r="AE303" s="264"/>
      <c r="AF303" s="264"/>
      <c r="AG303" s="264"/>
      <c r="AH303" s="264"/>
      <c r="AI303" s="264"/>
      <c r="AJ303" s="264"/>
      <c r="AK303" s="264"/>
      <c r="AL303" s="264"/>
      <c r="AM303" s="264"/>
      <c r="AN303" s="264"/>
      <c r="AO303" s="264"/>
      <c r="AP303" s="264"/>
      <c r="AQ303" s="264"/>
      <c r="AR303" s="264"/>
      <c r="AS303" s="264"/>
      <c r="AT303" s="264"/>
      <c r="AU303" s="264"/>
      <c r="AV303" s="264"/>
      <c r="AW303" s="264"/>
      <c r="AX303" s="264"/>
      <c r="AY303" s="264"/>
      <c r="AZ303" s="264"/>
      <c r="BA303" s="264"/>
      <c r="BB303" s="264"/>
      <c r="BC303" s="264"/>
      <c r="BD303" s="264"/>
    </row>
    <row r="304">
      <c r="A304" s="264"/>
      <c r="B304" s="264"/>
      <c r="C304" s="264"/>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c r="AA304" s="264"/>
      <c r="AB304" s="264"/>
      <c r="AC304" s="264"/>
      <c r="AD304" s="264"/>
      <c r="AE304" s="264"/>
      <c r="AF304" s="264"/>
      <c r="AG304" s="264"/>
      <c r="AH304" s="264"/>
      <c r="AI304" s="264"/>
      <c r="AJ304" s="264"/>
      <c r="AK304" s="264"/>
      <c r="AL304" s="264"/>
      <c r="AM304" s="264"/>
      <c r="AN304" s="264"/>
      <c r="AO304" s="264"/>
      <c r="AP304" s="264"/>
      <c r="AQ304" s="264"/>
      <c r="AR304" s="264"/>
      <c r="AS304" s="264"/>
      <c r="AT304" s="264"/>
      <c r="AU304" s="264"/>
      <c r="AV304" s="264"/>
      <c r="AW304" s="264"/>
      <c r="AX304" s="264"/>
      <c r="AY304" s="264"/>
      <c r="AZ304" s="264"/>
      <c r="BA304" s="264"/>
      <c r="BB304" s="264"/>
      <c r="BC304" s="264"/>
      <c r="BD304" s="264"/>
    </row>
    <row r="305">
      <c r="A305" s="264"/>
      <c r="B305" s="264"/>
      <c r="C305" s="264"/>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c r="AA305" s="264"/>
      <c r="AB305" s="264"/>
      <c r="AC305" s="264"/>
      <c r="AD305" s="264"/>
      <c r="AE305" s="264"/>
      <c r="AF305" s="264"/>
      <c r="AG305" s="264"/>
      <c r="AH305" s="264"/>
      <c r="AI305" s="264"/>
      <c r="AJ305" s="264"/>
      <c r="AK305" s="264"/>
      <c r="AL305" s="264"/>
      <c r="AM305" s="264"/>
      <c r="AN305" s="264"/>
      <c r="AO305" s="264"/>
      <c r="AP305" s="264"/>
      <c r="AQ305" s="264"/>
      <c r="AR305" s="264"/>
      <c r="AS305" s="264"/>
      <c r="AT305" s="264"/>
      <c r="AU305" s="264"/>
      <c r="AV305" s="264"/>
      <c r="AW305" s="264"/>
      <c r="AX305" s="264"/>
      <c r="AY305" s="264"/>
      <c r="AZ305" s="264"/>
      <c r="BA305" s="264"/>
      <c r="BB305" s="264"/>
      <c r="BC305" s="264"/>
      <c r="BD305" s="264"/>
    </row>
    <row r="306">
      <c r="A306" s="264"/>
      <c r="B306" s="264"/>
      <c r="C306" s="264"/>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c r="AA306" s="264"/>
      <c r="AB306" s="264"/>
      <c r="AC306" s="264"/>
      <c r="AD306" s="264"/>
      <c r="AE306" s="264"/>
      <c r="AF306" s="264"/>
      <c r="AG306" s="264"/>
      <c r="AH306" s="264"/>
      <c r="AI306" s="264"/>
      <c r="AJ306" s="264"/>
      <c r="AK306" s="264"/>
      <c r="AL306" s="264"/>
      <c r="AM306" s="264"/>
      <c r="AN306" s="264"/>
      <c r="AO306" s="264"/>
      <c r="AP306" s="264"/>
      <c r="AQ306" s="264"/>
      <c r="AR306" s="264"/>
      <c r="AS306" s="264"/>
      <c r="AT306" s="264"/>
      <c r="AU306" s="264"/>
      <c r="AV306" s="264"/>
      <c r="AW306" s="264"/>
      <c r="AX306" s="264"/>
      <c r="AY306" s="264"/>
      <c r="AZ306" s="264"/>
      <c r="BA306" s="264"/>
      <c r="BB306" s="264"/>
      <c r="BC306" s="264"/>
      <c r="BD306" s="264"/>
    </row>
    <row r="307">
      <c r="A307" s="264"/>
      <c r="B307" s="264"/>
      <c r="C307" s="264"/>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c r="AA307" s="264"/>
      <c r="AB307" s="264"/>
      <c r="AC307" s="264"/>
      <c r="AD307" s="264"/>
      <c r="AE307" s="264"/>
      <c r="AF307" s="264"/>
      <c r="AG307" s="264"/>
      <c r="AH307" s="264"/>
      <c r="AI307" s="264"/>
      <c r="AJ307" s="264"/>
      <c r="AK307" s="264"/>
      <c r="AL307" s="264"/>
      <c r="AM307" s="264"/>
      <c r="AN307" s="264"/>
      <c r="AO307" s="264"/>
      <c r="AP307" s="264"/>
      <c r="AQ307" s="264"/>
      <c r="AR307" s="264"/>
      <c r="AS307" s="264"/>
      <c r="AT307" s="264"/>
      <c r="AU307" s="264"/>
      <c r="AV307" s="264"/>
      <c r="AW307" s="264"/>
      <c r="AX307" s="264"/>
      <c r="AY307" s="264"/>
      <c r="AZ307" s="264"/>
      <c r="BA307" s="264"/>
      <c r="BB307" s="264"/>
      <c r="BC307" s="264"/>
      <c r="BD307" s="264"/>
    </row>
    <row r="308">
      <c r="A308" s="264"/>
      <c r="B308" s="264"/>
      <c r="C308" s="264"/>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c r="AA308" s="264"/>
      <c r="AB308" s="264"/>
      <c r="AC308" s="264"/>
      <c r="AD308" s="264"/>
      <c r="AE308" s="264"/>
      <c r="AF308" s="264"/>
      <c r="AG308" s="264"/>
      <c r="AH308" s="264"/>
      <c r="AI308" s="264"/>
      <c r="AJ308" s="264"/>
      <c r="AK308" s="264"/>
      <c r="AL308" s="264"/>
      <c r="AM308" s="264"/>
      <c r="AN308" s="264"/>
      <c r="AO308" s="264"/>
      <c r="AP308" s="264"/>
      <c r="AQ308" s="264"/>
      <c r="AR308" s="264"/>
      <c r="AS308" s="264"/>
      <c r="AT308" s="264"/>
      <c r="AU308" s="264"/>
      <c r="AV308" s="264"/>
      <c r="AW308" s="264"/>
      <c r="AX308" s="264"/>
      <c r="AY308" s="264"/>
      <c r="AZ308" s="264"/>
      <c r="BA308" s="264"/>
      <c r="BB308" s="264"/>
      <c r="BC308" s="264"/>
      <c r="BD308" s="264"/>
    </row>
    <row r="309">
      <c r="A309" s="264"/>
      <c r="B309" s="264"/>
      <c r="C309" s="264"/>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4"/>
      <c r="AY309" s="264"/>
      <c r="AZ309" s="264"/>
      <c r="BA309" s="264"/>
      <c r="BB309" s="264"/>
      <c r="BC309" s="264"/>
      <c r="BD309" s="264"/>
    </row>
    <row r="310">
      <c r="A310" s="264"/>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c r="AA310" s="264"/>
      <c r="AB310" s="264"/>
      <c r="AC310" s="264"/>
      <c r="AD310" s="264"/>
      <c r="AE310" s="264"/>
      <c r="AF310" s="264"/>
      <c r="AG310" s="264"/>
      <c r="AH310" s="264"/>
      <c r="AI310" s="264"/>
      <c r="AJ310" s="264"/>
      <c r="AK310" s="264"/>
      <c r="AL310" s="264"/>
      <c r="AM310" s="264"/>
      <c r="AN310" s="264"/>
      <c r="AO310" s="264"/>
      <c r="AP310" s="264"/>
      <c r="AQ310" s="264"/>
      <c r="AR310" s="264"/>
      <c r="AS310" s="264"/>
      <c r="AT310" s="264"/>
      <c r="AU310" s="264"/>
      <c r="AV310" s="264"/>
      <c r="AW310" s="264"/>
      <c r="AX310" s="264"/>
      <c r="AY310" s="264"/>
      <c r="AZ310" s="264"/>
      <c r="BA310" s="264"/>
      <c r="BB310" s="264"/>
      <c r="BC310" s="264"/>
      <c r="BD310" s="264"/>
    </row>
    <row r="31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c r="AA311" s="264"/>
      <c r="AB311" s="264"/>
      <c r="AC311" s="264"/>
      <c r="AD311" s="264"/>
      <c r="AE311" s="264"/>
      <c r="AF311" s="264"/>
      <c r="AG311" s="264"/>
      <c r="AH311" s="264"/>
      <c r="AI311" s="264"/>
      <c r="AJ311" s="264"/>
      <c r="AK311" s="264"/>
      <c r="AL311" s="264"/>
      <c r="AM311" s="264"/>
      <c r="AN311" s="264"/>
      <c r="AO311" s="264"/>
      <c r="AP311" s="264"/>
      <c r="AQ311" s="264"/>
      <c r="AR311" s="264"/>
      <c r="AS311" s="264"/>
      <c r="AT311" s="264"/>
      <c r="AU311" s="264"/>
      <c r="AV311" s="264"/>
      <c r="AW311" s="264"/>
      <c r="AX311" s="264"/>
      <c r="AY311" s="264"/>
      <c r="AZ311" s="264"/>
      <c r="BA311" s="264"/>
      <c r="BB311" s="264"/>
      <c r="BC311" s="264"/>
      <c r="BD311" s="264"/>
    </row>
    <row r="312">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64"/>
      <c r="AH312" s="264"/>
      <c r="AI312" s="264"/>
      <c r="AJ312" s="264"/>
      <c r="AK312" s="264"/>
      <c r="AL312" s="264"/>
      <c r="AM312" s="264"/>
      <c r="AN312" s="264"/>
      <c r="AO312" s="264"/>
      <c r="AP312" s="264"/>
      <c r="AQ312" s="264"/>
      <c r="AR312" s="264"/>
      <c r="AS312" s="264"/>
      <c r="AT312" s="264"/>
      <c r="AU312" s="264"/>
      <c r="AV312" s="264"/>
      <c r="AW312" s="264"/>
      <c r="AX312" s="264"/>
      <c r="AY312" s="264"/>
      <c r="AZ312" s="264"/>
      <c r="BA312" s="264"/>
      <c r="BB312" s="264"/>
      <c r="BC312" s="264"/>
      <c r="BD312" s="264"/>
    </row>
    <row r="313">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c r="AA313" s="264"/>
      <c r="AB313" s="264"/>
      <c r="AC313" s="264"/>
      <c r="AD313" s="264"/>
      <c r="AE313" s="264"/>
      <c r="AF313" s="264"/>
      <c r="AG313" s="264"/>
      <c r="AH313" s="264"/>
      <c r="AI313" s="264"/>
      <c r="AJ313" s="264"/>
      <c r="AK313" s="264"/>
      <c r="AL313" s="264"/>
      <c r="AM313" s="264"/>
      <c r="AN313" s="264"/>
      <c r="AO313" s="264"/>
      <c r="AP313" s="264"/>
      <c r="AQ313" s="264"/>
      <c r="AR313" s="264"/>
      <c r="AS313" s="264"/>
      <c r="AT313" s="264"/>
      <c r="AU313" s="264"/>
      <c r="AV313" s="264"/>
      <c r="AW313" s="264"/>
      <c r="AX313" s="264"/>
      <c r="AY313" s="264"/>
      <c r="AZ313" s="264"/>
      <c r="BA313" s="264"/>
      <c r="BB313" s="264"/>
      <c r="BC313" s="264"/>
      <c r="BD313" s="264"/>
    </row>
    <row r="314">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c r="AA314" s="264"/>
      <c r="AB314" s="264"/>
      <c r="AC314" s="264"/>
      <c r="AD314" s="264"/>
      <c r="AE314" s="264"/>
      <c r="AF314" s="264"/>
      <c r="AG314" s="264"/>
      <c r="AH314" s="264"/>
      <c r="AI314" s="264"/>
      <c r="AJ314" s="264"/>
      <c r="AK314" s="264"/>
      <c r="AL314" s="264"/>
      <c r="AM314" s="264"/>
      <c r="AN314" s="264"/>
      <c r="AO314" s="264"/>
      <c r="AP314" s="264"/>
      <c r="AQ314" s="264"/>
      <c r="AR314" s="264"/>
      <c r="AS314" s="264"/>
      <c r="AT314" s="264"/>
      <c r="AU314" s="264"/>
      <c r="AV314" s="264"/>
      <c r="AW314" s="264"/>
      <c r="AX314" s="264"/>
      <c r="AY314" s="264"/>
      <c r="AZ314" s="264"/>
      <c r="BA314" s="264"/>
      <c r="BB314" s="264"/>
      <c r="BC314" s="264"/>
      <c r="BD314" s="264"/>
    </row>
    <row r="315">
      <c r="A315" s="264"/>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c r="AA315" s="264"/>
      <c r="AB315" s="264"/>
      <c r="AC315" s="264"/>
      <c r="AD315" s="264"/>
      <c r="AE315" s="264"/>
      <c r="AF315" s="264"/>
      <c r="AG315" s="264"/>
      <c r="AH315" s="264"/>
      <c r="AI315" s="264"/>
      <c r="AJ315" s="264"/>
      <c r="AK315" s="264"/>
      <c r="AL315" s="264"/>
      <c r="AM315" s="264"/>
      <c r="AN315" s="264"/>
      <c r="AO315" s="264"/>
      <c r="AP315" s="264"/>
      <c r="AQ315" s="264"/>
      <c r="AR315" s="264"/>
      <c r="AS315" s="264"/>
      <c r="AT315" s="264"/>
      <c r="AU315" s="264"/>
      <c r="AV315" s="264"/>
      <c r="AW315" s="264"/>
      <c r="AX315" s="264"/>
      <c r="AY315" s="264"/>
      <c r="AZ315" s="264"/>
      <c r="BA315" s="264"/>
      <c r="BB315" s="264"/>
      <c r="BC315" s="264"/>
      <c r="BD315" s="264"/>
    </row>
    <row r="316">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c r="AA316" s="264"/>
      <c r="AB316" s="264"/>
      <c r="AC316" s="264"/>
      <c r="AD316" s="264"/>
      <c r="AE316" s="264"/>
      <c r="AF316" s="264"/>
      <c r="AG316" s="264"/>
      <c r="AH316" s="264"/>
      <c r="AI316" s="264"/>
      <c r="AJ316" s="264"/>
      <c r="AK316" s="264"/>
      <c r="AL316" s="264"/>
      <c r="AM316" s="264"/>
      <c r="AN316" s="264"/>
      <c r="AO316" s="264"/>
      <c r="AP316" s="264"/>
      <c r="AQ316" s="264"/>
      <c r="AR316" s="264"/>
      <c r="AS316" s="264"/>
      <c r="AT316" s="264"/>
      <c r="AU316" s="264"/>
      <c r="AV316" s="264"/>
      <c r="AW316" s="264"/>
      <c r="AX316" s="264"/>
      <c r="AY316" s="264"/>
      <c r="AZ316" s="264"/>
      <c r="BA316" s="264"/>
      <c r="BB316" s="264"/>
      <c r="BC316" s="264"/>
      <c r="BD316" s="264"/>
    </row>
    <row r="317">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c r="AA317" s="264"/>
      <c r="AB317" s="264"/>
      <c r="AC317" s="264"/>
      <c r="AD317" s="264"/>
      <c r="AE317" s="264"/>
      <c r="AF317" s="264"/>
      <c r="AG317" s="264"/>
      <c r="AH317" s="264"/>
      <c r="AI317" s="264"/>
      <c r="AJ317" s="264"/>
      <c r="AK317" s="264"/>
      <c r="AL317" s="264"/>
      <c r="AM317" s="264"/>
      <c r="AN317" s="264"/>
      <c r="AO317" s="264"/>
      <c r="AP317" s="264"/>
      <c r="AQ317" s="264"/>
      <c r="AR317" s="264"/>
      <c r="AS317" s="264"/>
      <c r="AT317" s="264"/>
      <c r="AU317" s="264"/>
      <c r="AV317" s="264"/>
      <c r="AW317" s="264"/>
      <c r="AX317" s="264"/>
      <c r="AY317" s="264"/>
      <c r="AZ317" s="264"/>
      <c r="BA317" s="264"/>
      <c r="BB317" s="264"/>
      <c r="BC317" s="264"/>
      <c r="BD317" s="264"/>
    </row>
    <row r="318">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c r="AA318" s="264"/>
      <c r="AB318" s="264"/>
      <c r="AC318" s="264"/>
      <c r="AD318" s="264"/>
      <c r="AE318" s="264"/>
      <c r="AF318" s="264"/>
      <c r="AG318" s="264"/>
      <c r="AH318" s="264"/>
      <c r="AI318" s="264"/>
      <c r="AJ318" s="264"/>
      <c r="AK318" s="264"/>
      <c r="AL318" s="264"/>
      <c r="AM318" s="264"/>
      <c r="AN318" s="264"/>
      <c r="AO318" s="264"/>
      <c r="AP318" s="264"/>
      <c r="AQ318" s="264"/>
      <c r="AR318" s="264"/>
      <c r="AS318" s="264"/>
      <c r="AT318" s="264"/>
      <c r="AU318" s="264"/>
      <c r="AV318" s="264"/>
      <c r="AW318" s="264"/>
      <c r="AX318" s="264"/>
      <c r="AY318" s="264"/>
      <c r="AZ318" s="264"/>
      <c r="BA318" s="264"/>
      <c r="BB318" s="264"/>
      <c r="BC318" s="264"/>
      <c r="BD318" s="264"/>
    </row>
    <row r="319">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c r="AA319" s="264"/>
      <c r="AB319" s="264"/>
      <c r="AC319" s="264"/>
      <c r="AD319" s="264"/>
      <c r="AE319" s="264"/>
      <c r="AF319" s="264"/>
      <c r="AG319" s="264"/>
      <c r="AH319" s="264"/>
      <c r="AI319" s="264"/>
      <c r="AJ319" s="264"/>
      <c r="AK319" s="264"/>
      <c r="AL319" s="264"/>
      <c r="AM319" s="264"/>
      <c r="AN319" s="264"/>
      <c r="AO319" s="264"/>
      <c r="AP319" s="264"/>
      <c r="AQ319" s="264"/>
      <c r="AR319" s="264"/>
      <c r="AS319" s="264"/>
      <c r="AT319" s="264"/>
      <c r="AU319" s="264"/>
      <c r="AV319" s="264"/>
      <c r="AW319" s="264"/>
      <c r="AX319" s="264"/>
      <c r="AY319" s="264"/>
      <c r="AZ319" s="264"/>
      <c r="BA319" s="264"/>
      <c r="BB319" s="264"/>
      <c r="BC319" s="264"/>
      <c r="BD319" s="264"/>
    </row>
    <row r="320">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c r="AA320" s="264"/>
      <c r="AB320" s="264"/>
      <c r="AC320" s="264"/>
      <c r="AD320" s="264"/>
      <c r="AE320" s="264"/>
      <c r="AF320" s="264"/>
      <c r="AG320" s="264"/>
      <c r="AH320" s="264"/>
      <c r="AI320" s="264"/>
      <c r="AJ320" s="264"/>
      <c r="AK320" s="264"/>
      <c r="AL320" s="264"/>
      <c r="AM320" s="264"/>
      <c r="AN320" s="264"/>
      <c r="AO320" s="264"/>
      <c r="AP320" s="264"/>
      <c r="AQ320" s="264"/>
      <c r="AR320" s="264"/>
      <c r="AS320" s="264"/>
      <c r="AT320" s="264"/>
      <c r="AU320" s="264"/>
      <c r="AV320" s="264"/>
      <c r="AW320" s="264"/>
      <c r="AX320" s="264"/>
      <c r="AY320" s="264"/>
      <c r="AZ320" s="264"/>
      <c r="BA320" s="264"/>
      <c r="BB320" s="264"/>
      <c r="BC320" s="264"/>
      <c r="BD320" s="264"/>
    </row>
    <row r="32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c r="AA321" s="264"/>
      <c r="AB321" s="264"/>
      <c r="AC321" s="264"/>
      <c r="AD321" s="264"/>
      <c r="AE321" s="264"/>
      <c r="AF321" s="264"/>
      <c r="AG321" s="264"/>
      <c r="AH321" s="264"/>
      <c r="AI321" s="264"/>
      <c r="AJ321" s="264"/>
      <c r="AK321" s="264"/>
      <c r="AL321" s="264"/>
      <c r="AM321" s="264"/>
      <c r="AN321" s="264"/>
      <c r="AO321" s="264"/>
      <c r="AP321" s="264"/>
      <c r="AQ321" s="264"/>
      <c r="AR321" s="264"/>
      <c r="AS321" s="264"/>
      <c r="AT321" s="264"/>
      <c r="AU321" s="264"/>
      <c r="AV321" s="264"/>
      <c r="AW321" s="264"/>
      <c r="AX321" s="264"/>
      <c r="AY321" s="264"/>
      <c r="AZ321" s="264"/>
      <c r="BA321" s="264"/>
      <c r="BB321" s="264"/>
      <c r="BC321" s="264"/>
      <c r="BD321" s="264"/>
    </row>
    <row r="322">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64"/>
      <c r="AH322" s="264"/>
      <c r="AI322" s="264"/>
      <c r="AJ322" s="264"/>
      <c r="AK322" s="264"/>
      <c r="AL322" s="264"/>
      <c r="AM322" s="264"/>
      <c r="AN322" s="264"/>
      <c r="AO322" s="264"/>
      <c r="AP322" s="264"/>
      <c r="AQ322" s="264"/>
      <c r="AR322" s="264"/>
      <c r="AS322" s="264"/>
      <c r="AT322" s="264"/>
      <c r="AU322" s="264"/>
      <c r="AV322" s="264"/>
      <c r="AW322" s="264"/>
      <c r="AX322" s="264"/>
      <c r="AY322" s="264"/>
      <c r="AZ322" s="264"/>
      <c r="BA322" s="264"/>
      <c r="BB322" s="264"/>
      <c r="BC322" s="264"/>
      <c r="BD322" s="264"/>
    </row>
    <row r="323">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c r="AA323" s="264"/>
      <c r="AB323" s="264"/>
      <c r="AC323" s="264"/>
      <c r="AD323" s="264"/>
      <c r="AE323" s="264"/>
      <c r="AF323" s="264"/>
      <c r="AG323" s="264"/>
      <c r="AH323" s="264"/>
      <c r="AI323" s="264"/>
      <c r="AJ323" s="264"/>
      <c r="AK323" s="264"/>
      <c r="AL323" s="264"/>
      <c r="AM323" s="264"/>
      <c r="AN323" s="264"/>
      <c r="AO323" s="264"/>
      <c r="AP323" s="264"/>
      <c r="AQ323" s="264"/>
      <c r="AR323" s="264"/>
      <c r="AS323" s="264"/>
      <c r="AT323" s="264"/>
      <c r="AU323" s="264"/>
      <c r="AV323" s="264"/>
      <c r="AW323" s="264"/>
      <c r="AX323" s="264"/>
      <c r="AY323" s="264"/>
      <c r="AZ323" s="264"/>
      <c r="BA323" s="264"/>
      <c r="BB323" s="264"/>
      <c r="BC323" s="264"/>
      <c r="BD323" s="264"/>
    </row>
    <row r="324">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c r="AA324" s="264"/>
      <c r="AB324" s="264"/>
      <c r="AC324" s="264"/>
      <c r="AD324" s="264"/>
      <c r="AE324" s="264"/>
      <c r="AF324" s="264"/>
      <c r="AG324" s="264"/>
      <c r="AH324" s="264"/>
      <c r="AI324" s="264"/>
      <c r="AJ324" s="264"/>
      <c r="AK324" s="264"/>
      <c r="AL324" s="264"/>
      <c r="AM324" s="264"/>
      <c r="AN324" s="264"/>
      <c r="AO324" s="264"/>
      <c r="AP324" s="264"/>
      <c r="AQ324" s="264"/>
      <c r="AR324" s="264"/>
      <c r="AS324" s="264"/>
      <c r="AT324" s="264"/>
      <c r="AU324" s="264"/>
      <c r="AV324" s="264"/>
      <c r="AW324" s="264"/>
      <c r="AX324" s="264"/>
      <c r="AY324" s="264"/>
      <c r="AZ324" s="264"/>
      <c r="BA324" s="264"/>
      <c r="BB324" s="264"/>
      <c r="BC324" s="264"/>
      <c r="BD324" s="264"/>
    </row>
    <row r="325">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c r="AA325" s="264"/>
      <c r="AB325" s="264"/>
      <c r="AC325" s="264"/>
      <c r="AD325" s="264"/>
      <c r="AE325" s="264"/>
      <c r="AF325" s="264"/>
      <c r="AG325" s="264"/>
      <c r="AH325" s="264"/>
      <c r="AI325" s="264"/>
      <c r="AJ325" s="264"/>
      <c r="AK325" s="264"/>
      <c r="AL325" s="264"/>
      <c r="AM325" s="264"/>
      <c r="AN325" s="264"/>
      <c r="AO325" s="264"/>
      <c r="AP325" s="264"/>
      <c r="AQ325" s="264"/>
      <c r="AR325" s="264"/>
      <c r="AS325" s="264"/>
      <c r="AT325" s="264"/>
      <c r="AU325" s="264"/>
      <c r="AV325" s="264"/>
      <c r="AW325" s="264"/>
      <c r="AX325" s="264"/>
      <c r="AY325" s="264"/>
      <c r="AZ325" s="264"/>
      <c r="BA325" s="264"/>
      <c r="BB325" s="264"/>
      <c r="BC325" s="264"/>
      <c r="BD325" s="264"/>
    </row>
    <row r="326">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c r="AA326" s="264"/>
      <c r="AB326" s="264"/>
      <c r="AC326" s="264"/>
      <c r="AD326" s="264"/>
      <c r="AE326" s="264"/>
      <c r="AF326" s="264"/>
      <c r="AG326" s="264"/>
      <c r="AH326" s="264"/>
      <c r="AI326" s="264"/>
      <c r="AJ326" s="264"/>
      <c r="AK326" s="264"/>
      <c r="AL326" s="264"/>
      <c r="AM326" s="264"/>
      <c r="AN326" s="264"/>
      <c r="AO326" s="264"/>
      <c r="AP326" s="264"/>
      <c r="AQ326" s="264"/>
      <c r="AR326" s="264"/>
      <c r="AS326" s="264"/>
      <c r="AT326" s="264"/>
      <c r="AU326" s="264"/>
      <c r="AV326" s="264"/>
      <c r="AW326" s="264"/>
      <c r="AX326" s="264"/>
      <c r="AY326" s="264"/>
      <c r="AZ326" s="264"/>
      <c r="BA326" s="264"/>
      <c r="BB326" s="264"/>
      <c r="BC326" s="264"/>
      <c r="BD326" s="264"/>
    </row>
    <row r="327">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c r="AA327" s="264"/>
      <c r="AB327" s="264"/>
      <c r="AC327" s="264"/>
      <c r="AD327" s="264"/>
      <c r="AE327" s="264"/>
      <c r="AF327" s="264"/>
      <c r="AG327" s="264"/>
      <c r="AH327" s="264"/>
      <c r="AI327" s="264"/>
      <c r="AJ327" s="264"/>
      <c r="AK327" s="264"/>
      <c r="AL327" s="264"/>
      <c r="AM327" s="264"/>
      <c r="AN327" s="264"/>
      <c r="AO327" s="264"/>
      <c r="AP327" s="264"/>
      <c r="AQ327" s="264"/>
      <c r="AR327" s="264"/>
      <c r="AS327" s="264"/>
      <c r="AT327" s="264"/>
      <c r="AU327" s="264"/>
      <c r="AV327" s="264"/>
      <c r="AW327" s="264"/>
      <c r="AX327" s="264"/>
      <c r="AY327" s="264"/>
      <c r="AZ327" s="264"/>
      <c r="BA327" s="264"/>
      <c r="BB327" s="264"/>
      <c r="BC327" s="264"/>
      <c r="BD327" s="264"/>
    </row>
    <row r="328">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c r="AA328" s="264"/>
      <c r="AB328" s="264"/>
      <c r="AC328" s="264"/>
      <c r="AD328" s="264"/>
      <c r="AE328" s="264"/>
      <c r="AF328" s="264"/>
      <c r="AG328" s="264"/>
      <c r="AH328" s="264"/>
      <c r="AI328" s="264"/>
      <c r="AJ328" s="264"/>
      <c r="AK328" s="264"/>
      <c r="AL328" s="264"/>
      <c r="AM328" s="264"/>
      <c r="AN328" s="264"/>
      <c r="AO328" s="264"/>
      <c r="AP328" s="264"/>
      <c r="AQ328" s="264"/>
      <c r="AR328" s="264"/>
      <c r="AS328" s="264"/>
      <c r="AT328" s="264"/>
      <c r="AU328" s="264"/>
      <c r="AV328" s="264"/>
      <c r="AW328" s="264"/>
      <c r="AX328" s="264"/>
      <c r="AY328" s="264"/>
      <c r="AZ328" s="264"/>
      <c r="BA328" s="264"/>
      <c r="BB328" s="264"/>
      <c r="BC328" s="264"/>
      <c r="BD328" s="264"/>
    </row>
    <row r="329">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c r="AA329" s="264"/>
      <c r="AB329" s="264"/>
      <c r="AC329" s="264"/>
      <c r="AD329" s="264"/>
      <c r="AE329" s="264"/>
      <c r="AF329" s="264"/>
      <c r="AG329" s="264"/>
      <c r="AH329" s="264"/>
      <c r="AI329" s="264"/>
      <c r="AJ329" s="264"/>
      <c r="AK329" s="264"/>
      <c r="AL329" s="264"/>
      <c r="AM329" s="264"/>
      <c r="AN329" s="264"/>
      <c r="AO329" s="264"/>
      <c r="AP329" s="264"/>
      <c r="AQ329" s="264"/>
      <c r="AR329" s="264"/>
      <c r="AS329" s="264"/>
      <c r="AT329" s="264"/>
      <c r="AU329" s="264"/>
      <c r="AV329" s="264"/>
      <c r="AW329" s="264"/>
      <c r="AX329" s="264"/>
      <c r="AY329" s="264"/>
      <c r="AZ329" s="264"/>
      <c r="BA329" s="264"/>
      <c r="BB329" s="264"/>
      <c r="BC329" s="264"/>
      <c r="BD329" s="264"/>
    </row>
    <row r="330">
      <c r="A330" s="264"/>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c r="AA330" s="264"/>
      <c r="AB330" s="264"/>
      <c r="AC330" s="264"/>
      <c r="AD330" s="264"/>
      <c r="AE330" s="264"/>
      <c r="AF330" s="264"/>
      <c r="AG330" s="264"/>
      <c r="AH330" s="264"/>
      <c r="AI330" s="264"/>
      <c r="AJ330" s="264"/>
      <c r="AK330" s="264"/>
      <c r="AL330" s="264"/>
      <c r="AM330" s="264"/>
      <c r="AN330" s="264"/>
      <c r="AO330" s="264"/>
      <c r="AP330" s="264"/>
      <c r="AQ330" s="264"/>
      <c r="AR330" s="264"/>
      <c r="AS330" s="264"/>
      <c r="AT330" s="264"/>
      <c r="AU330" s="264"/>
      <c r="AV330" s="264"/>
      <c r="AW330" s="264"/>
      <c r="AX330" s="264"/>
      <c r="AY330" s="264"/>
      <c r="AZ330" s="264"/>
      <c r="BA330" s="264"/>
      <c r="BB330" s="264"/>
      <c r="BC330" s="264"/>
      <c r="BD330" s="264"/>
    </row>
    <row r="33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c r="AA331" s="264"/>
      <c r="AB331" s="264"/>
      <c r="AC331" s="264"/>
      <c r="AD331" s="264"/>
      <c r="AE331" s="264"/>
      <c r="AF331" s="264"/>
      <c r="AG331" s="264"/>
      <c r="AH331" s="264"/>
      <c r="AI331" s="264"/>
      <c r="AJ331" s="264"/>
      <c r="AK331" s="264"/>
      <c r="AL331" s="264"/>
      <c r="AM331" s="264"/>
      <c r="AN331" s="264"/>
      <c r="AO331" s="264"/>
      <c r="AP331" s="264"/>
      <c r="AQ331" s="264"/>
      <c r="AR331" s="264"/>
      <c r="AS331" s="264"/>
      <c r="AT331" s="264"/>
      <c r="AU331" s="264"/>
      <c r="AV331" s="264"/>
      <c r="AW331" s="264"/>
      <c r="AX331" s="264"/>
      <c r="AY331" s="264"/>
      <c r="AZ331" s="264"/>
      <c r="BA331" s="264"/>
      <c r="BB331" s="264"/>
      <c r="BC331" s="264"/>
      <c r="BD331" s="264"/>
    </row>
    <row r="332">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64"/>
      <c r="AH332" s="264"/>
      <c r="AI332" s="264"/>
      <c r="AJ332" s="264"/>
      <c r="AK332" s="264"/>
      <c r="AL332" s="264"/>
      <c r="AM332" s="264"/>
      <c r="AN332" s="264"/>
      <c r="AO332" s="264"/>
      <c r="AP332" s="264"/>
      <c r="AQ332" s="264"/>
      <c r="AR332" s="264"/>
      <c r="AS332" s="264"/>
      <c r="AT332" s="264"/>
      <c r="AU332" s="264"/>
      <c r="AV332" s="264"/>
      <c r="AW332" s="264"/>
      <c r="AX332" s="264"/>
      <c r="AY332" s="264"/>
      <c r="AZ332" s="264"/>
      <c r="BA332" s="264"/>
      <c r="BB332" s="264"/>
      <c r="BC332" s="264"/>
      <c r="BD332" s="264"/>
    </row>
    <row r="333">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c r="AA333" s="264"/>
      <c r="AB333" s="264"/>
      <c r="AC333" s="264"/>
      <c r="AD333" s="264"/>
      <c r="AE333" s="264"/>
      <c r="AF333" s="264"/>
      <c r="AG333" s="264"/>
      <c r="AH333" s="264"/>
      <c r="AI333" s="264"/>
      <c r="AJ333" s="264"/>
      <c r="AK333" s="264"/>
      <c r="AL333" s="264"/>
      <c r="AM333" s="264"/>
      <c r="AN333" s="264"/>
      <c r="AO333" s="264"/>
      <c r="AP333" s="264"/>
      <c r="AQ333" s="264"/>
      <c r="AR333" s="264"/>
      <c r="AS333" s="264"/>
      <c r="AT333" s="264"/>
      <c r="AU333" s="264"/>
      <c r="AV333" s="264"/>
      <c r="AW333" s="264"/>
      <c r="AX333" s="264"/>
      <c r="AY333" s="264"/>
      <c r="AZ333" s="264"/>
      <c r="BA333" s="264"/>
      <c r="BB333" s="264"/>
      <c r="BC333" s="264"/>
      <c r="BD333" s="264"/>
    </row>
    <row r="334">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c r="AA334" s="264"/>
      <c r="AB334" s="264"/>
      <c r="AC334" s="264"/>
      <c r="AD334" s="264"/>
      <c r="AE334" s="264"/>
      <c r="AF334" s="264"/>
      <c r="AG334" s="264"/>
      <c r="AH334" s="264"/>
      <c r="AI334" s="264"/>
      <c r="AJ334" s="264"/>
      <c r="AK334" s="264"/>
      <c r="AL334" s="264"/>
      <c r="AM334" s="264"/>
      <c r="AN334" s="264"/>
      <c r="AO334" s="264"/>
      <c r="AP334" s="264"/>
      <c r="AQ334" s="264"/>
      <c r="AR334" s="264"/>
      <c r="AS334" s="264"/>
      <c r="AT334" s="264"/>
      <c r="AU334" s="264"/>
      <c r="AV334" s="264"/>
      <c r="AW334" s="264"/>
      <c r="AX334" s="264"/>
      <c r="AY334" s="264"/>
      <c r="AZ334" s="264"/>
      <c r="BA334" s="264"/>
      <c r="BB334" s="264"/>
      <c r="BC334" s="264"/>
      <c r="BD334" s="264"/>
    </row>
    <row r="335">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c r="AA335" s="264"/>
      <c r="AB335" s="264"/>
      <c r="AC335" s="264"/>
      <c r="AD335" s="264"/>
      <c r="AE335" s="264"/>
      <c r="AF335" s="264"/>
      <c r="AG335" s="264"/>
      <c r="AH335" s="264"/>
      <c r="AI335" s="264"/>
      <c r="AJ335" s="264"/>
      <c r="AK335" s="264"/>
      <c r="AL335" s="264"/>
      <c r="AM335" s="264"/>
      <c r="AN335" s="264"/>
      <c r="AO335" s="264"/>
      <c r="AP335" s="264"/>
      <c r="AQ335" s="264"/>
      <c r="AR335" s="264"/>
      <c r="AS335" s="264"/>
      <c r="AT335" s="264"/>
      <c r="AU335" s="264"/>
      <c r="AV335" s="264"/>
      <c r="AW335" s="264"/>
      <c r="AX335" s="264"/>
      <c r="AY335" s="264"/>
      <c r="AZ335" s="264"/>
      <c r="BA335" s="264"/>
      <c r="BB335" s="264"/>
      <c r="BC335" s="264"/>
      <c r="BD335" s="264"/>
    </row>
    <row r="336">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c r="AA336" s="264"/>
      <c r="AB336" s="264"/>
      <c r="AC336" s="264"/>
      <c r="AD336" s="264"/>
      <c r="AE336" s="264"/>
      <c r="AF336" s="264"/>
      <c r="AG336" s="264"/>
      <c r="AH336" s="264"/>
      <c r="AI336" s="264"/>
      <c r="AJ336" s="264"/>
      <c r="AK336" s="264"/>
      <c r="AL336" s="264"/>
      <c r="AM336" s="264"/>
      <c r="AN336" s="264"/>
      <c r="AO336" s="264"/>
      <c r="AP336" s="264"/>
      <c r="AQ336" s="264"/>
      <c r="AR336" s="264"/>
      <c r="AS336" s="264"/>
      <c r="AT336" s="264"/>
      <c r="AU336" s="264"/>
      <c r="AV336" s="264"/>
      <c r="AW336" s="264"/>
      <c r="AX336" s="264"/>
      <c r="AY336" s="264"/>
      <c r="AZ336" s="264"/>
      <c r="BA336" s="264"/>
      <c r="BB336" s="264"/>
      <c r="BC336" s="264"/>
      <c r="BD336" s="264"/>
    </row>
    <row r="337">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c r="AA337" s="264"/>
      <c r="AB337" s="264"/>
      <c r="AC337" s="264"/>
      <c r="AD337" s="264"/>
      <c r="AE337" s="264"/>
      <c r="AF337" s="264"/>
      <c r="AG337" s="264"/>
      <c r="AH337" s="264"/>
      <c r="AI337" s="264"/>
      <c r="AJ337" s="264"/>
      <c r="AK337" s="264"/>
      <c r="AL337" s="264"/>
      <c r="AM337" s="264"/>
      <c r="AN337" s="264"/>
      <c r="AO337" s="264"/>
      <c r="AP337" s="264"/>
      <c r="AQ337" s="264"/>
      <c r="AR337" s="264"/>
      <c r="AS337" s="264"/>
      <c r="AT337" s="264"/>
      <c r="AU337" s="264"/>
      <c r="AV337" s="264"/>
      <c r="AW337" s="264"/>
      <c r="AX337" s="264"/>
      <c r="AY337" s="264"/>
      <c r="AZ337" s="264"/>
      <c r="BA337" s="264"/>
      <c r="BB337" s="264"/>
      <c r="BC337" s="264"/>
      <c r="BD337" s="264"/>
    </row>
    <row r="338">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c r="AA338" s="264"/>
      <c r="AB338" s="264"/>
      <c r="AC338" s="264"/>
      <c r="AD338" s="264"/>
      <c r="AE338" s="264"/>
      <c r="AF338" s="264"/>
      <c r="AG338" s="264"/>
      <c r="AH338" s="264"/>
      <c r="AI338" s="264"/>
      <c r="AJ338" s="264"/>
      <c r="AK338" s="264"/>
      <c r="AL338" s="264"/>
      <c r="AM338" s="264"/>
      <c r="AN338" s="264"/>
      <c r="AO338" s="264"/>
      <c r="AP338" s="264"/>
      <c r="AQ338" s="264"/>
      <c r="AR338" s="264"/>
      <c r="AS338" s="264"/>
      <c r="AT338" s="264"/>
      <c r="AU338" s="264"/>
      <c r="AV338" s="264"/>
      <c r="AW338" s="264"/>
      <c r="AX338" s="264"/>
      <c r="AY338" s="264"/>
      <c r="AZ338" s="264"/>
      <c r="BA338" s="264"/>
      <c r="BB338" s="264"/>
      <c r="BC338" s="264"/>
      <c r="BD338" s="264"/>
    </row>
    <row r="339">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c r="AA339" s="264"/>
      <c r="AB339" s="264"/>
      <c r="AC339" s="264"/>
      <c r="AD339" s="264"/>
      <c r="AE339" s="264"/>
      <c r="AF339" s="264"/>
      <c r="AG339" s="264"/>
      <c r="AH339" s="264"/>
      <c r="AI339" s="264"/>
      <c r="AJ339" s="264"/>
      <c r="AK339" s="264"/>
      <c r="AL339" s="264"/>
      <c r="AM339" s="264"/>
      <c r="AN339" s="264"/>
      <c r="AO339" s="264"/>
      <c r="AP339" s="264"/>
      <c r="AQ339" s="264"/>
      <c r="AR339" s="264"/>
      <c r="AS339" s="264"/>
      <c r="AT339" s="264"/>
      <c r="AU339" s="264"/>
      <c r="AV339" s="264"/>
      <c r="AW339" s="264"/>
      <c r="AX339" s="264"/>
      <c r="AY339" s="264"/>
      <c r="AZ339" s="264"/>
      <c r="BA339" s="264"/>
      <c r="BB339" s="264"/>
      <c r="BC339" s="264"/>
      <c r="BD339" s="264"/>
    </row>
    <row r="340">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c r="AA340" s="264"/>
      <c r="AB340" s="264"/>
      <c r="AC340" s="264"/>
      <c r="AD340" s="264"/>
      <c r="AE340" s="264"/>
      <c r="AF340" s="264"/>
      <c r="AG340" s="264"/>
      <c r="AH340" s="264"/>
      <c r="AI340" s="264"/>
      <c r="AJ340" s="264"/>
      <c r="AK340" s="264"/>
      <c r="AL340" s="264"/>
      <c r="AM340" s="264"/>
      <c r="AN340" s="264"/>
      <c r="AO340" s="264"/>
      <c r="AP340" s="264"/>
      <c r="AQ340" s="264"/>
      <c r="AR340" s="264"/>
      <c r="AS340" s="264"/>
      <c r="AT340" s="264"/>
      <c r="AU340" s="264"/>
      <c r="AV340" s="264"/>
      <c r="AW340" s="264"/>
      <c r="AX340" s="264"/>
      <c r="AY340" s="264"/>
      <c r="AZ340" s="264"/>
      <c r="BA340" s="264"/>
      <c r="BB340" s="264"/>
      <c r="BC340" s="264"/>
      <c r="BD340" s="264"/>
    </row>
    <row r="34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c r="AA341" s="264"/>
      <c r="AB341" s="264"/>
      <c r="AC341" s="264"/>
      <c r="AD341" s="264"/>
      <c r="AE341" s="264"/>
      <c r="AF341" s="264"/>
      <c r="AG341" s="264"/>
      <c r="AH341" s="264"/>
      <c r="AI341" s="264"/>
      <c r="AJ341" s="264"/>
      <c r="AK341" s="264"/>
      <c r="AL341" s="264"/>
      <c r="AM341" s="264"/>
      <c r="AN341" s="264"/>
      <c r="AO341" s="264"/>
      <c r="AP341" s="264"/>
      <c r="AQ341" s="264"/>
      <c r="AR341" s="264"/>
      <c r="AS341" s="264"/>
      <c r="AT341" s="264"/>
      <c r="AU341" s="264"/>
      <c r="AV341" s="264"/>
      <c r="AW341" s="264"/>
      <c r="AX341" s="264"/>
      <c r="AY341" s="264"/>
      <c r="AZ341" s="264"/>
      <c r="BA341" s="264"/>
      <c r="BB341" s="264"/>
      <c r="BC341" s="264"/>
      <c r="BD341" s="264"/>
    </row>
    <row r="342">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c r="AA342" s="264"/>
      <c r="AB342" s="264"/>
      <c r="AC342" s="264"/>
      <c r="AD342" s="264"/>
      <c r="AE342" s="264"/>
      <c r="AF342" s="264"/>
      <c r="AG342" s="264"/>
      <c r="AH342" s="264"/>
      <c r="AI342" s="264"/>
      <c r="AJ342" s="264"/>
      <c r="AK342" s="264"/>
      <c r="AL342" s="264"/>
      <c r="AM342" s="264"/>
      <c r="AN342" s="264"/>
      <c r="AO342" s="264"/>
      <c r="AP342" s="264"/>
      <c r="AQ342" s="264"/>
      <c r="AR342" s="264"/>
      <c r="AS342" s="264"/>
      <c r="AT342" s="264"/>
      <c r="AU342" s="264"/>
      <c r="AV342" s="264"/>
      <c r="AW342" s="264"/>
      <c r="AX342" s="264"/>
      <c r="AY342" s="264"/>
      <c r="AZ342" s="264"/>
      <c r="BA342" s="264"/>
      <c r="BB342" s="264"/>
      <c r="BC342" s="264"/>
      <c r="BD342" s="264"/>
    </row>
    <row r="343">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64"/>
      <c r="AN343" s="264"/>
      <c r="AO343" s="264"/>
      <c r="AP343" s="264"/>
      <c r="AQ343" s="264"/>
      <c r="AR343" s="264"/>
      <c r="AS343" s="264"/>
      <c r="AT343" s="264"/>
      <c r="AU343" s="264"/>
      <c r="AV343" s="264"/>
      <c r="AW343" s="264"/>
      <c r="AX343" s="264"/>
      <c r="AY343" s="264"/>
      <c r="AZ343" s="264"/>
      <c r="BA343" s="264"/>
      <c r="BB343" s="264"/>
      <c r="BC343" s="264"/>
      <c r="BD343" s="264"/>
    </row>
    <row r="344">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c r="AA344" s="264"/>
      <c r="AB344" s="264"/>
      <c r="AC344" s="264"/>
      <c r="AD344" s="264"/>
      <c r="AE344" s="264"/>
      <c r="AF344" s="264"/>
      <c r="AG344" s="264"/>
      <c r="AH344" s="264"/>
      <c r="AI344" s="264"/>
      <c r="AJ344" s="264"/>
      <c r="AK344" s="264"/>
      <c r="AL344" s="264"/>
      <c r="AM344" s="264"/>
      <c r="AN344" s="264"/>
      <c r="AO344" s="264"/>
      <c r="AP344" s="264"/>
      <c r="AQ344" s="264"/>
      <c r="AR344" s="264"/>
      <c r="AS344" s="264"/>
      <c r="AT344" s="264"/>
      <c r="AU344" s="264"/>
      <c r="AV344" s="264"/>
      <c r="AW344" s="264"/>
      <c r="AX344" s="264"/>
      <c r="AY344" s="264"/>
      <c r="AZ344" s="264"/>
      <c r="BA344" s="264"/>
      <c r="BB344" s="264"/>
      <c r="BC344" s="264"/>
      <c r="BD344" s="264"/>
    </row>
    <row r="345">
      <c r="A345" s="264"/>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c r="AA345" s="264"/>
      <c r="AB345" s="264"/>
      <c r="AC345" s="264"/>
      <c r="AD345" s="264"/>
      <c r="AE345" s="264"/>
      <c r="AF345" s="264"/>
      <c r="AG345" s="264"/>
      <c r="AH345" s="264"/>
      <c r="AI345" s="264"/>
      <c r="AJ345" s="264"/>
      <c r="AK345" s="264"/>
      <c r="AL345" s="264"/>
      <c r="AM345" s="264"/>
      <c r="AN345" s="264"/>
      <c r="AO345" s="264"/>
      <c r="AP345" s="264"/>
      <c r="AQ345" s="264"/>
      <c r="AR345" s="264"/>
      <c r="AS345" s="264"/>
      <c r="AT345" s="264"/>
      <c r="AU345" s="264"/>
      <c r="AV345" s="264"/>
      <c r="AW345" s="264"/>
      <c r="AX345" s="264"/>
      <c r="AY345" s="264"/>
      <c r="AZ345" s="264"/>
      <c r="BA345" s="264"/>
      <c r="BB345" s="264"/>
      <c r="BC345" s="264"/>
      <c r="BD345" s="264"/>
    </row>
    <row r="346">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c r="AA346" s="264"/>
      <c r="AB346" s="264"/>
      <c r="AC346" s="264"/>
      <c r="AD346" s="264"/>
      <c r="AE346" s="264"/>
      <c r="AF346" s="264"/>
      <c r="AG346" s="264"/>
      <c r="AH346" s="264"/>
      <c r="AI346" s="264"/>
      <c r="AJ346" s="264"/>
      <c r="AK346" s="264"/>
      <c r="AL346" s="264"/>
      <c r="AM346" s="264"/>
      <c r="AN346" s="264"/>
      <c r="AO346" s="264"/>
      <c r="AP346" s="264"/>
      <c r="AQ346" s="264"/>
      <c r="AR346" s="264"/>
      <c r="AS346" s="264"/>
      <c r="AT346" s="264"/>
      <c r="AU346" s="264"/>
      <c r="AV346" s="264"/>
      <c r="AW346" s="264"/>
      <c r="AX346" s="264"/>
      <c r="AY346" s="264"/>
      <c r="AZ346" s="264"/>
      <c r="BA346" s="264"/>
      <c r="BB346" s="264"/>
      <c r="BC346" s="264"/>
      <c r="BD346" s="264"/>
    </row>
    <row r="347">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c r="AA347" s="264"/>
      <c r="AB347" s="264"/>
      <c r="AC347" s="264"/>
      <c r="AD347" s="264"/>
      <c r="AE347" s="264"/>
      <c r="AF347" s="264"/>
      <c r="AG347" s="264"/>
      <c r="AH347" s="264"/>
      <c r="AI347" s="264"/>
      <c r="AJ347" s="264"/>
      <c r="AK347" s="264"/>
      <c r="AL347" s="264"/>
      <c r="AM347" s="264"/>
      <c r="AN347" s="264"/>
      <c r="AO347" s="264"/>
      <c r="AP347" s="264"/>
      <c r="AQ347" s="264"/>
      <c r="AR347" s="264"/>
      <c r="AS347" s="264"/>
      <c r="AT347" s="264"/>
      <c r="AU347" s="264"/>
      <c r="AV347" s="264"/>
      <c r="AW347" s="264"/>
      <c r="AX347" s="264"/>
      <c r="AY347" s="264"/>
      <c r="AZ347" s="264"/>
      <c r="BA347" s="264"/>
      <c r="BB347" s="264"/>
      <c r="BC347" s="264"/>
      <c r="BD347" s="264"/>
    </row>
    <row r="348">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c r="AA348" s="264"/>
      <c r="AB348" s="264"/>
      <c r="AC348" s="264"/>
      <c r="AD348" s="264"/>
      <c r="AE348" s="264"/>
      <c r="AF348" s="264"/>
      <c r="AG348" s="264"/>
      <c r="AH348" s="264"/>
      <c r="AI348" s="264"/>
      <c r="AJ348" s="264"/>
      <c r="AK348" s="264"/>
      <c r="AL348" s="264"/>
      <c r="AM348" s="264"/>
      <c r="AN348" s="264"/>
      <c r="AO348" s="264"/>
      <c r="AP348" s="264"/>
      <c r="AQ348" s="264"/>
      <c r="AR348" s="264"/>
      <c r="AS348" s="264"/>
      <c r="AT348" s="264"/>
      <c r="AU348" s="264"/>
      <c r="AV348" s="264"/>
      <c r="AW348" s="264"/>
      <c r="AX348" s="264"/>
      <c r="AY348" s="264"/>
      <c r="AZ348" s="264"/>
      <c r="BA348" s="264"/>
      <c r="BB348" s="264"/>
      <c r="BC348" s="264"/>
      <c r="BD348" s="264"/>
    </row>
    <row r="349">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64"/>
      <c r="AN349" s="264"/>
      <c r="AO349" s="264"/>
      <c r="AP349" s="264"/>
      <c r="AQ349" s="264"/>
      <c r="AR349" s="264"/>
      <c r="AS349" s="264"/>
      <c r="AT349" s="264"/>
      <c r="AU349" s="264"/>
      <c r="AV349" s="264"/>
      <c r="AW349" s="264"/>
      <c r="AX349" s="264"/>
      <c r="AY349" s="264"/>
      <c r="AZ349" s="264"/>
      <c r="BA349" s="264"/>
      <c r="BB349" s="264"/>
      <c r="BC349" s="264"/>
      <c r="BD349" s="264"/>
    </row>
    <row r="350">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c r="AA350" s="264"/>
      <c r="AB350" s="264"/>
      <c r="AC350" s="264"/>
      <c r="AD350" s="264"/>
      <c r="AE350" s="264"/>
      <c r="AF350" s="264"/>
      <c r="AG350" s="264"/>
      <c r="AH350" s="264"/>
      <c r="AI350" s="264"/>
      <c r="AJ350" s="264"/>
      <c r="AK350" s="264"/>
      <c r="AL350" s="264"/>
      <c r="AM350" s="264"/>
      <c r="AN350" s="264"/>
      <c r="AO350" s="264"/>
      <c r="AP350" s="264"/>
      <c r="AQ350" s="264"/>
      <c r="AR350" s="264"/>
      <c r="AS350" s="264"/>
      <c r="AT350" s="264"/>
      <c r="AU350" s="264"/>
      <c r="AV350" s="264"/>
      <c r="AW350" s="264"/>
      <c r="AX350" s="264"/>
      <c r="AY350" s="264"/>
      <c r="AZ350" s="264"/>
      <c r="BA350" s="264"/>
      <c r="BB350" s="264"/>
      <c r="BC350" s="264"/>
      <c r="BD350" s="264"/>
    </row>
    <row r="35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c r="AA351" s="264"/>
      <c r="AB351" s="264"/>
      <c r="AC351" s="264"/>
      <c r="AD351" s="264"/>
      <c r="AE351" s="264"/>
      <c r="AF351" s="264"/>
      <c r="AG351" s="264"/>
      <c r="AH351" s="264"/>
      <c r="AI351" s="264"/>
      <c r="AJ351" s="264"/>
      <c r="AK351" s="264"/>
      <c r="AL351" s="264"/>
      <c r="AM351" s="264"/>
      <c r="AN351" s="264"/>
      <c r="AO351" s="264"/>
      <c r="AP351" s="264"/>
      <c r="AQ351" s="264"/>
      <c r="AR351" s="264"/>
      <c r="AS351" s="264"/>
      <c r="AT351" s="264"/>
      <c r="AU351" s="264"/>
      <c r="AV351" s="264"/>
      <c r="AW351" s="264"/>
      <c r="AX351" s="264"/>
      <c r="AY351" s="264"/>
      <c r="AZ351" s="264"/>
      <c r="BA351" s="264"/>
      <c r="BB351" s="264"/>
      <c r="BC351" s="264"/>
      <c r="BD351" s="264"/>
    </row>
    <row r="352">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4"/>
      <c r="AY352" s="264"/>
      <c r="AZ352" s="264"/>
      <c r="BA352" s="264"/>
      <c r="BB352" s="264"/>
      <c r="BC352" s="264"/>
      <c r="BD352" s="264"/>
    </row>
    <row r="353">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64"/>
      <c r="AN353" s="264"/>
      <c r="AO353" s="264"/>
      <c r="AP353" s="264"/>
      <c r="AQ353" s="264"/>
      <c r="AR353" s="264"/>
      <c r="AS353" s="264"/>
      <c r="AT353" s="264"/>
      <c r="AU353" s="264"/>
      <c r="AV353" s="264"/>
      <c r="AW353" s="264"/>
      <c r="AX353" s="264"/>
      <c r="AY353" s="264"/>
      <c r="AZ353" s="264"/>
      <c r="BA353" s="264"/>
      <c r="BB353" s="264"/>
      <c r="BC353" s="264"/>
      <c r="BD353" s="264"/>
    </row>
    <row r="354">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64"/>
      <c r="AN354" s="264"/>
      <c r="AO354" s="264"/>
      <c r="AP354" s="264"/>
      <c r="AQ354" s="264"/>
      <c r="AR354" s="264"/>
      <c r="AS354" s="264"/>
      <c r="AT354" s="264"/>
      <c r="AU354" s="264"/>
      <c r="AV354" s="264"/>
      <c r="AW354" s="264"/>
      <c r="AX354" s="264"/>
      <c r="AY354" s="264"/>
      <c r="AZ354" s="264"/>
      <c r="BA354" s="264"/>
      <c r="BB354" s="264"/>
      <c r="BC354" s="264"/>
      <c r="BD354" s="264"/>
    </row>
    <row r="355">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64"/>
      <c r="AN355" s="264"/>
      <c r="AO355" s="264"/>
      <c r="AP355" s="264"/>
      <c r="AQ355" s="264"/>
      <c r="AR355" s="264"/>
      <c r="AS355" s="264"/>
      <c r="AT355" s="264"/>
      <c r="AU355" s="264"/>
      <c r="AV355" s="264"/>
      <c r="AW355" s="264"/>
      <c r="AX355" s="264"/>
      <c r="AY355" s="264"/>
      <c r="AZ355" s="264"/>
      <c r="BA355" s="264"/>
      <c r="BB355" s="264"/>
      <c r="BC355" s="264"/>
      <c r="BD355" s="264"/>
    </row>
    <row r="356">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64"/>
      <c r="AN356" s="264"/>
      <c r="AO356" s="264"/>
      <c r="AP356" s="264"/>
      <c r="AQ356" s="264"/>
      <c r="AR356" s="264"/>
      <c r="AS356" s="264"/>
      <c r="AT356" s="264"/>
      <c r="AU356" s="264"/>
      <c r="AV356" s="264"/>
      <c r="AW356" s="264"/>
      <c r="AX356" s="264"/>
      <c r="AY356" s="264"/>
      <c r="AZ356" s="264"/>
      <c r="BA356" s="264"/>
      <c r="BB356" s="264"/>
      <c r="BC356" s="264"/>
      <c r="BD356" s="264"/>
    </row>
    <row r="357">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c r="AA357" s="264"/>
      <c r="AB357" s="264"/>
      <c r="AC357" s="264"/>
      <c r="AD357" s="264"/>
      <c r="AE357" s="264"/>
      <c r="AF357" s="264"/>
      <c r="AG357" s="264"/>
      <c r="AH357" s="264"/>
      <c r="AI357" s="264"/>
      <c r="AJ357" s="264"/>
      <c r="AK357" s="264"/>
      <c r="AL357" s="264"/>
      <c r="AM357" s="264"/>
      <c r="AN357" s="264"/>
      <c r="AO357" s="264"/>
      <c r="AP357" s="264"/>
      <c r="AQ357" s="264"/>
      <c r="AR357" s="264"/>
      <c r="AS357" s="264"/>
      <c r="AT357" s="264"/>
      <c r="AU357" s="264"/>
      <c r="AV357" s="264"/>
      <c r="AW357" s="264"/>
      <c r="AX357" s="264"/>
      <c r="AY357" s="264"/>
      <c r="AZ357" s="264"/>
      <c r="BA357" s="264"/>
      <c r="BB357" s="264"/>
      <c r="BC357" s="264"/>
      <c r="BD357" s="264"/>
    </row>
    <row r="358">
      <c r="A358" s="264"/>
      <c r="B358" s="264"/>
      <c r="C358" s="264"/>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c r="AA358" s="264"/>
      <c r="AB358" s="264"/>
      <c r="AC358" s="264"/>
      <c r="AD358" s="264"/>
      <c r="AE358" s="264"/>
      <c r="AF358" s="264"/>
      <c r="AG358" s="264"/>
      <c r="AH358" s="264"/>
      <c r="AI358" s="264"/>
      <c r="AJ358" s="264"/>
      <c r="AK358" s="264"/>
      <c r="AL358" s="264"/>
      <c r="AM358" s="264"/>
      <c r="AN358" s="264"/>
      <c r="AO358" s="264"/>
      <c r="AP358" s="264"/>
      <c r="AQ358" s="264"/>
      <c r="AR358" s="264"/>
      <c r="AS358" s="264"/>
      <c r="AT358" s="264"/>
      <c r="AU358" s="264"/>
      <c r="AV358" s="264"/>
      <c r="AW358" s="264"/>
      <c r="AX358" s="264"/>
      <c r="AY358" s="264"/>
      <c r="AZ358" s="264"/>
      <c r="BA358" s="264"/>
      <c r="BB358" s="264"/>
      <c r="BC358" s="264"/>
      <c r="BD358" s="264"/>
    </row>
    <row r="359">
      <c r="A359" s="264"/>
      <c r="B359" s="264"/>
      <c r="C359" s="264"/>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c r="AA359" s="264"/>
      <c r="AB359" s="264"/>
      <c r="AC359" s="264"/>
      <c r="AD359" s="264"/>
      <c r="AE359" s="264"/>
      <c r="AF359" s="264"/>
      <c r="AG359" s="264"/>
      <c r="AH359" s="264"/>
      <c r="AI359" s="264"/>
      <c r="AJ359" s="264"/>
      <c r="AK359" s="264"/>
      <c r="AL359" s="264"/>
      <c r="AM359" s="264"/>
      <c r="AN359" s="264"/>
      <c r="AO359" s="264"/>
      <c r="AP359" s="264"/>
      <c r="AQ359" s="264"/>
      <c r="AR359" s="264"/>
      <c r="AS359" s="264"/>
      <c r="AT359" s="264"/>
      <c r="AU359" s="264"/>
      <c r="AV359" s="264"/>
      <c r="AW359" s="264"/>
      <c r="AX359" s="264"/>
      <c r="AY359" s="264"/>
      <c r="AZ359" s="264"/>
      <c r="BA359" s="264"/>
      <c r="BB359" s="264"/>
      <c r="BC359" s="264"/>
      <c r="BD359" s="264"/>
    </row>
    <row r="360">
      <c r="A360" s="264"/>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4"/>
      <c r="AL360" s="264"/>
      <c r="AM360" s="264"/>
      <c r="AN360" s="264"/>
      <c r="AO360" s="264"/>
      <c r="AP360" s="264"/>
      <c r="AQ360" s="264"/>
      <c r="AR360" s="264"/>
      <c r="AS360" s="264"/>
      <c r="AT360" s="264"/>
      <c r="AU360" s="264"/>
      <c r="AV360" s="264"/>
      <c r="AW360" s="264"/>
      <c r="AX360" s="264"/>
      <c r="AY360" s="264"/>
      <c r="AZ360" s="264"/>
      <c r="BA360" s="264"/>
      <c r="BB360" s="264"/>
      <c r="BC360" s="264"/>
      <c r="BD360" s="264"/>
    </row>
    <row r="361">
      <c r="A361" s="264"/>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c r="AA361" s="264"/>
      <c r="AB361" s="264"/>
      <c r="AC361" s="264"/>
      <c r="AD361" s="264"/>
      <c r="AE361" s="264"/>
      <c r="AF361" s="264"/>
      <c r="AG361" s="264"/>
      <c r="AH361" s="264"/>
      <c r="AI361" s="264"/>
      <c r="AJ361" s="264"/>
      <c r="AK361" s="264"/>
      <c r="AL361" s="264"/>
      <c r="AM361" s="264"/>
      <c r="AN361" s="264"/>
      <c r="AO361" s="264"/>
      <c r="AP361" s="264"/>
      <c r="AQ361" s="264"/>
      <c r="AR361" s="264"/>
      <c r="AS361" s="264"/>
      <c r="AT361" s="264"/>
      <c r="AU361" s="264"/>
      <c r="AV361" s="264"/>
      <c r="AW361" s="264"/>
      <c r="AX361" s="264"/>
      <c r="AY361" s="264"/>
      <c r="AZ361" s="264"/>
      <c r="BA361" s="264"/>
      <c r="BB361" s="264"/>
      <c r="BC361" s="264"/>
      <c r="BD361" s="264"/>
    </row>
    <row r="362">
      <c r="A362" s="264"/>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c r="AA362" s="264"/>
      <c r="AB362" s="264"/>
      <c r="AC362" s="264"/>
      <c r="AD362" s="264"/>
      <c r="AE362" s="264"/>
      <c r="AF362" s="264"/>
      <c r="AG362" s="264"/>
      <c r="AH362" s="264"/>
      <c r="AI362" s="264"/>
      <c r="AJ362" s="264"/>
      <c r="AK362" s="264"/>
      <c r="AL362" s="264"/>
      <c r="AM362" s="264"/>
      <c r="AN362" s="264"/>
      <c r="AO362" s="264"/>
      <c r="AP362" s="264"/>
      <c r="AQ362" s="264"/>
      <c r="AR362" s="264"/>
      <c r="AS362" s="264"/>
      <c r="AT362" s="264"/>
      <c r="AU362" s="264"/>
      <c r="AV362" s="264"/>
      <c r="AW362" s="264"/>
      <c r="AX362" s="264"/>
      <c r="AY362" s="264"/>
      <c r="AZ362" s="264"/>
      <c r="BA362" s="264"/>
      <c r="BB362" s="264"/>
      <c r="BC362" s="264"/>
      <c r="BD362" s="264"/>
    </row>
    <row r="363">
      <c r="A363" s="264"/>
      <c r="B363" s="264"/>
      <c r="C363" s="264"/>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c r="AA363" s="264"/>
      <c r="AB363" s="264"/>
      <c r="AC363" s="264"/>
      <c r="AD363" s="264"/>
      <c r="AE363" s="264"/>
      <c r="AF363" s="264"/>
      <c r="AG363" s="264"/>
      <c r="AH363" s="264"/>
      <c r="AI363" s="264"/>
      <c r="AJ363" s="264"/>
      <c r="AK363" s="264"/>
      <c r="AL363" s="264"/>
      <c r="AM363" s="264"/>
      <c r="AN363" s="264"/>
      <c r="AO363" s="264"/>
      <c r="AP363" s="264"/>
      <c r="AQ363" s="264"/>
      <c r="AR363" s="264"/>
      <c r="AS363" s="264"/>
      <c r="AT363" s="264"/>
      <c r="AU363" s="264"/>
      <c r="AV363" s="264"/>
      <c r="AW363" s="264"/>
      <c r="AX363" s="264"/>
      <c r="AY363" s="264"/>
      <c r="AZ363" s="264"/>
      <c r="BA363" s="264"/>
      <c r="BB363" s="264"/>
      <c r="BC363" s="264"/>
      <c r="BD363" s="264"/>
    </row>
    <row r="364">
      <c r="A364" s="264"/>
      <c r="B364" s="264"/>
      <c r="C364" s="264"/>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c r="AA364" s="264"/>
      <c r="AB364" s="264"/>
      <c r="AC364" s="264"/>
      <c r="AD364" s="264"/>
      <c r="AE364" s="264"/>
      <c r="AF364" s="264"/>
      <c r="AG364" s="264"/>
      <c r="AH364" s="264"/>
      <c r="AI364" s="264"/>
      <c r="AJ364" s="264"/>
      <c r="AK364" s="264"/>
      <c r="AL364" s="264"/>
      <c r="AM364" s="264"/>
      <c r="AN364" s="264"/>
      <c r="AO364" s="264"/>
      <c r="AP364" s="264"/>
      <c r="AQ364" s="264"/>
      <c r="AR364" s="264"/>
      <c r="AS364" s="264"/>
      <c r="AT364" s="264"/>
      <c r="AU364" s="264"/>
      <c r="AV364" s="264"/>
      <c r="AW364" s="264"/>
      <c r="AX364" s="264"/>
      <c r="AY364" s="264"/>
      <c r="AZ364" s="264"/>
      <c r="BA364" s="264"/>
      <c r="BB364" s="264"/>
      <c r="BC364" s="264"/>
      <c r="BD364" s="264"/>
    </row>
    <row r="365">
      <c r="A365" s="264"/>
      <c r="B365" s="264"/>
      <c r="C365" s="264"/>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c r="AA365" s="264"/>
      <c r="AB365" s="264"/>
      <c r="AC365" s="264"/>
      <c r="AD365" s="264"/>
      <c r="AE365" s="264"/>
      <c r="AF365" s="264"/>
      <c r="AG365" s="264"/>
      <c r="AH365" s="264"/>
      <c r="AI365" s="264"/>
      <c r="AJ365" s="264"/>
      <c r="AK365" s="264"/>
      <c r="AL365" s="264"/>
      <c r="AM365" s="264"/>
      <c r="AN365" s="264"/>
      <c r="AO365" s="264"/>
      <c r="AP365" s="264"/>
      <c r="AQ365" s="264"/>
      <c r="AR365" s="264"/>
      <c r="AS365" s="264"/>
      <c r="AT365" s="264"/>
      <c r="AU365" s="264"/>
      <c r="AV365" s="264"/>
      <c r="AW365" s="264"/>
      <c r="AX365" s="264"/>
      <c r="AY365" s="264"/>
      <c r="AZ365" s="264"/>
      <c r="BA365" s="264"/>
      <c r="BB365" s="264"/>
      <c r="BC365" s="264"/>
      <c r="BD365" s="264"/>
    </row>
    <row r="366">
      <c r="A366" s="264"/>
      <c r="B366" s="264"/>
      <c r="C366" s="264"/>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c r="AA366" s="264"/>
      <c r="AB366" s="264"/>
      <c r="AC366" s="264"/>
      <c r="AD366" s="264"/>
      <c r="AE366" s="264"/>
      <c r="AF366" s="264"/>
      <c r="AG366" s="264"/>
      <c r="AH366" s="264"/>
      <c r="AI366" s="264"/>
      <c r="AJ366" s="264"/>
      <c r="AK366" s="264"/>
      <c r="AL366" s="264"/>
      <c r="AM366" s="264"/>
      <c r="AN366" s="264"/>
      <c r="AO366" s="264"/>
      <c r="AP366" s="264"/>
      <c r="AQ366" s="264"/>
      <c r="AR366" s="264"/>
      <c r="AS366" s="264"/>
      <c r="AT366" s="264"/>
      <c r="AU366" s="264"/>
      <c r="AV366" s="264"/>
      <c r="AW366" s="264"/>
      <c r="AX366" s="264"/>
      <c r="AY366" s="264"/>
      <c r="AZ366" s="264"/>
      <c r="BA366" s="264"/>
      <c r="BB366" s="264"/>
      <c r="BC366" s="264"/>
      <c r="BD366" s="264"/>
    </row>
    <row r="367">
      <c r="A367" s="264"/>
      <c r="B367" s="264"/>
      <c r="C367" s="264"/>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c r="AA367" s="264"/>
      <c r="AB367" s="264"/>
      <c r="AC367" s="264"/>
      <c r="AD367" s="264"/>
      <c r="AE367" s="264"/>
      <c r="AF367" s="264"/>
      <c r="AG367" s="264"/>
      <c r="AH367" s="264"/>
      <c r="AI367" s="264"/>
      <c r="AJ367" s="264"/>
      <c r="AK367" s="264"/>
      <c r="AL367" s="264"/>
      <c r="AM367" s="264"/>
      <c r="AN367" s="264"/>
      <c r="AO367" s="264"/>
      <c r="AP367" s="264"/>
      <c r="AQ367" s="264"/>
      <c r="AR367" s="264"/>
      <c r="AS367" s="264"/>
      <c r="AT367" s="264"/>
      <c r="AU367" s="264"/>
      <c r="AV367" s="264"/>
      <c r="AW367" s="264"/>
      <c r="AX367" s="264"/>
      <c r="AY367" s="264"/>
      <c r="AZ367" s="264"/>
      <c r="BA367" s="264"/>
      <c r="BB367" s="264"/>
      <c r="BC367" s="264"/>
      <c r="BD367" s="264"/>
    </row>
    <row r="368">
      <c r="A368" s="264"/>
      <c r="B368" s="264"/>
      <c r="C368" s="264"/>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c r="AA368" s="264"/>
      <c r="AB368" s="264"/>
      <c r="AC368" s="264"/>
      <c r="AD368" s="264"/>
      <c r="AE368" s="264"/>
      <c r="AF368" s="264"/>
      <c r="AG368" s="264"/>
      <c r="AH368" s="264"/>
      <c r="AI368" s="264"/>
      <c r="AJ368" s="264"/>
      <c r="AK368" s="264"/>
      <c r="AL368" s="264"/>
      <c r="AM368" s="264"/>
      <c r="AN368" s="264"/>
      <c r="AO368" s="264"/>
      <c r="AP368" s="264"/>
      <c r="AQ368" s="264"/>
      <c r="AR368" s="264"/>
      <c r="AS368" s="264"/>
      <c r="AT368" s="264"/>
      <c r="AU368" s="264"/>
      <c r="AV368" s="264"/>
      <c r="AW368" s="264"/>
      <c r="AX368" s="264"/>
      <c r="AY368" s="264"/>
      <c r="AZ368" s="264"/>
      <c r="BA368" s="264"/>
      <c r="BB368" s="264"/>
      <c r="BC368" s="264"/>
      <c r="BD368" s="264"/>
    </row>
    <row r="369">
      <c r="A369" s="264"/>
      <c r="B369" s="264"/>
      <c r="C369" s="264"/>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c r="AA369" s="264"/>
      <c r="AB369" s="264"/>
      <c r="AC369" s="264"/>
      <c r="AD369" s="264"/>
      <c r="AE369" s="264"/>
      <c r="AF369" s="264"/>
      <c r="AG369" s="264"/>
      <c r="AH369" s="264"/>
      <c r="AI369" s="264"/>
      <c r="AJ369" s="264"/>
      <c r="AK369" s="264"/>
      <c r="AL369" s="264"/>
      <c r="AM369" s="264"/>
      <c r="AN369" s="264"/>
      <c r="AO369" s="264"/>
      <c r="AP369" s="264"/>
      <c r="AQ369" s="264"/>
      <c r="AR369" s="264"/>
      <c r="AS369" s="264"/>
      <c r="AT369" s="264"/>
      <c r="AU369" s="264"/>
      <c r="AV369" s="264"/>
      <c r="AW369" s="264"/>
      <c r="AX369" s="264"/>
      <c r="AY369" s="264"/>
      <c r="AZ369" s="264"/>
      <c r="BA369" s="264"/>
      <c r="BB369" s="264"/>
      <c r="BC369" s="264"/>
      <c r="BD369" s="264"/>
    </row>
    <row r="370">
      <c r="A370" s="264"/>
      <c r="B370" s="264"/>
      <c r="C370" s="264"/>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c r="AA370" s="264"/>
      <c r="AB370" s="264"/>
      <c r="AC370" s="264"/>
      <c r="AD370" s="264"/>
      <c r="AE370" s="264"/>
      <c r="AF370" s="264"/>
      <c r="AG370" s="264"/>
      <c r="AH370" s="264"/>
      <c r="AI370" s="264"/>
      <c r="AJ370" s="264"/>
      <c r="AK370" s="264"/>
      <c r="AL370" s="264"/>
      <c r="AM370" s="264"/>
      <c r="AN370" s="264"/>
      <c r="AO370" s="264"/>
      <c r="AP370" s="264"/>
      <c r="AQ370" s="264"/>
      <c r="AR370" s="264"/>
      <c r="AS370" s="264"/>
      <c r="AT370" s="264"/>
      <c r="AU370" s="264"/>
      <c r="AV370" s="264"/>
      <c r="AW370" s="264"/>
      <c r="AX370" s="264"/>
      <c r="AY370" s="264"/>
      <c r="AZ370" s="264"/>
      <c r="BA370" s="264"/>
      <c r="BB370" s="264"/>
      <c r="BC370" s="264"/>
      <c r="BD370" s="264"/>
    </row>
    <row r="371">
      <c r="A371" s="264"/>
      <c r="B371" s="264"/>
      <c r="C371" s="264"/>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c r="AA371" s="264"/>
      <c r="AB371" s="264"/>
      <c r="AC371" s="264"/>
      <c r="AD371" s="264"/>
      <c r="AE371" s="264"/>
      <c r="AF371" s="264"/>
      <c r="AG371" s="264"/>
      <c r="AH371" s="264"/>
      <c r="AI371" s="264"/>
      <c r="AJ371" s="264"/>
      <c r="AK371" s="264"/>
      <c r="AL371" s="264"/>
      <c r="AM371" s="264"/>
      <c r="AN371" s="264"/>
      <c r="AO371" s="264"/>
      <c r="AP371" s="264"/>
      <c r="AQ371" s="264"/>
      <c r="AR371" s="264"/>
      <c r="AS371" s="264"/>
      <c r="AT371" s="264"/>
      <c r="AU371" s="264"/>
      <c r="AV371" s="264"/>
      <c r="AW371" s="264"/>
      <c r="AX371" s="264"/>
      <c r="AY371" s="264"/>
      <c r="AZ371" s="264"/>
      <c r="BA371" s="264"/>
      <c r="BB371" s="264"/>
      <c r="BC371" s="264"/>
      <c r="BD371" s="264"/>
    </row>
    <row r="372">
      <c r="A372" s="264"/>
      <c r="B372" s="264"/>
      <c r="C372" s="264"/>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c r="AA372" s="264"/>
      <c r="AB372" s="264"/>
      <c r="AC372" s="264"/>
      <c r="AD372" s="264"/>
      <c r="AE372" s="264"/>
      <c r="AF372" s="264"/>
      <c r="AG372" s="264"/>
      <c r="AH372" s="264"/>
      <c r="AI372" s="264"/>
      <c r="AJ372" s="264"/>
      <c r="AK372" s="264"/>
      <c r="AL372" s="264"/>
      <c r="AM372" s="264"/>
      <c r="AN372" s="264"/>
      <c r="AO372" s="264"/>
      <c r="AP372" s="264"/>
      <c r="AQ372" s="264"/>
      <c r="AR372" s="264"/>
      <c r="AS372" s="264"/>
      <c r="AT372" s="264"/>
      <c r="AU372" s="264"/>
      <c r="AV372" s="264"/>
      <c r="AW372" s="264"/>
      <c r="AX372" s="264"/>
      <c r="AY372" s="264"/>
      <c r="AZ372" s="264"/>
      <c r="BA372" s="264"/>
      <c r="BB372" s="264"/>
      <c r="BC372" s="264"/>
      <c r="BD372" s="264"/>
    </row>
    <row r="373">
      <c r="A373" s="264"/>
      <c r="B373" s="264"/>
      <c r="C373" s="264"/>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c r="AA373" s="264"/>
      <c r="AB373" s="264"/>
      <c r="AC373" s="264"/>
      <c r="AD373" s="264"/>
      <c r="AE373" s="264"/>
      <c r="AF373" s="264"/>
      <c r="AG373" s="264"/>
      <c r="AH373" s="264"/>
      <c r="AI373" s="264"/>
      <c r="AJ373" s="264"/>
      <c r="AK373" s="264"/>
      <c r="AL373" s="264"/>
      <c r="AM373" s="264"/>
      <c r="AN373" s="264"/>
      <c r="AO373" s="264"/>
      <c r="AP373" s="264"/>
      <c r="AQ373" s="264"/>
      <c r="AR373" s="264"/>
      <c r="AS373" s="264"/>
      <c r="AT373" s="264"/>
      <c r="AU373" s="264"/>
      <c r="AV373" s="264"/>
      <c r="AW373" s="264"/>
      <c r="AX373" s="264"/>
      <c r="AY373" s="264"/>
      <c r="AZ373" s="264"/>
      <c r="BA373" s="264"/>
      <c r="BB373" s="264"/>
      <c r="BC373" s="264"/>
      <c r="BD373" s="264"/>
    </row>
    <row r="374">
      <c r="A374" s="264"/>
      <c r="B374" s="264"/>
      <c r="C374" s="264"/>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c r="AA374" s="264"/>
      <c r="AB374" s="264"/>
      <c r="AC374" s="264"/>
      <c r="AD374" s="264"/>
      <c r="AE374" s="264"/>
      <c r="AF374" s="264"/>
      <c r="AG374" s="264"/>
      <c r="AH374" s="264"/>
      <c r="AI374" s="264"/>
      <c r="AJ374" s="264"/>
      <c r="AK374" s="264"/>
      <c r="AL374" s="264"/>
      <c r="AM374" s="264"/>
      <c r="AN374" s="264"/>
      <c r="AO374" s="264"/>
      <c r="AP374" s="264"/>
      <c r="AQ374" s="264"/>
      <c r="AR374" s="264"/>
      <c r="AS374" s="264"/>
      <c r="AT374" s="264"/>
      <c r="AU374" s="264"/>
      <c r="AV374" s="264"/>
      <c r="AW374" s="264"/>
      <c r="AX374" s="264"/>
      <c r="AY374" s="264"/>
      <c r="AZ374" s="264"/>
      <c r="BA374" s="264"/>
      <c r="BB374" s="264"/>
      <c r="BC374" s="264"/>
      <c r="BD374" s="264"/>
    </row>
    <row r="375">
      <c r="A375" s="264"/>
      <c r="B375" s="264"/>
      <c r="C375" s="264"/>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c r="AA375" s="264"/>
      <c r="AB375" s="264"/>
      <c r="AC375" s="264"/>
      <c r="AD375" s="264"/>
      <c r="AE375" s="264"/>
      <c r="AF375" s="264"/>
      <c r="AG375" s="264"/>
      <c r="AH375" s="264"/>
      <c r="AI375" s="264"/>
      <c r="AJ375" s="264"/>
      <c r="AK375" s="264"/>
      <c r="AL375" s="264"/>
      <c r="AM375" s="264"/>
      <c r="AN375" s="264"/>
      <c r="AO375" s="264"/>
      <c r="AP375" s="264"/>
      <c r="AQ375" s="264"/>
      <c r="AR375" s="264"/>
      <c r="AS375" s="264"/>
      <c r="AT375" s="264"/>
      <c r="AU375" s="264"/>
      <c r="AV375" s="264"/>
      <c r="AW375" s="264"/>
      <c r="AX375" s="264"/>
      <c r="AY375" s="264"/>
      <c r="AZ375" s="264"/>
      <c r="BA375" s="264"/>
      <c r="BB375" s="264"/>
      <c r="BC375" s="264"/>
      <c r="BD375" s="264"/>
    </row>
    <row r="376">
      <c r="A376" s="264"/>
      <c r="B376" s="264"/>
      <c r="C376" s="264"/>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c r="AA376" s="264"/>
      <c r="AB376" s="264"/>
      <c r="AC376" s="264"/>
      <c r="AD376" s="264"/>
      <c r="AE376" s="264"/>
      <c r="AF376" s="264"/>
      <c r="AG376" s="264"/>
      <c r="AH376" s="264"/>
      <c r="AI376" s="264"/>
      <c r="AJ376" s="264"/>
      <c r="AK376" s="264"/>
      <c r="AL376" s="264"/>
      <c r="AM376" s="264"/>
      <c r="AN376" s="264"/>
      <c r="AO376" s="264"/>
      <c r="AP376" s="264"/>
      <c r="AQ376" s="264"/>
      <c r="AR376" s="264"/>
      <c r="AS376" s="264"/>
      <c r="AT376" s="264"/>
      <c r="AU376" s="264"/>
      <c r="AV376" s="264"/>
      <c r="AW376" s="264"/>
      <c r="AX376" s="264"/>
      <c r="AY376" s="264"/>
      <c r="AZ376" s="264"/>
      <c r="BA376" s="264"/>
      <c r="BB376" s="264"/>
      <c r="BC376" s="264"/>
      <c r="BD376" s="264"/>
    </row>
    <row r="377">
      <c r="A377" s="264"/>
      <c r="B377" s="264"/>
      <c r="C377" s="264"/>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c r="AA377" s="264"/>
      <c r="AB377" s="264"/>
      <c r="AC377" s="264"/>
      <c r="AD377" s="264"/>
      <c r="AE377" s="264"/>
      <c r="AF377" s="264"/>
      <c r="AG377" s="264"/>
      <c r="AH377" s="264"/>
      <c r="AI377" s="264"/>
      <c r="AJ377" s="264"/>
      <c r="AK377" s="264"/>
      <c r="AL377" s="264"/>
      <c r="AM377" s="264"/>
      <c r="AN377" s="264"/>
      <c r="AO377" s="264"/>
      <c r="AP377" s="264"/>
      <c r="AQ377" s="264"/>
      <c r="AR377" s="264"/>
      <c r="AS377" s="264"/>
      <c r="AT377" s="264"/>
      <c r="AU377" s="264"/>
      <c r="AV377" s="264"/>
      <c r="AW377" s="264"/>
      <c r="AX377" s="264"/>
      <c r="AY377" s="264"/>
      <c r="AZ377" s="264"/>
      <c r="BA377" s="264"/>
      <c r="BB377" s="264"/>
      <c r="BC377" s="264"/>
      <c r="BD377" s="264"/>
    </row>
    <row r="378">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c r="AA378" s="264"/>
      <c r="AB378" s="264"/>
      <c r="AC378" s="264"/>
      <c r="AD378" s="264"/>
      <c r="AE378" s="264"/>
      <c r="AF378" s="264"/>
      <c r="AG378" s="264"/>
      <c r="AH378" s="264"/>
      <c r="AI378" s="264"/>
      <c r="AJ378" s="264"/>
      <c r="AK378" s="264"/>
      <c r="AL378" s="264"/>
      <c r="AM378" s="264"/>
      <c r="AN378" s="264"/>
      <c r="AO378" s="264"/>
      <c r="AP378" s="264"/>
      <c r="AQ378" s="264"/>
      <c r="AR378" s="264"/>
      <c r="AS378" s="264"/>
      <c r="AT378" s="264"/>
      <c r="AU378" s="264"/>
      <c r="AV378" s="264"/>
      <c r="AW378" s="264"/>
      <c r="AX378" s="264"/>
      <c r="AY378" s="264"/>
      <c r="AZ378" s="264"/>
      <c r="BA378" s="264"/>
      <c r="BB378" s="264"/>
      <c r="BC378" s="264"/>
      <c r="BD378" s="264"/>
    </row>
    <row r="379">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c r="AA379" s="264"/>
      <c r="AB379" s="264"/>
      <c r="AC379" s="264"/>
      <c r="AD379" s="264"/>
      <c r="AE379" s="264"/>
      <c r="AF379" s="264"/>
      <c r="AG379" s="264"/>
      <c r="AH379" s="264"/>
      <c r="AI379" s="264"/>
      <c r="AJ379" s="264"/>
      <c r="AK379" s="264"/>
      <c r="AL379" s="264"/>
      <c r="AM379" s="264"/>
      <c r="AN379" s="264"/>
      <c r="AO379" s="264"/>
      <c r="AP379" s="264"/>
      <c r="AQ379" s="264"/>
      <c r="AR379" s="264"/>
      <c r="AS379" s="264"/>
      <c r="AT379" s="264"/>
      <c r="AU379" s="264"/>
      <c r="AV379" s="264"/>
      <c r="AW379" s="264"/>
      <c r="AX379" s="264"/>
      <c r="AY379" s="264"/>
      <c r="AZ379" s="264"/>
      <c r="BA379" s="264"/>
      <c r="BB379" s="264"/>
      <c r="BC379" s="264"/>
      <c r="BD379" s="264"/>
    </row>
    <row r="380">
      <c r="A380" s="264"/>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c r="AA380" s="264"/>
      <c r="AB380" s="264"/>
      <c r="AC380" s="264"/>
      <c r="AD380" s="264"/>
      <c r="AE380" s="264"/>
      <c r="AF380" s="264"/>
      <c r="AG380" s="264"/>
      <c r="AH380" s="264"/>
      <c r="AI380" s="264"/>
      <c r="AJ380" s="264"/>
      <c r="AK380" s="264"/>
      <c r="AL380" s="264"/>
      <c r="AM380" s="264"/>
      <c r="AN380" s="264"/>
      <c r="AO380" s="264"/>
      <c r="AP380" s="264"/>
      <c r="AQ380" s="264"/>
      <c r="AR380" s="264"/>
      <c r="AS380" s="264"/>
      <c r="AT380" s="264"/>
      <c r="AU380" s="264"/>
      <c r="AV380" s="264"/>
      <c r="AW380" s="264"/>
      <c r="AX380" s="264"/>
      <c r="AY380" s="264"/>
      <c r="AZ380" s="264"/>
      <c r="BA380" s="264"/>
      <c r="BB380" s="264"/>
      <c r="BC380" s="264"/>
      <c r="BD380" s="264"/>
    </row>
    <row r="381">
      <c r="A381" s="26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c r="AA381" s="264"/>
      <c r="AB381" s="264"/>
      <c r="AC381" s="264"/>
      <c r="AD381" s="264"/>
      <c r="AE381" s="264"/>
      <c r="AF381" s="264"/>
      <c r="AG381" s="264"/>
      <c r="AH381" s="264"/>
      <c r="AI381" s="264"/>
      <c r="AJ381" s="264"/>
      <c r="AK381" s="264"/>
      <c r="AL381" s="264"/>
      <c r="AM381" s="264"/>
      <c r="AN381" s="264"/>
      <c r="AO381" s="264"/>
      <c r="AP381" s="264"/>
      <c r="AQ381" s="264"/>
      <c r="AR381" s="264"/>
      <c r="AS381" s="264"/>
      <c r="AT381" s="264"/>
      <c r="AU381" s="264"/>
      <c r="AV381" s="264"/>
      <c r="AW381" s="264"/>
      <c r="AX381" s="264"/>
      <c r="AY381" s="264"/>
      <c r="AZ381" s="264"/>
      <c r="BA381" s="264"/>
      <c r="BB381" s="264"/>
      <c r="BC381" s="264"/>
      <c r="BD381" s="264"/>
    </row>
    <row r="382">
      <c r="A382" s="26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c r="AA382" s="264"/>
      <c r="AB382" s="264"/>
      <c r="AC382" s="264"/>
      <c r="AD382" s="264"/>
      <c r="AE382" s="264"/>
      <c r="AF382" s="264"/>
      <c r="AG382" s="264"/>
      <c r="AH382" s="264"/>
      <c r="AI382" s="264"/>
      <c r="AJ382" s="264"/>
      <c r="AK382" s="264"/>
      <c r="AL382" s="264"/>
      <c r="AM382" s="264"/>
      <c r="AN382" s="264"/>
      <c r="AO382" s="264"/>
      <c r="AP382" s="264"/>
      <c r="AQ382" s="264"/>
      <c r="AR382" s="264"/>
      <c r="AS382" s="264"/>
      <c r="AT382" s="264"/>
      <c r="AU382" s="264"/>
      <c r="AV382" s="264"/>
      <c r="AW382" s="264"/>
      <c r="AX382" s="264"/>
      <c r="AY382" s="264"/>
      <c r="AZ382" s="264"/>
      <c r="BA382" s="264"/>
      <c r="BB382" s="264"/>
      <c r="BC382" s="264"/>
      <c r="BD382" s="264"/>
    </row>
    <row r="383">
      <c r="A383" s="264"/>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c r="AA383" s="264"/>
      <c r="AB383" s="264"/>
      <c r="AC383" s="264"/>
      <c r="AD383" s="264"/>
      <c r="AE383" s="264"/>
      <c r="AF383" s="264"/>
      <c r="AG383" s="264"/>
      <c r="AH383" s="264"/>
      <c r="AI383" s="264"/>
      <c r="AJ383" s="264"/>
      <c r="AK383" s="264"/>
      <c r="AL383" s="264"/>
      <c r="AM383" s="264"/>
      <c r="AN383" s="264"/>
      <c r="AO383" s="264"/>
      <c r="AP383" s="264"/>
      <c r="AQ383" s="264"/>
      <c r="AR383" s="264"/>
      <c r="AS383" s="264"/>
      <c r="AT383" s="264"/>
      <c r="AU383" s="264"/>
      <c r="AV383" s="264"/>
      <c r="AW383" s="264"/>
      <c r="AX383" s="264"/>
      <c r="AY383" s="264"/>
      <c r="AZ383" s="264"/>
      <c r="BA383" s="264"/>
      <c r="BB383" s="264"/>
      <c r="BC383" s="264"/>
      <c r="BD383" s="264"/>
    </row>
    <row r="384">
      <c r="A384" s="264"/>
      <c r="B384" s="264"/>
      <c r="C384" s="264"/>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c r="AA384" s="264"/>
      <c r="AB384" s="264"/>
      <c r="AC384" s="264"/>
      <c r="AD384" s="264"/>
      <c r="AE384" s="264"/>
      <c r="AF384" s="264"/>
      <c r="AG384" s="264"/>
      <c r="AH384" s="264"/>
      <c r="AI384" s="264"/>
      <c r="AJ384" s="264"/>
      <c r="AK384" s="264"/>
      <c r="AL384" s="264"/>
      <c r="AM384" s="264"/>
      <c r="AN384" s="264"/>
      <c r="AO384" s="264"/>
      <c r="AP384" s="264"/>
      <c r="AQ384" s="264"/>
      <c r="AR384" s="264"/>
      <c r="AS384" s="264"/>
      <c r="AT384" s="264"/>
      <c r="AU384" s="264"/>
      <c r="AV384" s="264"/>
      <c r="AW384" s="264"/>
      <c r="AX384" s="264"/>
      <c r="AY384" s="264"/>
      <c r="AZ384" s="264"/>
      <c r="BA384" s="264"/>
      <c r="BB384" s="264"/>
      <c r="BC384" s="264"/>
      <c r="BD384" s="264"/>
    </row>
    <row r="385">
      <c r="A385" s="264"/>
      <c r="B385" s="264"/>
      <c r="C385" s="264"/>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c r="AA385" s="264"/>
      <c r="AB385" s="264"/>
      <c r="AC385" s="264"/>
      <c r="AD385" s="264"/>
      <c r="AE385" s="264"/>
      <c r="AF385" s="264"/>
      <c r="AG385" s="264"/>
      <c r="AH385" s="264"/>
      <c r="AI385" s="264"/>
      <c r="AJ385" s="264"/>
      <c r="AK385" s="264"/>
      <c r="AL385" s="264"/>
      <c r="AM385" s="264"/>
      <c r="AN385" s="264"/>
      <c r="AO385" s="264"/>
      <c r="AP385" s="264"/>
      <c r="AQ385" s="264"/>
      <c r="AR385" s="264"/>
      <c r="AS385" s="264"/>
      <c r="AT385" s="264"/>
      <c r="AU385" s="264"/>
      <c r="AV385" s="264"/>
      <c r="AW385" s="264"/>
      <c r="AX385" s="264"/>
      <c r="AY385" s="264"/>
      <c r="AZ385" s="264"/>
      <c r="BA385" s="264"/>
      <c r="BB385" s="264"/>
      <c r="BC385" s="264"/>
      <c r="BD385" s="264"/>
    </row>
    <row r="386">
      <c r="A386" s="264"/>
      <c r="B386" s="264"/>
      <c r="C386" s="264"/>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c r="AA386" s="264"/>
      <c r="AB386" s="264"/>
      <c r="AC386" s="264"/>
      <c r="AD386" s="264"/>
      <c r="AE386" s="264"/>
      <c r="AF386" s="264"/>
      <c r="AG386" s="264"/>
      <c r="AH386" s="264"/>
      <c r="AI386" s="264"/>
      <c r="AJ386" s="264"/>
      <c r="AK386" s="264"/>
      <c r="AL386" s="264"/>
      <c r="AM386" s="264"/>
      <c r="AN386" s="264"/>
      <c r="AO386" s="264"/>
      <c r="AP386" s="264"/>
      <c r="AQ386" s="264"/>
      <c r="AR386" s="264"/>
      <c r="AS386" s="264"/>
      <c r="AT386" s="264"/>
      <c r="AU386" s="264"/>
      <c r="AV386" s="264"/>
      <c r="AW386" s="264"/>
      <c r="AX386" s="264"/>
      <c r="AY386" s="264"/>
      <c r="AZ386" s="264"/>
      <c r="BA386" s="264"/>
      <c r="BB386" s="264"/>
      <c r="BC386" s="264"/>
      <c r="BD386" s="264"/>
    </row>
    <row r="387">
      <c r="A387" s="264"/>
      <c r="B387" s="264"/>
      <c r="C387" s="264"/>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c r="AA387" s="264"/>
      <c r="AB387" s="264"/>
      <c r="AC387" s="264"/>
      <c r="AD387" s="264"/>
      <c r="AE387" s="264"/>
      <c r="AF387" s="264"/>
      <c r="AG387" s="264"/>
      <c r="AH387" s="264"/>
      <c r="AI387" s="264"/>
      <c r="AJ387" s="264"/>
      <c r="AK387" s="264"/>
      <c r="AL387" s="264"/>
      <c r="AM387" s="264"/>
      <c r="AN387" s="264"/>
      <c r="AO387" s="264"/>
      <c r="AP387" s="264"/>
      <c r="AQ387" s="264"/>
      <c r="AR387" s="264"/>
      <c r="AS387" s="264"/>
      <c r="AT387" s="264"/>
      <c r="AU387" s="264"/>
      <c r="AV387" s="264"/>
      <c r="AW387" s="264"/>
      <c r="AX387" s="264"/>
      <c r="AY387" s="264"/>
      <c r="AZ387" s="264"/>
      <c r="BA387" s="264"/>
      <c r="BB387" s="264"/>
      <c r="BC387" s="264"/>
      <c r="BD387" s="264"/>
    </row>
    <row r="388">
      <c r="A388" s="264"/>
      <c r="B388" s="264"/>
      <c r="C388" s="264"/>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row>
    <row r="389">
      <c r="A389" s="264"/>
      <c r="B389" s="264"/>
      <c r="C389" s="264"/>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row>
    <row r="390">
      <c r="A390" s="264"/>
      <c r="B390" s="264"/>
      <c r="C390" s="264"/>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c r="AA390" s="264"/>
      <c r="AB390" s="264"/>
      <c r="AC390" s="264"/>
      <c r="AD390" s="264"/>
      <c r="AE390" s="264"/>
      <c r="AF390" s="264"/>
      <c r="AG390" s="264"/>
      <c r="AH390" s="264"/>
      <c r="AI390" s="264"/>
      <c r="AJ390" s="264"/>
      <c r="AK390" s="264"/>
      <c r="AL390" s="264"/>
      <c r="AM390" s="264"/>
      <c r="AN390" s="264"/>
      <c r="AO390" s="264"/>
      <c r="AP390" s="264"/>
      <c r="AQ390" s="264"/>
      <c r="AR390" s="264"/>
      <c r="AS390" s="264"/>
      <c r="AT390" s="264"/>
      <c r="AU390" s="264"/>
      <c r="AV390" s="264"/>
      <c r="AW390" s="264"/>
      <c r="AX390" s="264"/>
      <c r="AY390" s="264"/>
      <c r="AZ390" s="264"/>
      <c r="BA390" s="264"/>
      <c r="BB390" s="264"/>
      <c r="BC390" s="264"/>
      <c r="BD390" s="264"/>
    </row>
    <row r="391">
      <c r="A391" s="264"/>
      <c r="B391" s="264"/>
      <c r="C391" s="264"/>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c r="AA391" s="264"/>
      <c r="AB391" s="264"/>
      <c r="AC391" s="264"/>
      <c r="AD391" s="264"/>
      <c r="AE391" s="264"/>
      <c r="AF391" s="264"/>
      <c r="AG391" s="264"/>
      <c r="AH391" s="264"/>
      <c r="AI391" s="264"/>
      <c r="AJ391" s="264"/>
      <c r="AK391" s="264"/>
      <c r="AL391" s="264"/>
      <c r="AM391" s="264"/>
      <c r="AN391" s="264"/>
      <c r="AO391" s="264"/>
      <c r="AP391" s="264"/>
      <c r="AQ391" s="264"/>
      <c r="AR391" s="264"/>
      <c r="AS391" s="264"/>
      <c r="AT391" s="264"/>
      <c r="AU391" s="264"/>
      <c r="AV391" s="264"/>
      <c r="AW391" s="264"/>
      <c r="AX391" s="264"/>
      <c r="AY391" s="264"/>
      <c r="AZ391" s="264"/>
      <c r="BA391" s="264"/>
      <c r="BB391" s="264"/>
      <c r="BC391" s="264"/>
      <c r="BD391" s="264"/>
    </row>
    <row r="392">
      <c r="A392" s="264"/>
      <c r="B392" s="264"/>
      <c r="C392" s="264"/>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c r="AA392" s="264"/>
      <c r="AB392" s="264"/>
      <c r="AC392" s="264"/>
      <c r="AD392" s="264"/>
      <c r="AE392" s="264"/>
      <c r="AF392" s="264"/>
      <c r="AG392" s="264"/>
      <c r="AH392" s="264"/>
      <c r="AI392" s="264"/>
      <c r="AJ392" s="264"/>
      <c r="AK392" s="264"/>
      <c r="AL392" s="264"/>
      <c r="AM392" s="264"/>
      <c r="AN392" s="264"/>
      <c r="AO392" s="264"/>
      <c r="AP392" s="264"/>
      <c r="AQ392" s="264"/>
      <c r="AR392" s="264"/>
      <c r="AS392" s="264"/>
      <c r="AT392" s="264"/>
      <c r="AU392" s="264"/>
      <c r="AV392" s="264"/>
      <c r="AW392" s="264"/>
      <c r="AX392" s="264"/>
      <c r="AY392" s="264"/>
      <c r="AZ392" s="264"/>
      <c r="BA392" s="264"/>
      <c r="BB392" s="264"/>
      <c r="BC392" s="264"/>
      <c r="BD392" s="264"/>
    </row>
    <row r="393">
      <c r="A393" s="264"/>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c r="AA393" s="264"/>
      <c r="AB393" s="264"/>
      <c r="AC393" s="264"/>
      <c r="AD393" s="264"/>
      <c r="AE393" s="264"/>
      <c r="AF393" s="264"/>
      <c r="AG393" s="264"/>
      <c r="AH393" s="264"/>
      <c r="AI393" s="264"/>
      <c r="AJ393" s="264"/>
      <c r="AK393" s="264"/>
      <c r="AL393" s="264"/>
      <c r="AM393" s="264"/>
      <c r="AN393" s="264"/>
      <c r="AO393" s="264"/>
      <c r="AP393" s="264"/>
      <c r="AQ393" s="264"/>
      <c r="AR393" s="264"/>
      <c r="AS393" s="264"/>
      <c r="AT393" s="264"/>
      <c r="AU393" s="264"/>
      <c r="AV393" s="264"/>
      <c r="AW393" s="264"/>
      <c r="AX393" s="264"/>
      <c r="AY393" s="264"/>
      <c r="AZ393" s="264"/>
      <c r="BA393" s="264"/>
      <c r="BB393" s="264"/>
      <c r="BC393" s="264"/>
      <c r="BD393" s="264"/>
    </row>
    <row r="394">
      <c r="A394" s="26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c r="AA394" s="264"/>
      <c r="AB394" s="264"/>
      <c r="AC394" s="264"/>
      <c r="AD394" s="264"/>
      <c r="AE394" s="264"/>
      <c r="AF394" s="264"/>
      <c r="AG394" s="264"/>
      <c r="AH394" s="264"/>
      <c r="AI394" s="264"/>
      <c r="AJ394" s="264"/>
      <c r="AK394" s="264"/>
      <c r="AL394" s="264"/>
      <c r="AM394" s="264"/>
      <c r="AN394" s="264"/>
      <c r="AO394" s="264"/>
      <c r="AP394" s="264"/>
      <c r="AQ394" s="264"/>
      <c r="AR394" s="264"/>
      <c r="AS394" s="264"/>
      <c r="AT394" s="264"/>
      <c r="AU394" s="264"/>
      <c r="AV394" s="264"/>
      <c r="AW394" s="264"/>
      <c r="AX394" s="264"/>
      <c r="AY394" s="264"/>
      <c r="AZ394" s="264"/>
      <c r="BA394" s="264"/>
      <c r="BB394" s="264"/>
      <c r="BC394" s="264"/>
      <c r="BD394" s="264"/>
    </row>
    <row r="395">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c r="AA395" s="264"/>
      <c r="AB395" s="264"/>
      <c r="AC395" s="264"/>
      <c r="AD395" s="264"/>
      <c r="AE395" s="264"/>
      <c r="AF395" s="264"/>
      <c r="AG395" s="264"/>
      <c r="AH395" s="264"/>
      <c r="AI395" s="264"/>
      <c r="AJ395" s="264"/>
      <c r="AK395" s="264"/>
      <c r="AL395" s="264"/>
      <c r="AM395" s="264"/>
      <c r="AN395" s="264"/>
      <c r="AO395" s="264"/>
      <c r="AP395" s="264"/>
      <c r="AQ395" s="264"/>
      <c r="AR395" s="264"/>
      <c r="AS395" s="264"/>
      <c r="AT395" s="264"/>
      <c r="AU395" s="264"/>
      <c r="AV395" s="264"/>
      <c r="AW395" s="264"/>
      <c r="AX395" s="264"/>
      <c r="AY395" s="264"/>
      <c r="AZ395" s="264"/>
      <c r="BA395" s="264"/>
      <c r="BB395" s="264"/>
      <c r="BC395" s="264"/>
      <c r="BD395" s="264"/>
    </row>
    <row r="396">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c r="AA396" s="264"/>
      <c r="AB396" s="264"/>
      <c r="AC396" s="264"/>
      <c r="AD396" s="264"/>
      <c r="AE396" s="264"/>
      <c r="AF396" s="264"/>
      <c r="AG396" s="264"/>
      <c r="AH396" s="264"/>
      <c r="AI396" s="264"/>
      <c r="AJ396" s="264"/>
      <c r="AK396" s="264"/>
      <c r="AL396" s="264"/>
      <c r="AM396" s="264"/>
      <c r="AN396" s="264"/>
      <c r="AO396" s="264"/>
      <c r="AP396" s="264"/>
      <c r="AQ396" s="264"/>
      <c r="AR396" s="264"/>
      <c r="AS396" s="264"/>
      <c r="AT396" s="264"/>
      <c r="AU396" s="264"/>
      <c r="AV396" s="264"/>
      <c r="AW396" s="264"/>
      <c r="AX396" s="264"/>
      <c r="AY396" s="264"/>
      <c r="AZ396" s="264"/>
      <c r="BA396" s="264"/>
      <c r="BB396" s="264"/>
      <c r="BC396" s="264"/>
      <c r="BD396" s="264"/>
    </row>
    <row r="397">
      <c r="A397" s="264"/>
      <c r="B397" s="264"/>
      <c r="C397" s="264"/>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c r="AA397" s="264"/>
      <c r="AB397" s="264"/>
      <c r="AC397" s="264"/>
      <c r="AD397" s="264"/>
      <c r="AE397" s="264"/>
      <c r="AF397" s="264"/>
      <c r="AG397" s="264"/>
      <c r="AH397" s="264"/>
      <c r="AI397" s="264"/>
      <c r="AJ397" s="264"/>
      <c r="AK397" s="264"/>
      <c r="AL397" s="264"/>
      <c r="AM397" s="264"/>
      <c r="AN397" s="264"/>
      <c r="AO397" s="264"/>
      <c r="AP397" s="264"/>
      <c r="AQ397" s="264"/>
      <c r="AR397" s="264"/>
      <c r="AS397" s="264"/>
      <c r="AT397" s="264"/>
      <c r="AU397" s="264"/>
      <c r="AV397" s="264"/>
      <c r="AW397" s="264"/>
      <c r="AX397" s="264"/>
      <c r="AY397" s="264"/>
      <c r="AZ397" s="264"/>
      <c r="BA397" s="264"/>
      <c r="BB397" s="264"/>
      <c r="BC397" s="264"/>
      <c r="BD397" s="264"/>
    </row>
    <row r="398">
      <c r="A398" s="264"/>
      <c r="B398" s="264"/>
      <c r="C398" s="264"/>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c r="AA398" s="264"/>
      <c r="AB398" s="264"/>
      <c r="AC398" s="264"/>
      <c r="AD398" s="264"/>
      <c r="AE398" s="264"/>
      <c r="AF398" s="264"/>
      <c r="AG398" s="264"/>
      <c r="AH398" s="264"/>
      <c r="AI398" s="264"/>
      <c r="AJ398" s="264"/>
      <c r="AK398" s="264"/>
      <c r="AL398" s="264"/>
      <c r="AM398" s="264"/>
      <c r="AN398" s="264"/>
      <c r="AO398" s="264"/>
      <c r="AP398" s="264"/>
      <c r="AQ398" s="264"/>
      <c r="AR398" s="264"/>
      <c r="AS398" s="264"/>
      <c r="AT398" s="264"/>
      <c r="AU398" s="264"/>
      <c r="AV398" s="264"/>
      <c r="AW398" s="264"/>
      <c r="AX398" s="264"/>
      <c r="AY398" s="264"/>
      <c r="AZ398" s="264"/>
      <c r="BA398" s="264"/>
      <c r="BB398" s="264"/>
      <c r="BC398" s="264"/>
      <c r="BD398" s="264"/>
    </row>
    <row r="399">
      <c r="A399" s="264"/>
      <c r="B399" s="264"/>
      <c r="C399" s="264"/>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c r="AA399" s="264"/>
      <c r="AB399" s="264"/>
      <c r="AC399" s="264"/>
      <c r="AD399" s="264"/>
      <c r="AE399" s="264"/>
      <c r="AF399" s="264"/>
      <c r="AG399" s="264"/>
      <c r="AH399" s="264"/>
      <c r="AI399" s="264"/>
      <c r="AJ399" s="264"/>
      <c r="AK399" s="264"/>
      <c r="AL399" s="264"/>
      <c r="AM399" s="264"/>
      <c r="AN399" s="264"/>
      <c r="AO399" s="264"/>
      <c r="AP399" s="264"/>
      <c r="AQ399" s="264"/>
      <c r="AR399" s="264"/>
      <c r="AS399" s="264"/>
      <c r="AT399" s="264"/>
      <c r="AU399" s="264"/>
      <c r="AV399" s="264"/>
      <c r="AW399" s="264"/>
      <c r="AX399" s="264"/>
      <c r="AY399" s="264"/>
      <c r="AZ399" s="264"/>
      <c r="BA399" s="264"/>
      <c r="BB399" s="264"/>
      <c r="BC399" s="264"/>
      <c r="BD399" s="264"/>
    </row>
    <row r="400">
      <c r="A400" s="264"/>
      <c r="B400" s="264"/>
      <c r="C400" s="264"/>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c r="AA400" s="264"/>
      <c r="AB400" s="264"/>
      <c r="AC400" s="264"/>
      <c r="AD400" s="264"/>
      <c r="AE400" s="264"/>
      <c r="AF400" s="264"/>
      <c r="AG400" s="264"/>
      <c r="AH400" s="264"/>
      <c r="AI400" s="264"/>
      <c r="AJ400" s="264"/>
      <c r="AK400" s="264"/>
      <c r="AL400" s="264"/>
      <c r="AM400" s="264"/>
      <c r="AN400" s="264"/>
      <c r="AO400" s="264"/>
      <c r="AP400" s="264"/>
      <c r="AQ400" s="264"/>
      <c r="AR400" s="264"/>
      <c r="AS400" s="264"/>
      <c r="AT400" s="264"/>
      <c r="AU400" s="264"/>
      <c r="AV400" s="264"/>
      <c r="AW400" s="264"/>
      <c r="AX400" s="264"/>
      <c r="AY400" s="264"/>
      <c r="AZ400" s="264"/>
      <c r="BA400" s="264"/>
      <c r="BB400" s="264"/>
      <c r="BC400" s="264"/>
      <c r="BD400" s="264"/>
    </row>
    <row r="401">
      <c r="A401" s="264"/>
      <c r="B401" s="264"/>
      <c r="C401" s="264"/>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c r="AA401" s="264"/>
      <c r="AB401" s="264"/>
      <c r="AC401" s="264"/>
      <c r="AD401" s="264"/>
      <c r="AE401" s="264"/>
      <c r="AF401" s="264"/>
      <c r="AG401" s="264"/>
      <c r="AH401" s="264"/>
      <c r="AI401" s="264"/>
      <c r="AJ401" s="264"/>
      <c r="AK401" s="264"/>
      <c r="AL401" s="264"/>
      <c r="AM401" s="264"/>
      <c r="AN401" s="264"/>
      <c r="AO401" s="264"/>
      <c r="AP401" s="264"/>
      <c r="AQ401" s="264"/>
      <c r="AR401" s="264"/>
      <c r="AS401" s="264"/>
      <c r="AT401" s="264"/>
      <c r="AU401" s="264"/>
      <c r="AV401" s="264"/>
      <c r="AW401" s="264"/>
      <c r="AX401" s="264"/>
      <c r="AY401" s="264"/>
      <c r="AZ401" s="264"/>
      <c r="BA401" s="264"/>
      <c r="BB401" s="264"/>
      <c r="BC401" s="264"/>
      <c r="BD401" s="264"/>
    </row>
    <row r="402">
      <c r="A402" s="264"/>
      <c r="B402" s="264"/>
      <c r="C402" s="264"/>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c r="AA402" s="264"/>
      <c r="AB402" s="264"/>
      <c r="AC402" s="264"/>
      <c r="AD402" s="264"/>
      <c r="AE402" s="264"/>
      <c r="AF402" s="264"/>
      <c r="AG402" s="264"/>
      <c r="AH402" s="264"/>
      <c r="AI402" s="264"/>
      <c r="AJ402" s="264"/>
      <c r="AK402" s="264"/>
      <c r="AL402" s="264"/>
      <c r="AM402" s="264"/>
      <c r="AN402" s="264"/>
      <c r="AO402" s="264"/>
      <c r="AP402" s="264"/>
      <c r="AQ402" s="264"/>
      <c r="AR402" s="264"/>
      <c r="AS402" s="264"/>
      <c r="AT402" s="264"/>
      <c r="AU402" s="264"/>
      <c r="AV402" s="264"/>
      <c r="AW402" s="264"/>
      <c r="AX402" s="264"/>
      <c r="AY402" s="264"/>
      <c r="AZ402" s="264"/>
      <c r="BA402" s="264"/>
      <c r="BB402" s="264"/>
      <c r="BC402" s="264"/>
      <c r="BD402" s="264"/>
    </row>
    <row r="403">
      <c r="A403" s="264"/>
      <c r="B403" s="264"/>
      <c r="C403" s="264"/>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c r="AA403" s="264"/>
      <c r="AB403" s="264"/>
      <c r="AC403" s="264"/>
      <c r="AD403" s="264"/>
      <c r="AE403" s="264"/>
      <c r="AF403" s="264"/>
      <c r="AG403" s="264"/>
      <c r="AH403" s="264"/>
      <c r="AI403" s="264"/>
      <c r="AJ403" s="264"/>
      <c r="AK403" s="264"/>
      <c r="AL403" s="264"/>
      <c r="AM403" s="264"/>
      <c r="AN403" s="264"/>
      <c r="AO403" s="264"/>
      <c r="AP403" s="264"/>
      <c r="AQ403" s="264"/>
      <c r="AR403" s="264"/>
      <c r="AS403" s="264"/>
      <c r="AT403" s="264"/>
      <c r="AU403" s="264"/>
      <c r="AV403" s="264"/>
      <c r="AW403" s="264"/>
      <c r="AX403" s="264"/>
      <c r="AY403" s="264"/>
      <c r="AZ403" s="264"/>
      <c r="BA403" s="264"/>
      <c r="BB403" s="264"/>
      <c r="BC403" s="264"/>
      <c r="BD403" s="264"/>
    </row>
    <row r="404">
      <c r="A404" s="264"/>
      <c r="B404" s="264"/>
      <c r="C404" s="264"/>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c r="AA404" s="264"/>
      <c r="AB404" s="264"/>
      <c r="AC404" s="264"/>
      <c r="AD404" s="264"/>
      <c r="AE404" s="264"/>
      <c r="AF404" s="264"/>
      <c r="AG404" s="264"/>
      <c r="AH404" s="264"/>
      <c r="AI404" s="264"/>
      <c r="AJ404" s="264"/>
      <c r="AK404" s="264"/>
      <c r="AL404" s="264"/>
      <c r="AM404" s="264"/>
      <c r="AN404" s="264"/>
      <c r="AO404" s="264"/>
      <c r="AP404" s="264"/>
      <c r="AQ404" s="264"/>
      <c r="AR404" s="264"/>
      <c r="AS404" s="264"/>
      <c r="AT404" s="264"/>
      <c r="AU404" s="264"/>
      <c r="AV404" s="264"/>
      <c r="AW404" s="264"/>
      <c r="AX404" s="264"/>
      <c r="AY404" s="264"/>
      <c r="AZ404" s="264"/>
      <c r="BA404" s="264"/>
      <c r="BB404" s="264"/>
      <c r="BC404" s="264"/>
      <c r="BD404" s="264"/>
    </row>
    <row r="405">
      <c r="A405" s="264"/>
      <c r="B405" s="264"/>
      <c r="C405" s="264"/>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c r="AA405" s="264"/>
      <c r="AB405" s="264"/>
      <c r="AC405" s="264"/>
      <c r="AD405" s="264"/>
      <c r="AE405" s="264"/>
      <c r="AF405" s="264"/>
      <c r="AG405" s="264"/>
      <c r="AH405" s="264"/>
      <c r="AI405" s="264"/>
      <c r="AJ405" s="264"/>
      <c r="AK405" s="264"/>
      <c r="AL405" s="264"/>
      <c r="AM405" s="264"/>
      <c r="AN405" s="264"/>
      <c r="AO405" s="264"/>
      <c r="AP405" s="264"/>
      <c r="AQ405" s="264"/>
      <c r="AR405" s="264"/>
      <c r="AS405" s="264"/>
      <c r="AT405" s="264"/>
      <c r="AU405" s="264"/>
      <c r="AV405" s="264"/>
      <c r="AW405" s="264"/>
      <c r="AX405" s="264"/>
      <c r="AY405" s="264"/>
      <c r="AZ405" s="264"/>
      <c r="BA405" s="264"/>
      <c r="BB405" s="264"/>
      <c r="BC405" s="264"/>
      <c r="BD405" s="264"/>
    </row>
    <row r="406">
      <c r="A406" s="264"/>
      <c r="B406" s="264"/>
      <c r="C406" s="264"/>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c r="AA406" s="264"/>
      <c r="AB406" s="264"/>
      <c r="AC406" s="264"/>
      <c r="AD406" s="264"/>
      <c r="AE406" s="264"/>
      <c r="AF406" s="264"/>
      <c r="AG406" s="264"/>
      <c r="AH406" s="264"/>
      <c r="AI406" s="264"/>
      <c r="AJ406" s="264"/>
      <c r="AK406" s="264"/>
      <c r="AL406" s="264"/>
      <c r="AM406" s="264"/>
      <c r="AN406" s="264"/>
      <c r="AO406" s="264"/>
      <c r="AP406" s="264"/>
      <c r="AQ406" s="264"/>
      <c r="AR406" s="264"/>
      <c r="AS406" s="264"/>
      <c r="AT406" s="264"/>
      <c r="AU406" s="264"/>
      <c r="AV406" s="264"/>
      <c r="AW406" s="264"/>
      <c r="AX406" s="264"/>
      <c r="AY406" s="264"/>
      <c r="AZ406" s="264"/>
      <c r="BA406" s="264"/>
      <c r="BB406" s="264"/>
      <c r="BC406" s="264"/>
      <c r="BD406" s="264"/>
    </row>
    <row r="407">
      <c r="A407" s="264"/>
      <c r="B407" s="264"/>
      <c r="C407" s="264"/>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c r="AA407" s="264"/>
      <c r="AB407" s="264"/>
      <c r="AC407" s="264"/>
      <c r="AD407" s="264"/>
      <c r="AE407" s="264"/>
      <c r="AF407" s="264"/>
      <c r="AG407" s="264"/>
      <c r="AH407" s="264"/>
      <c r="AI407" s="264"/>
      <c r="AJ407" s="264"/>
      <c r="AK407" s="264"/>
      <c r="AL407" s="264"/>
      <c r="AM407" s="264"/>
      <c r="AN407" s="264"/>
      <c r="AO407" s="264"/>
      <c r="AP407" s="264"/>
      <c r="AQ407" s="264"/>
      <c r="AR407" s="264"/>
      <c r="AS407" s="264"/>
      <c r="AT407" s="264"/>
      <c r="AU407" s="264"/>
      <c r="AV407" s="264"/>
      <c r="AW407" s="264"/>
      <c r="AX407" s="264"/>
      <c r="AY407" s="264"/>
      <c r="AZ407" s="264"/>
      <c r="BA407" s="264"/>
      <c r="BB407" s="264"/>
      <c r="BC407" s="264"/>
      <c r="BD407" s="264"/>
    </row>
    <row r="408">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c r="AA408" s="264"/>
      <c r="AB408" s="264"/>
      <c r="AC408" s="264"/>
      <c r="AD408" s="264"/>
      <c r="AE408" s="264"/>
      <c r="AF408" s="264"/>
      <c r="AG408" s="264"/>
      <c r="AH408" s="264"/>
      <c r="AI408" s="264"/>
      <c r="AJ408" s="264"/>
      <c r="AK408" s="264"/>
      <c r="AL408" s="264"/>
      <c r="AM408" s="264"/>
      <c r="AN408" s="264"/>
      <c r="AO408" s="264"/>
      <c r="AP408" s="264"/>
      <c r="AQ408" s="264"/>
      <c r="AR408" s="264"/>
      <c r="AS408" s="264"/>
      <c r="AT408" s="264"/>
      <c r="AU408" s="264"/>
      <c r="AV408" s="264"/>
      <c r="AW408" s="264"/>
      <c r="AX408" s="264"/>
      <c r="AY408" s="264"/>
      <c r="AZ408" s="264"/>
      <c r="BA408" s="264"/>
      <c r="BB408" s="264"/>
      <c r="BC408" s="264"/>
      <c r="BD408" s="264"/>
    </row>
    <row r="409">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c r="AA409" s="264"/>
      <c r="AB409" s="264"/>
      <c r="AC409" s="264"/>
      <c r="AD409" s="264"/>
      <c r="AE409" s="264"/>
      <c r="AF409" s="264"/>
      <c r="AG409" s="264"/>
      <c r="AH409" s="264"/>
      <c r="AI409" s="264"/>
      <c r="AJ409" s="264"/>
      <c r="AK409" s="264"/>
      <c r="AL409" s="264"/>
      <c r="AM409" s="264"/>
      <c r="AN409" s="264"/>
      <c r="AO409" s="264"/>
      <c r="AP409" s="264"/>
      <c r="AQ409" s="264"/>
      <c r="AR409" s="264"/>
      <c r="AS409" s="264"/>
      <c r="AT409" s="264"/>
      <c r="AU409" s="264"/>
      <c r="AV409" s="264"/>
      <c r="AW409" s="264"/>
      <c r="AX409" s="264"/>
      <c r="AY409" s="264"/>
      <c r="AZ409" s="264"/>
      <c r="BA409" s="264"/>
      <c r="BB409" s="264"/>
      <c r="BC409" s="264"/>
      <c r="BD409" s="264"/>
    </row>
    <row r="410">
      <c r="A410" s="264"/>
      <c r="B410" s="264"/>
      <c r="C410" s="264"/>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c r="AA410" s="264"/>
      <c r="AB410" s="264"/>
      <c r="AC410" s="264"/>
      <c r="AD410" s="264"/>
      <c r="AE410" s="264"/>
      <c r="AF410" s="264"/>
      <c r="AG410" s="264"/>
      <c r="AH410" s="264"/>
      <c r="AI410" s="264"/>
      <c r="AJ410" s="264"/>
      <c r="AK410" s="264"/>
      <c r="AL410" s="264"/>
      <c r="AM410" s="264"/>
      <c r="AN410" s="264"/>
      <c r="AO410" s="264"/>
      <c r="AP410" s="264"/>
      <c r="AQ410" s="264"/>
      <c r="AR410" s="264"/>
      <c r="AS410" s="264"/>
      <c r="AT410" s="264"/>
      <c r="AU410" s="264"/>
      <c r="AV410" s="264"/>
      <c r="AW410" s="264"/>
      <c r="AX410" s="264"/>
      <c r="AY410" s="264"/>
      <c r="AZ410" s="264"/>
      <c r="BA410" s="264"/>
      <c r="BB410" s="264"/>
      <c r="BC410" s="264"/>
      <c r="BD410" s="264"/>
    </row>
    <row r="411">
      <c r="A411" s="264"/>
      <c r="B411" s="264"/>
      <c r="C411" s="264"/>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c r="AA411" s="264"/>
      <c r="AB411" s="264"/>
      <c r="AC411" s="264"/>
      <c r="AD411" s="264"/>
      <c r="AE411" s="264"/>
      <c r="AF411" s="264"/>
      <c r="AG411" s="264"/>
      <c r="AH411" s="264"/>
      <c r="AI411" s="264"/>
      <c r="AJ411" s="264"/>
      <c r="AK411" s="264"/>
      <c r="AL411" s="264"/>
      <c r="AM411" s="264"/>
      <c r="AN411" s="264"/>
      <c r="AO411" s="264"/>
      <c r="AP411" s="264"/>
      <c r="AQ411" s="264"/>
      <c r="AR411" s="264"/>
      <c r="AS411" s="264"/>
      <c r="AT411" s="264"/>
      <c r="AU411" s="264"/>
      <c r="AV411" s="264"/>
      <c r="AW411" s="264"/>
      <c r="AX411" s="264"/>
      <c r="AY411" s="264"/>
      <c r="AZ411" s="264"/>
      <c r="BA411" s="264"/>
      <c r="BB411" s="264"/>
      <c r="BC411" s="264"/>
      <c r="BD411" s="264"/>
    </row>
    <row r="412">
      <c r="A412" s="264"/>
      <c r="B412" s="264"/>
      <c r="C412" s="264"/>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c r="AA412" s="264"/>
      <c r="AB412" s="264"/>
      <c r="AC412" s="264"/>
      <c r="AD412" s="264"/>
      <c r="AE412" s="264"/>
      <c r="AF412" s="264"/>
      <c r="AG412" s="264"/>
      <c r="AH412" s="264"/>
      <c r="AI412" s="264"/>
      <c r="AJ412" s="264"/>
      <c r="AK412" s="264"/>
      <c r="AL412" s="264"/>
      <c r="AM412" s="264"/>
      <c r="AN412" s="264"/>
      <c r="AO412" s="264"/>
      <c r="AP412" s="264"/>
      <c r="AQ412" s="264"/>
      <c r="AR412" s="264"/>
      <c r="AS412" s="264"/>
      <c r="AT412" s="264"/>
      <c r="AU412" s="264"/>
      <c r="AV412" s="264"/>
      <c r="AW412" s="264"/>
      <c r="AX412" s="264"/>
      <c r="AY412" s="264"/>
      <c r="AZ412" s="264"/>
      <c r="BA412" s="264"/>
      <c r="BB412" s="264"/>
      <c r="BC412" s="264"/>
      <c r="BD412" s="264"/>
    </row>
    <row r="413">
      <c r="A413" s="264"/>
      <c r="B413" s="264"/>
      <c r="C413" s="264"/>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c r="AA413" s="264"/>
      <c r="AB413" s="264"/>
      <c r="AC413" s="264"/>
      <c r="AD413" s="264"/>
      <c r="AE413" s="264"/>
      <c r="AF413" s="264"/>
      <c r="AG413" s="264"/>
      <c r="AH413" s="264"/>
      <c r="AI413" s="264"/>
      <c r="AJ413" s="264"/>
      <c r="AK413" s="264"/>
      <c r="AL413" s="264"/>
      <c r="AM413" s="264"/>
      <c r="AN413" s="264"/>
      <c r="AO413" s="264"/>
      <c r="AP413" s="264"/>
      <c r="AQ413" s="264"/>
      <c r="AR413" s="264"/>
      <c r="AS413" s="264"/>
      <c r="AT413" s="264"/>
      <c r="AU413" s="264"/>
      <c r="AV413" s="264"/>
      <c r="AW413" s="264"/>
      <c r="AX413" s="264"/>
      <c r="AY413" s="264"/>
      <c r="AZ413" s="264"/>
      <c r="BA413" s="264"/>
      <c r="BB413" s="264"/>
      <c r="BC413" s="264"/>
      <c r="BD413" s="264"/>
    </row>
    <row r="414">
      <c r="A414" s="264"/>
      <c r="B414" s="264"/>
      <c r="C414" s="264"/>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c r="AA414" s="264"/>
      <c r="AB414" s="264"/>
      <c r="AC414" s="264"/>
      <c r="AD414" s="264"/>
      <c r="AE414" s="264"/>
      <c r="AF414" s="264"/>
      <c r="AG414" s="264"/>
      <c r="AH414" s="264"/>
      <c r="AI414" s="264"/>
      <c r="AJ414" s="264"/>
      <c r="AK414" s="264"/>
      <c r="AL414" s="264"/>
      <c r="AM414" s="264"/>
      <c r="AN414" s="264"/>
      <c r="AO414" s="264"/>
      <c r="AP414" s="264"/>
      <c r="AQ414" s="264"/>
      <c r="AR414" s="264"/>
      <c r="AS414" s="264"/>
      <c r="AT414" s="264"/>
      <c r="AU414" s="264"/>
      <c r="AV414" s="264"/>
      <c r="AW414" s="264"/>
      <c r="AX414" s="264"/>
      <c r="AY414" s="264"/>
      <c r="AZ414" s="264"/>
      <c r="BA414" s="264"/>
      <c r="BB414" s="264"/>
      <c r="BC414" s="264"/>
      <c r="BD414" s="264"/>
    </row>
    <row r="415">
      <c r="A415" s="264"/>
      <c r="B415" s="264"/>
      <c r="C415" s="264"/>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c r="AA415" s="264"/>
      <c r="AB415" s="264"/>
      <c r="AC415" s="264"/>
      <c r="AD415" s="264"/>
      <c r="AE415" s="264"/>
      <c r="AF415" s="264"/>
      <c r="AG415" s="264"/>
      <c r="AH415" s="264"/>
      <c r="AI415" s="264"/>
      <c r="AJ415" s="264"/>
      <c r="AK415" s="264"/>
      <c r="AL415" s="264"/>
      <c r="AM415" s="264"/>
      <c r="AN415" s="264"/>
      <c r="AO415" s="264"/>
      <c r="AP415" s="264"/>
      <c r="AQ415" s="264"/>
      <c r="AR415" s="264"/>
      <c r="AS415" s="264"/>
      <c r="AT415" s="264"/>
      <c r="AU415" s="264"/>
      <c r="AV415" s="264"/>
      <c r="AW415" s="264"/>
      <c r="AX415" s="264"/>
      <c r="AY415" s="264"/>
      <c r="AZ415" s="264"/>
      <c r="BA415" s="264"/>
      <c r="BB415" s="264"/>
      <c r="BC415" s="264"/>
      <c r="BD415" s="264"/>
    </row>
    <row r="416">
      <c r="A416" s="264"/>
      <c r="B416" s="264"/>
      <c r="C416" s="264"/>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c r="AA416" s="264"/>
      <c r="AB416" s="264"/>
      <c r="AC416" s="264"/>
      <c r="AD416" s="264"/>
      <c r="AE416" s="264"/>
      <c r="AF416" s="264"/>
      <c r="AG416" s="264"/>
      <c r="AH416" s="264"/>
      <c r="AI416" s="264"/>
      <c r="AJ416" s="264"/>
      <c r="AK416" s="264"/>
      <c r="AL416" s="264"/>
      <c r="AM416" s="264"/>
      <c r="AN416" s="264"/>
      <c r="AO416" s="264"/>
      <c r="AP416" s="264"/>
      <c r="AQ416" s="264"/>
      <c r="AR416" s="264"/>
      <c r="AS416" s="264"/>
      <c r="AT416" s="264"/>
      <c r="AU416" s="264"/>
      <c r="AV416" s="264"/>
      <c r="AW416" s="264"/>
      <c r="AX416" s="264"/>
      <c r="AY416" s="264"/>
      <c r="AZ416" s="264"/>
      <c r="BA416" s="264"/>
      <c r="BB416" s="264"/>
      <c r="BC416" s="264"/>
      <c r="BD416" s="264"/>
    </row>
    <row r="417">
      <c r="A417" s="264"/>
      <c r="B417" s="264"/>
      <c r="C417" s="264"/>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c r="AA417" s="264"/>
      <c r="AB417" s="264"/>
      <c r="AC417" s="264"/>
      <c r="AD417" s="264"/>
      <c r="AE417" s="264"/>
      <c r="AF417" s="264"/>
      <c r="AG417" s="264"/>
      <c r="AH417" s="264"/>
      <c r="AI417" s="264"/>
      <c r="AJ417" s="264"/>
      <c r="AK417" s="264"/>
      <c r="AL417" s="264"/>
      <c r="AM417" s="264"/>
      <c r="AN417" s="264"/>
      <c r="AO417" s="264"/>
      <c r="AP417" s="264"/>
      <c r="AQ417" s="264"/>
      <c r="AR417" s="264"/>
      <c r="AS417" s="264"/>
      <c r="AT417" s="264"/>
      <c r="AU417" s="264"/>
      <c r="AV417" s="264"/>
      <c r="AW417" s="264"/>
      <c r="AX417" s="264"/>
      <c r="AY417" s="264"/>
      <c r="AZ417" s="264"/>
      <c r="BA417" s="264"/>
      <c r="BB417" s="264"/>
      <c r="BC417" s="264"/>
      <c r="BD417" s="264"/>
    </row>
    <row r="418">
      <c r="A418" s="264"/>
      <c r="B418" s="264"/>
      <c r="C418" s="264"/>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c r="AA418" s="264"/>
      <c r="AB418" s="264"/>
      <c r="AC418" s="264"/>
      <c r="AD418" s="264"/>
      <c r="AE418" s="264"/>
      <c r="AF418" s="264"/>
      <c r="AG418" s="264"/>
      <c r="AH418" s="264"/>
      <c r="AI418" s="264"/>
      <c r="AJ418" s="264"/>
      <c r="AK418" s="264"/>
      <c r="AL418" s="264"/>
      <c r="AM418" s="264"/>
      <c r="AN418" s="264"/>
      <c r="AO418" s="264"/>
      <c r="AP418" s="264"/>
      <c r="AQ418" s="264"/>
      <c r="AR418" s="264"/>
      <c r="AS418" s="264"/>
      <c r="AT418" s="264"/>
      <c r="AU418" s="264"/>
      <c r="AV418" s="264"/>
      <c r="AW418" s="264"/>
      <c r="AX418" s="264"/>
      <c r="AY418" s="264"/>
      <c r="AZ418" s="264"/>
      <c r="BA418" s="264"/>
      <c r="BB418" s="264"/>
      <c r="BC418" s="264"/>
      <c r="BD418" s="264"/>
    </row>
    <row r="419">
      <c r="A419" s="264"/>
      <c r="B419" s="264"/>
      <c r="C419" s="264"/>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c r="AA419" s="264"/>
      <c r="AB419" s="264"/>
      <c r="AC419" s="264"/>
      <c r="AD419" s="264"/>
      <c r="AE419" s="264"/>
      <c r="AF419" s="264"/>
      <c r="AG419" s="264"/>
      <c r="AH419" s="264"/>
      <c r="AI419" s="264"/>
      <c r="AJ419" s="264"/>
      <c r="AK419" s="264"/>
      <c r="AL419" s="264"/>
      <c r="AM419" s="264"/>
      <c r="AN419" s="264"/>
      <c r="AO419" s="264"/>
      <c r="AP419" s="264"/>
      <c r="AQ419" s="264"/>
      <c r="AR419" s="264"/>
      <c r="AS419" s="264"/>
      <c r="AT419" s="264"/>
      <c r="AU419" s="264"/>
      <c r="AV419" s="264"/>
      <c r="AW419" s="264"/>
      <c r="AX419" s="264"/>
      <c r="AY419" s="264"/>
      <c r="AZ419" s="264"/>
      <c r="BA419" s="264"/>
      <c r="BB419" s="264"/>
      <c r="BC419" s="264"/>
      <c r="BD419" s="264"/>
    </row>
    <row r="420">
      <c r="A420" s="264"/>
      <c r="B420" s="264"/>
      <c r="C420" s="264"/>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c r="AA420" s="264"/>
      <c r="AB420" s="264"/>
      <c r="AC420" s="264"/>
      <c r="AD420" s="264"/>
      <c r="AE420" s="264"/>
      <c r="AF420" s="264"/>
      <c r="AG420" s="264"/>
      <c r="AH420" s="264"/>
      <c r="AI420" s="264"/>
      <c r="AJ420" s="264"/>
      <c r="AK420" s="264"/>
      <c r="AL420" s="264"/>
      <c r="AM420" s="264"/>
      <c r="AN420" s="264"/>
      <c r="AO420" s="264"/>
      <c r="AP420" s="264"/>
      <c r="AQ420" s="264"/>
      <c r="AR420" s="264"/>
      <c r="AS420" s="264"/>
      <c r="AT420" s="264"/>
      <c r="AU420" s="264"/>
      <c r="AV420" s="264"/>
      <c r="AW420" s="264"/>
      <c r="AX420" s="264"/>
      <c r="AY420" s="264"/>
      <c r="AZ420" s="264"/>
      <c r="BA420" s="264"/>
      <c r="BB420" s="264"/>
      <c r="BC420" s="264"/>
      <c r="BD420" s="264"/>
    </row>
    <row r="421">
      <c r="A421" s="264"/>
      <c r="B421" s="264"/>
      <c r="C421" s="264"/>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c r="AA421" s="264"/>
      <c r="AB421" s="264"/>
      <c r="AC421" s="264"/>
      <c r="AD421" s="264"/>
      <c r="AE421" s="264"/>
      <c r="AF421" s="264"/>
      <c r="AG421" s="264"/>
      <c r="AH421" s="264"/>
      <c r="AI421" s="264"/>
      <c r="AJ421" s="264"/>
      <c r="AK421" s="264"/>
      <c r="AL421" s="264"/>
      <c r="AM421" s="264"/>
      <c r="AN421" s="264"/>
      <c r="AO421" s="264"/>
      <c r="AP421" s="264"/>
      <c r="AQ421" s="264"/>
      <c r="AR421" s="264"/>
      <c r="AS421" s="264"/>
      <c r="AT421" s="264"/>
      <c r="AU421" s="264"/>
      <c r="AV421" s="264"/>
      <c r="AW421" s="264"/>
      <c r="AX421" s="264"/>
      <c r="AY421" s="264"/>
      <c r="AZ421" s="264"/>
      <c r="BA421" s="264"/>
      <c r="BB421" s="264"/>
      <c r="BC421" s="264"/>
      <c r="BD421" s="264"/>
    </row>
    <row r="422">
      <c r="A422" s="264"/>
      <c r="B422" s="264"/>
      <c r="C422" s="264"/>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c r="AA422" s="264"/>
      <c r="AB422" s="264"/>
      <c r="AC422" s="264"/>
      <c r="AD422" s="264"/>
      <c r="AE422" s="264"/>
      <c r="AF422" s="264"/>
      <c r="AG422" s="264"/>
      <c r="AH422" s="264"/>
      <c r="AI422" s="264"/>
      <c r="AJ422" s="264"/>
      <c r="AK422" s="264"/>
      <c r="AL422" s="264"/>
      <c r="AM422" s="264"/>
      <c r="AN422" s="264"/>
      <c r="AO422" s="264"/>
      <c r="AP422" s="264"/>
      <c r="AQ422" s="264"/>
      <c r="AR422" s="264"/>
      <c r="AS422" s="264"/>
      <c r="AT422" s="264"/>
      <c r="AU422" s="264"/>
      <c r="AV422" s="264"/>
      <c r="AW422" s="264"/>
      <c r="AX422" s="264"/>
      <c r="AY422" s="264"/>
      <c r="AZ422" s="264"/>
      <c r="BA422" s="264"/>
      <c r="BB422" s="264"/>
      <c r="BC422" s="264"/>
      <c r="BD422" s="264"/>
    </row>
    <row r="423">
      <c r="A423" s="264"/>
      <c r="B423" s="264"/>
      <c r="C423" s="264"/>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c r="AA423" s="264"/>
      <c r="AB423" s="264"/>
      <c r="AC423" s="264"/>
      <c r="AD423" s="264"/>
      <c r="AE423" s="264"/>
      <c r="AF423" s="264"/>
      <c r="AG423" s="264"/>
      <c r="AH423" s="264"/>
      <c r="AI423" s="264"/>
      <c r="AJ423" s="264"/>
      <c r="AK423" s="264"/>
      <c r="AL423" s="264"/>
      <c r="AM423" s="264"/>
      <c r="AN423" s="264"/>
      <c r="AO423" s="264"/>
      <c r="AP423" s="264"/>
      <c r="AQ423" s="264"/>
      <c r="AR423" s="264"/>
      <c r="AS423" s="264"/>
      <c r="AT423" s="264"/>
      <c r="AU423" s="264"/>
      <c r="AV423" s="264"/>
      <c r="AW423" s="264"/>
      <c r="AX423" s="264"/>
      <c r="AY423" s="264"/>
      <c r="AZ423" s="264"/>
      <c r="BA423" s="264"/>
      <c r="BB423" s="264"/>
      <c r="BC423" s="264"/>
      <c r="BD423" s="264"/>
    </row>
    <row r="424">
      <c r="A424" s="264"/>
      <c r="B424" s="264"/>
      <c r="C424" s="264"/>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c r="AA424" s="264"/>
      <c r="AB424" s="264"/>
      <c r="AC424" s="264"/>
      <c r="AD424" s="264"/>
      <c r="AE424" s="264"/>
      <c r="AF424" s="264"/>
      <c r="AG424" s="264"/>
      <c r="AH424" s="264"/>
      <c r="AI424" s="264"/>
      <c r="AJ424" s="264"/>
      <c r="AK424" s="264"/>
      <c r="AL424" s="264"/>
      <c r="AM424" s="264"/>
      <c r="AN424" s="264"/>
      <c r="AO424" s="264"/>
      <c r="AP424" s="264"/>
      <c r="AQ424" s="264"/>
      <c r="AR424" s="264"/>
      <c r="AS424" s="264"/>
      <c r="AT424" s="264"/>
      <c r="AU424" s="264"/>
      <c r="AV424" s="264"/>
      <c r="AW424" s="264"/>
      <c r="AX424" s="264"/>
      <c r="AY424" s="264"/>
      <c r="AZ424" s="264"/>
      <c r="BA424" s="264"/>
      <c r="BB424" s="264"/>
      <c r="BC424" s="264"/>
      <c r="BD424" s="264"/>
    </row>
    <row r="425">
      <c r="A425" s="264"/>
      <c r="B425" s="264"/>
      <c r="C425" s="264"/>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c r="AA425" s="264"/>
      <c r="AB425" s="264"/>
      <c r="AC425" s="264"/>
      <c r="AD425" s="264"/>
      <c r="AE425" s="264"/>
      <c r="AF425" s="264"/>
      <c r="AG425" s="264"/>
      <c r="AH425" s="264"/>
      <c r="AI425" s="264"/>
      <c r="AJ425" s="264"/>
      <c r="AK425" s="264"/>
      <c r="AL425" s="264"/>
      <c r="AM425" s="264"/>
      <c r="AN425" s="264"/>
      <c r="AO425" s="264"/>
      <c r="AP425" s="264"/>
      <c r="AQ425" s="264"/>
      <c r="AR425" s="264"/>
      <c r="AS425" s="264"/>
      <c r="AT425" s="264"/>
      <c r="AU425" s="264"/>
      <c r="AV425" s="264"/>
      <c r="AW425" s="264"/>
      <c r="AX425" s="264"/>
      <c r="AY425" s="264"/>
      <c r="AZ425" s="264"/>
      <c r="BA425" s="264"/>
      <c r="BB425" s="264"/>
      <c r="BC425" s="264"/>
      <c r="BD425" s="264"/>
    </row>
    <row r="426">
      <c r="A426" s="264"/>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c r="AA426" s="264"/>
      <c r="AB426" s="264"/>
      <c r="AC426" s="264"/>
      <c r="AD426" s="264"/>
      <c r="AE426" s="264"/>
      <c r="AF426" s="264"/>
      <c r="AG426" s="264"/>
      <c r="AH426" s="264"/>
      <c r="AI426" s="264"/>
      <c r="AJ426" s="264"/>
      <c r="AK426" s="264"/>
      <c r="AL426" s="264"/>
      <c r="AM426" s="264"/>
      <c r="AN426" s="264"/>
      <c r="AO426" s="264"/>
      <c r="AP426" s="264"/>
      <c r="AQ426" s="264"/>
      <c r="AR426" s="264"/>
      <c r="AS426" s="264"/>
      <c r="AT426" s="264"/>
      <c r="AU426" s="264"/>
      <c r="AV426" s="264"/>
      <c r="AW426" s="264"/>
      <c r="AX426" s="264"/>
      <c r="AY426" s="264"/>
      <c r="AZ426" s="264"/>
      <c r="BA426" s="264"/>
      <c r="BB426" s="264"/>
      <c r="BC426" s="264"/>
      <c r="BD426" s="264"/>
    </row>
    <row r="427">
      <c r="A427" s="264"/>
      <c r="B427" s="264"/>
      <c r="C427" s="264"/>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c r="AA427" s="264"/>
      <c r="AB427" s="264"/>
      <c r="AC427" s="264"/>
      <c r="AD427" s="264"/>
      <c r="AE427" s="264"/>
      <c r="AF427" s="264"/>
      <c r="AG427" s="264"/>
      <c r="AH427" s="264"/>
      <c r="AI427" s="264"/>
      <c r="AJ427" s="264"/>
      <c r="AK427" s="264"/>
      <c r="AL427" s="264"/>
      <c r="AM427" s="264"/>
      <c r="AN427" s="264"/>
      <c r="AO427" s="264"/>
      <c r="AP427" s="264"/>
      <c r="AQ427" s="264"/>
      <c r="AR427" s="264"/>
      <c r="AS427" s="264"/>
      <c r="AT427" s="264"/>
      <c r="AU427" s="264"/>
      <c r="AV427" s="264"/>
      <c r="AW427" s="264"/>
      <c r="AX427" s="264"/>
      <c r="AY427" s="264"/>
      <c r="AZ427" s="264"/>
      <c r="BA427" s="264"/>
      <c r="BB427" s="264"/>
      <c r="BC427" s="264"/>
      <c r="BD427" s="264"/>
    </row>
    <row r="428">
      <c r="A428" s="264"/>
      <c r="B428" s="264"/>
      <c r="C428" s="264"/>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c r="AA428" s="264"/>
      <c r="AB428" s="264"/>
      <c r="AC428" s="264"/>
      <c r="AD428" s="264"/>
      <c r="AE428" s="264"/>
      <c r="AF428" s="264"/>
      <c r="AG428" s="264"/>
      <c r="AH428" s="264"/>
      <c r="AI428" s="264"/>
      <c r="AJ428" s="264"/>
      <c r="AK428" s="264"/>
      <c r="AL428" s="264"/>
      <c r="AM428" s="264"/>
      <c r="AN428" s="264"/>
      <c r="AO428" s="264"/>
      <c r="AP428" s="264"/>
      <c r="AQ428" s="264"/>
      <c r="AR428" s="264"/>
      <c r="AS428" s="264"/>
      <c r="AT428" s="264"/>
      <c r="AU428" s="264"/>
      <c r="AV428" s="264"/>
      <c r="AW428" s="264"/>
      <c r="AX428" s="264"/>
      <c r="AY428" s="264"/>
      <c r="AZ428" s="264"/>
      <c r="BA428" s="264"/>
      <c r="BB428" s="264"/>
      <c r="BC428" s="264"/>
      <c r="BD428" s="264"/>
    </row>
    <row r="429">
      <c r="A429" s="264"/>
      <c r="B429" s="264"/>
      <c r="C429" s="264"/>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c r="AA429" s="264"/>
      <c r="AB429" s="264"/>
      <c r="AC429" s="264"/>
      <c r="AD429" s="264"/>
      <c r="AE429" s="264"/>
      <c r="AF429" s="264"/>
      <c r="AG429" s="264"/>
      <c r="AH429" s="264"/>
      <c r="AI429" s="264"/>
      <c r="AJ429" s="264"/>
      <c r="AK429" s="264"/>
      <c r="AL429" s="264"/>
      <c r="AM429" s="264"/>
      <c r="AN429" s="264"/>
      <c r="AO429" s="264"/>
      <c r="AP429" s="264"/>
      <c r="AQ429" s="264"/>
      <c r="AR429" s="264"/>
      <c r="AS429" s="264"/>
      <c r="AT429" s="264"/>
      <c r="AU429" s="264"/>
      <c r="AV429" s="264"/>
      <c r="AW429" s="264"/>
      <c r="AX429" s="264"/>
      <c r="AY429" s="264"/>
      <c r="AZ429" s="264"/>
      <c r="BA429" s="264"/>
      <c r="BB429" s="264"/>
      <c r="BC429" s="264"/>
      <c r="BD429" s="264"/>
    </row>
    <row r="430">
      <c r="A430" s="264"/>
      <c r="B430" s="264"/>
      <c r="C430" s="264"/>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c r="AA430" s="264"/>
      <c r="AB430" s="264"/>
      <c r="AC430" s="264"/>
      <c r="AD430" s="264"/>
      <c r="AE430" s="264"/>
      <c r="AF430" s="264"/>
      <c r="AG430" s="264"/>
      <c r="AH430" s="264"/>
      <c r="AI430" s="264"/>
      <c r="AJ430" s="264"/>
      <c r="AK430" s="264"/>
      <c r="AL430" s="264"/>
      <c r="AM430" s="264"/>
      <c r="AN430" s="264"/>
      <c r="AO430" s="264"/>
      <c r="AP430" s="264"/>
      <c r="AQ430" s="264"/>
      <c r="AR430" s="264"/>
      <c r="AS430" s="264"/>
      <c r="AT430" s="264"/>
      <c r="AU430" s="264"/>
      <c r="AV430" s="264"/>
      <c r="AW430" s="264"/>
      <c r="AX430" s="264"/>
      <c r="AY430" s="264"/>
      <c r="AZ430" s="264"/>
      <c r="BA430" s="264"/>
      <c r="BB430" s="264"/>
      <c r="BC430" s="264"/>
      <c r="BD430" s="264"/>
    </row>
    <row r="431">
      <c r="A431" s="264"/>
      <c r="B431" s="264"/>
      <c r="C431" s="264"/>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c r="AA431" s="264"/>
      <c r="AB431" s="264"/>
      <c r="AC431" s="264"/>
      <c r="AD431" s="264"/>
      <c r="AE431" s="264"/>
      <c r="AF431" s="264"/>
      <c r="AG431" s="264"/>
      <c r="AH431" s="264"/>
      <c r="AI431" s="264"/>
      <c r="AJ431" s="264"/>
      <c r="AK431" s="264"/>
      <c r="AL431" s="264"/>
      <c r="AM431" s="264"/>
      <c r="AN431" s="264"/>
      <c r="AO431" s="264"/>
      <c r="AP431" s="264"/>
      <c r="AQ431" s="264"/>
      <c r="AR431" s="264"/>
      <c r="AS431" s="264"/>
      <c r="AT431" s="264"/>
      <c r="AU431" s="264"/>
      <c r="AV431" s="264"/>
      <c r="AW431" s="264"/>
      <c r="AX431" s="264"/>
      <c r="AY431" s="264"/>
      <c r="AZ431" s="264"/>
      <c r="BA431" s="264"/>
      <c r="BB431" s="264"/>
      <c r="BC431" s="264"/>
      <c r="BD431" s="264"/>
    </row>
    <row r="432">
      <c r="A432" s="264"/>
      <c r="B432" s="264"/>
      <c r="C432" s="264"/>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c r="AA432" s="264"/>
      <c r="AB432" s="264"/>
      <c r="AC432" s="264"/>
      <c r="AD432" s="264"/>
      <c r="AE432" s="264"/>
      <c r="AF432" s="264"/>
      <c r="AG432" s="264"/>
      <c r="AH432" s="264"/>
      <c r="AI432" s="264"/>
      <c r="AJ432" s="264"/>
      <c r="AK432" s="264"/>
      <c r="AL432" s="264"/>
      <c r="AM432" s="264"/>
      <c r="AN432" s="264"/>
      <c r="AO432" s="264"/>
      <c r="AP432" s="264"/>
      <c r="AQ432" s="264"/>
      <c r="AR432" s="264"/>
      <c r="AS432" s="264"/>
      <c r="AT432" s="264"/>
      <c r="AU432" s="264"/>
      <c r="AV432" s="264"/>
      <c r="AW432" s="264"/>
      <c r="AX432" s="264"/>
      <c r="AY432" s="264"/>
      <c r="AZ432" s="264"/>
      <c r="BA432" s="264"/>
      <c r="BB432" s="264"/>
      <c r="BC432" s="264"/>
      <c r="BD432" s="264"/>
    </row>
    <row r="433">
      <c r="A433" s="264"/>
      <c r="B433" s="264"/>
      <c r="C433" s="264"/>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c r="AA433" s="264"/>
      <c r="AB433" s="264"/>
      <c r="AC433" s="264"/>
      <c r="AD433" s="264"/>
      <c r="AE433" s="264"/>
      <c r="AF433" s="264"/>
      <c r="AG433" s="264"/>
      <c r="AH433" s="264"/>
      <c r="AI433" s="264"/>
      <c r="AJ433" s="264"/>
      <c r="AK433" s="264"/>
      <c r="AL433" s="264"/>
      <c r="AM433" s="264"/>
      <c r="AN433" s="264"/>
      <c r="AO433" s="264"/>
      <c r="AP433" s="264"/>
      <c r="AQ433" s="264"/>
      <c r="AR433" s="264"/>
      <c r="AS433" s="264"/>
      <c r="AT433" s="264"/>
      <c r="AU433" s="264"/>
      <c r="AV433" s="264"/>
      <c r="AW433" s="264"/>
      <c r="AX433" s="264"/>
      <c r="AY433" s="264"/>
      <c r="AZ433" s="264"/>
      <c r="BA433" s="264"/>
      <c r="BB433" s="264"/>
      <c r="BC433" s="264"/>
      <c r="BD433" s="264"/>
    </row>
    <row r="434">
      <c r="A434" s="264"/>
      <c r="B434" s="264"/>
      <c r="C434" s="264"/>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c r="AA434" s="264"/>
      <c r="AB434" s="264"/>
      <c r="AC434" s="264"/>
      <c r="AD434" s="264"/>
      <c r="AE434" s="264"/>
      <c r="AF434" s="264"/>
      <c r="AG434" s="264"/>
      <c r="AH434" s="264"/>
      <c r="AI434" s="264"/>
      <c r="AJ434" s="264"/>
      <c r="AK434" s="264"/>
      <c r="AL434" s="264"/>
      <c r="AM434" s="264"/>
      <c r="AN434" s="264"/>
      <c r="AO434" s="264"/>
      <c r="AP434" s="264"/>
      <c r="AQ434" s="264"/>
      <c r="AR434" s="264"/>
      <c r="AS434" s="264"/>
      <c r="AT434" s="264"/>
      <c r="AU434" s="264"/>
      <c r="AV434" s="264"/>
      <c r="AW434" s="264"/>
      <c r="AX434" s="264"/>
      <c r="AY434" s="264"/>
      <c r="AZ434" s="264"/>
      <c r="BA434" s="264"/>
      <c r="BB434" s="264"/>
      <c r="BC434" s="264"/>
      <c r="BD434" s="264"/>
    </row>
    <row r="435">
      <c r="A435" s="264"/>
      <c r="B435" s="264"/>
      <c r="C435" s="264"/>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c r="AA435" s="264"/>
      <c r="AB435" s="264"/>
      <c r="AC435" s="264"/>
      <c r="AD435" s="264"/>
      <c r="AE435" s="264"/>
      <c r="AF435" s="264"/>
      <c r="AG435" s="264"/>
      <c r="AH435" s="264"/>
      <c r="AI435" s="264"/>
      <c r="AJ435" s="264"/>
      <c r="AK435" s="264"/>
      <c r="AL435" s="264"/>
      <c r="AM435" s="264"/>
      <c r="AN435" s="264"/>
      <c r="AO435" s="264"/>
      <c r="AP435" s="264"/>
      <c r="AQ435" s="264"/>
      <c r="AR435" s="264"/>
      <c r="AS435" s="264"/>
      <c r="AT435" s="264"/>
      <c r="AU435" s="264"/>
      <c r="AV435" s="264"/>
      <c r="AW435" s="264"/>
      <c r="AX435" s="264"/>
      <c r="AY435" s="264"/>
      <c r="AZ435" s="264"/>
      <c r="BA435" s="264"/>
      <c r="BB435" s="264"/>
      <c r="BC435" s="264"/>
      <c r="BD435" s="264"/>
    </row>
    <row r="436">
      <c r="A436" s="264"/>
      <c r="B436" s="264"/>
      <c r="C436" s="264"/>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c r="AA436" s="264"/>
      <c r="AB436" s="264"/>
      <c r="AC436" s="264"/>
      <c r="AD436" s="264"/>
      <c r="AE436" s="264"/>
      <c r="AF436" s="264"/>
      <c r="AG436" s="264"/>
      <c r="AH436" s="264"/>
      <c r="AI436" s="264"/>
      <c r="AJ436" s="264"/>
      <c r="AK436" s="264"/>
      <c r="AL436" s="264"/>
      <c r="AM436" s="264"/>
      <c r="AN436" s="264"/>
      <c r="AO436" s="264"/>
      <c r="AP436" s="264"/>
      <c r="AQ436" s="264"/>
      <c r="AR436" s="264"/>
      <c r="AS436" s="264"/>
      <c r="AT436" s="264"/>
      <c r="AU436" s="264"/>
      <c r="AV436" s="264"/>
      <c r="AW436" s="264"/>
      <c r="AX436" s="264"/>
      <c r="AY436" s="264"/>
      <c r="AZ436" s="264"/>
      <c r="BA436" s="264"/>
      <c r="BB436" s="264"/>
      <c r="BC436" s="264"/>
      <c r="BD436" s="264"/>
    </row>
    <row r="437">
      <c r="A437" s="264"/>
      <c r="B437" s="264"/>
      <c r="C437" s="264"/>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c r="AA437" s="264"/>
      <c r="AB437" s="264"/>
      <c r="AC437" s="264"/>
      <c r="AD437" s="264"/>
      <c r="AE437" s="264"/>
      <c r="AF437" s="264"/>
      <c r="AG437" s="264"/>
      <c r="AH437" s="264"/>
      <c r="AI437" s="264"/>
      <c r="AJ437" s="264"/>
      <c r="AK437" s="264"/>
      <c r="AL437" s="264"/>
      <c r="AM437" s="264"/>
      <c r="AN437" s="264"/>
      <c r="AO437" s="264"/>
      <c r="AP437" s="264"/>
      <c r="AQ437" s="264"/>
      <c r="AR437" s="264"/>
      <c r="AS437" s="264"/>
      <c r="AT437" s="264"/>
      <c r="AU437" s="264"/>
      <c r="AV437" s="264"/>
      <c r="AW437" s="264"/>
      <c r="AX437" s="264"/>
      <c r="AY437" s="264"/>
      <c r="AZ437" s="264"/>
      <c r="BA437" s="264"/>
      <c r="BB437" s="264"/>
      <c r="BC437" s="264"/>
      <c r="BD437" s="264"/>
    </row>
    <row r="438">
      <c r="A438" s="264"/>
      <c r="B438" s="264"/>
      <c r="C438" s="264"/>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c r="AA438" s="264"/>
      <c r="AB438" s="264"/>
      <c r="AC438" s="264"/>
      <c r="AD438" s="264"/>
      <c r="AE438" s="264"/>
      <c r="AF438" s="264"/>
      <c r="AG438" s="264"/>
      <c r="AH438" s="264"/>
      <c r="AI438" s="264"/>
      <c r="AJ438" s="264"/>
      <c r="AK438" s="264"/>
      <c r="AL438" s="264"/>
      <c r="AM438" s="264"/>
      <c r="AN438" s="264"/>
      <c r="AO438" s="264"/>
      <c r="AP438" s="264"/>
      <c r="AQ438" s="264"/>
      <c r="AR438" s="264"/>
      <c r="AS438" s="264"/>
      <c r="AT438" s="264"/>
      <c r="AU438" s="264"/>
      <c r="AV438" s="264"/>
      <c r="AW438" s="264"/>
      <c r="AX438" s="264"/>
      <c r="AY438" s="264"/>
      <c r="AZ438" s="264"/>
      <c r="BA438" s="264"/>
      <c r="BB438" s="264"/>
      <c r="BC438" s="264"/>
      <c r="BD438" s="264"/>
    </row>
    <row r="439">
      <c r="A439" s="264"/>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c r="AF439" s="264"/>
      <c r="AG439" s="264"/>
      <c r="AH439" s="264"/>
      <c r="AI439" s="264"/>
      <c r="AJ439" s="264"/>
      <c r="AK439" s="264"/>
      <c r="AL439" s="264"/>
      <c r="AM439" s="264"/>
      <c r="AN439" s="264"/>
      <c r="AO439" s="264"/>
      <c r="AP439" s="264"/>
      <c r="AQ439" s="264"/>
      <c r="AR439" s="264"/>
      <c r="AS439" s="264"/>
      <c r="AT439" s="264"/>
      <c r="AU439" s="264"/>
      <c r="AV439" s="264"/>
      <c r="AW439" s="264"/>
      <c r="AX439" s="264"/>
      <c r="AY439" s="264"/>
      <c r="AZ439" s="264"/>
      <c r="BA439" s="264"/>
      <c r="BB439" s="264"/>
      <c r="BC439" s="264"/>
      <c r="BD439" s="264"/>
    </row>
    <row r="440">
      <c r="A440" s="264"/>
      <c r="B440" s="264"/>
      <c r="C440" s="264"/>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c r="AA440" s="264"/>
      <c r="AB440" s="264"/>
      <c r="AC440" s="264"/>
      <c r="AD440" s="264"/>
      <c r="AE440" s="264"/>
      <c r="AF440" s="264"/>
      <c r="AG440" s="264"/>
      <c r="AH440" s="264"/>
      <c r="AI440" s="264"/>
      <c r="AJ440" s="264"/>
      <c r="AK440" s="264"/>
      <c r="AL440" s="264"/>
      <c r="AM440" s="264"/>
      <c r="AN440" s="264"/>
      <c r="AO440" s="264"/>
      <c r="AP440" s="264"/>
      <c r="AQ440" s="264"/>
      <c r="AR440" s="264"/>
      <c r="AS440" s="264"/>
      <c r="AT440" s="264"/>
      <c r="AU440" s="264"/>
      <c r="AV440" s="264"/>
      <c r="AW440" s="264"/>
      <c r="AX440" s="264"/>
      <c r="AY440" s="264"/>
      <c r="AZ440" s="264"/>
      <c r="BA440" s="264"/>
      <c r="BB440" s="264"/>
      <c r="BC440" s="264"/>
      <c r="BD440" s="264"/>
    </row>
    <row r="441">
      <c r="A441" s="264"/>
      <c r="B441" s="264"/>
      <c r="C441" s="264"/>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c r="AA441" s="264"/>
      <c r="AB441" s="264"/>
      <c r="AC441" s="264"/>
      <c r="AD441" s="264"/>
      <c r="AE441" s="264"/>
      <c r="AF441" s="264"/>
      <c r="AG441" s="264"/>
      <c r="AH441" s="264"/>
      <c r="AI441" s="264"/>
      <c r="AJ441" s="264"/>
      <c r="AK441" s="264"/>
      <c r="AL441" s="264"/>
      <c r="AM441" s="264"/>
      <c r="AN441" s="264"/>
      <c r="AO441" s="264"/>
      <c r="AP441" s="264"/>
      <c r="AQ441" s="264"/>
      <c r="AR441" s="264"/>
      <c r="AS441" s="264"/>
      <c r="AT441" s="264"/>
      <c r="AU441" s="264"/>
      <c r="AV441" s="264"/>
      <c r="AW441" s="264"/>
      <c r="AX441" s="264"/>
      <c r="AY441" s="264"/>
      <c r="AZ441" s="264"/>
      <c r="BA441" s="264"/>
      <c r="BB441" s="264"/>
      <c r="BC441" s="264"/>
      <c r="BD441" s="264"/>
    </row>
    <row r="442">
      <c r="A442" s="264"/>
      <c r="B442" s="264"/>
      <c r="C442" s="264"/>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c r="AA442" s="264"/>
      <c r="AB442" s="264"/>
      <c r="AC442" s="264"/>
      <c r="AD442" s="264"/>
      <c r="AE442" s="264"/>
      <c r="AF442" s="264"/>
      <c r="AG442" s="264"/>
      <c r="AH442" s="264"/>
      <c r="AI442" s="264"/>
      <c r="AJ442" s="264"/>
      <c r="AK442" s="264"/>
      <c r="AL442" s="264"/>
      <c r="AM442" s="264"/>
      <c r="AN442" s="264"/>
      <c r="AO442" s="264"/>
      <c r="AP442" s="264"/>
      <c r="AQ442" s="264"/>
      <c r="AR442" s="264"/>
      <c r="AS442" s="264"/>
      <c r="AT442" s="264"/>
      <c r="AU442" s="264"/>
      <c r="AV442" s="264"/>
      <c r="AW442" s="264"/>
      <c r="AX442" s="264"/>
      <c r="AY442" s="264"/>
      <c r="AZ442" s="264"/>
      <c r="BA442" s="264"/>
      <c r="BB442" s="264"/>
      <c r="BC442" s="264"/>
      <c r="BD442" s="264"/>
    </row>
    <row r="443">
      <c r="A443" s="264"/>
      <c r="B443" s="264"/>
      <c r="C443" s="264"/>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c r="AA443" s="264"/>
      <c r="AB443" s="264"/>
      <c r="AC443" s="264"/>
      <c r="AD443" s="264"/>
      <c r="AE443" s="264"/>
      <c r="AF443" s="264"/>
      <c r="AG443" s="264"/>
      <c r="AH443" s="264"/>
      <c r="AI443" s="264"/>
      <c r="AJ443" s="264"/>
      <c r="AK443" s="264"/>
      <c r="AL443" s="264"/>
      <c r="AM443" s="264"/>
      <c r="AN443" s="264"/>
      <c r="AO443" s="264"/>
      <c r="AP443" s="264"/>
      <c r="AQ443" s="264"/>
      <c r="AR443" s="264"/>
      <c r="AS443" s="264"/>
      <c r="AT443" s="264"/>
      <c r="AU443" s="264"/>
      <c r="AV443" s="264"/>
      <c r="AW443" s="264"/>
      <c r="AX443" s="264"/>
      <c r="AY443" s="264"/>
      <c r="AZ443" s="264"/>
      <c r="BA443" s="264"/>
      <c r="BB443" s="264"/>
      <c r="BC443" s="264"/>
      <c r="BD443" s="264"/>
    </row>
    <row r="444">
      <c r="A444" s="264"/>
      <c r="B444" s="264"/>
      <c r="C444" s="264"/>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c r="AA444" s="264"/>
      <c r="AB444" s="264"/>
      <c r="AC444" s="264"/>
      <c r="AD444" s="264"/>
      <c r="AE444" s="264"/>
      <c r="AF444" s="264"/>
      <c r="AG444" s="264"/>
      <c r="AH444" s="264"/>
      <c r="AI444" s="264"/>
      <c r="AJ444" s="264"/>
      <c r="AK444" s="264"/>
      <c r="AL444" s="264"/>
      <c r="AM444" s="264"/>
      <c r="AN444" s="264"/>
      <c r="AO444" s="264"/>
      <c r="AP444" s="264"/>
      <c r="AQ444" s="264"/>
      <c r="AR444" s="264"/>
      <c r="AS444" s="264"/>
      <c r="AT444" s="264"/>
      <c r="AU444" s="264"/>
      <c r="AV444" s="264"/>
      <c r="AW444" s="264"/>
      <c r="AX444" s="264"/>
      <c r="AY444" s="264"/>
      <c r="AZ444" s="264"/>
      <c r="BA444" s="264"/>
      <c r="BB444" s="264"/>
      <c r="BC444" s="264"/>
      <c r="BD444" s="264"/>
    </row>
    <row r="445">
      <c r="A445" s="264"/>
      <c r="B445" s="264"/>
      <c r="C445" s="264"/>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c r="AA445" s="264"/>
      <c r="AB445" s="264"/>
      <c r="AC445" s="264"/>
      <c r="AD445" s="264"/>
      <c r="AE445" s="264"/>
      <c r="AF445" s="264"/>
      <c r="AG445" s="264"/>
      <c r="AH445" s="264"/>
      <c r="AI445" s="264"/>
      <c r="AJ445" s="264"/>
      <c r="AK445" s="264"/>
      <c r="AL445" s="264"/>
      <c r="AM445" s="264"/>
      <c r="AN445" s="264"/>
      <c r="AO445" s="264"/>
      <c r="AP445" s="264"/>
      <c r="AQ445" s="264"/>
      <c r="AR445" s="264"/>
      <c r="AS445" s="264"/>
      <c r="AT445" s="264"/>
      <c r="AU445" s="264"/>
      <c r="AV445" s="264"/>
      <c r="AW445" s="264"/>
      <c r="AX445" s="264"/>
      <c r="AY445" s="264"/>
      <c r="AZ445" s="264"/>
      <c r="BA445" s="264"/>
      <c r="BB445" s="264"/>
      <c r="BC445" s="264"/>
      <c r="BD445" s="264"/>
    </row>
    <row r="446">
      <c r="A446" s="264"/>
      <c r="B446" s="264"/>
      <c r="C446" s="264"/>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c r="AA446" s="264"/>
      <c r="AB446" s="264"/>
      <c r="AC446" s="264"/>
      <c r="AD446" s="264"/>
      <c r="AE446" s="264"/>
      <c r="AF446" s="264"/>
      <c r="AG446" s="264"/>
      <c r="AH446" s="264"/>
      <c r="AI446" s="264"/>
      <c r="AJ446" s="264"/>
      <c r="AK446" s="264"/>
      <c r="AL446" s="264"/>
      <c r="AM446" s="264"/>
      <c r="AN446" s="264"/>
      <c r="AO446" s="264"/>
      <c r="AP446" s="264"/>
      <c r="AQ446" s="264"/>
      <c r="AR446" s="264"/>
      <c r="AS446" s="264"/>
      <c r="AT446" s="264"/>
      <c r="AU446" s="264"/>
      <c r="AV446" s="264"/>
      <c r="AW446" s="264"/>
      <c r="AX446" s="264"/>
      <c r="AY446" s="264"/>
      <c r="AZ446" s="264"/>
      <c r="BA446" s="264"/>
      <c r="BB446" s="264"/>
      <c r="BC446" s="264"/>
      <c r="BD446" s="264"/>
    </row>
    <row r="447">
      <c r="A447" s="264"/>
      <c r="B447" s="264"/>
      <c r="C447" s="264"/>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c r="AA447" s="264"/>
      <c r="AB447" s="264"/>
      <c r="AC447" s="264"/>
      <c r="AD447" s="264"/>
      <c r="AE447" s="264"/>
      <c r="AF447" s="264"/>
      <c r="AG447" s="264"/>
      <c r="AH447" s="264"/>
      <c r="AI447" s="264"/>
      <c r="AJ447" s="264"/>
      <c r="AK447" s="264"/>
      <c r="AL447" s="264"/>
      <c r="AM447" s="264"/>
      <c r="AN447" s="264"/>
      <c r="AO447" s="264"/>
      <c r="AP447" s="264"/>
      <c r="AQ447" s="264"/>
      <c r="AR447" s="264"/>
      <c r="AS447" s="264"/>
      <c r="AT447" s="264"/>
      <c r="AU447" s="264"/>
      <c r="AV447" s="264"/>
      <c r="AW447" s="264"/>
      <c r="AX447" s="264"/>
      <c r="AY447" s="264"/>
      <c r="AZ447" s="264"/>
      <c r="BA447" s="264"/>
      <c r="BB447" s="264"/>
      <c r="BC447" s="264"/>
      <c r="BD447" s="264"/>
    </row>
    <row r="448">
      <c r="A448" s="264"/>
      <c r="B448" s="264"/>
      <c r="C448" s="264"/>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c r="AA448" s="264"/>
      <c r="AB448" s="264"/>
      <c r="AC448" s="264"/>
      <c r="AD448" s="264"/>
      <c r="AE448" s="264"/>
      <c r="AF448" s="264"/>
      <c r="AG448" s="264"/>
      <c r="AH448" s="264"/>
      <c r="AI448" s="264"/>
      <c r="AJ448" s="264"/>
      <c r="AK448" s="264"/>
      <c r="AL448" s="264"/>
      <c r="AM448" s="264"/>
      <c r="AN448" s="264"/>
      <c r="AO448" s="264"/>
      <c r="AP448" s="264"/>
      <c r="AQ448" s="264"/>
      <c r="AR448" s="264"/>
      <c r="AS448" s="264"/>
      <c r="AT448" s="264"/>
      <c r="AU448" s="264"/>
      <c r="AV448" s="264"/>
      <c r="AW448" s="264"/>
      <c r="AX448" s="264"/>
      <c r="AY448" s="264"/>
      <c r="AZ448" s="264"/>
      <c r="BA448" s="264"/>
      <c r="BB448" s="264"/>
      <c r="BC448" s="264"/>
      <c r="BD448" s="264"/>
    </row>
    <row r="449">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c r="AA449" s="264"/>
      <c r="AB449" s="264"/>
      <c r="AC449" s="264"/>
      <c r="AD449" s="264"/>
      <c r="AE449" s="264"/>
      <c r="AF449" s="264"/>
      <c r="AG449" s="264"/>
      <c r="AH449" s="264"/>
      <c r="AI449" s="264"/>
      <c r="AJ449" s="264"/>
      <c r="AK449" s="264"/>
      <c r="AL449" s="264"/>
      <c r="AM449" s="264"/>
      <c r="AN449" s="264"/>
      <c r="AO449" s="264"/>
      <c r="AP449" s="264"/>
      <c r="AQ449" s="264"/>
      <c r="AR449" s="264"/>
      <c r="AS449" s="264"/>
      <c r="AT449" s="264"/>
      <c r="AU449" s="264"/>
      <c r="AV449" s="264"/>
      <c r="AW449" s="264"/>
      <c r="AX449" s="264"/>
      <c r="AY449" s="264"/>
      <c r="AZ449" s="264"/>
      <c r="BA449" s="264"/>
      <c r="BB449" s="264"/>
      <c r="BC449" s="264"/>
      <c r="BD449" s="264"/>
    </row>
    <row r="450">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c r="AA450" s="264"/>
      <c r="AB450" s="264"/>
      <c r="AC450" s="264"/>
      <c r="AD450" s="264"/>
      <c r="AE450" s="264"/>
      <c r="AF450" s="264"/>
      <c r="AG450" s="264"/>
      <c r="AH450" s="264"/>
      <c r="AI450" s="264"/>
      <c r="AJ450" s="264"/>
      <c r="AK450" s="264"/>
      <c r="AL450" s="264"/>
      <c r="AM450" s="264"/>
      <c r="AN450" s="264"/>
      <c r="AO450" s="264"/>
      <c r="AP450" s="264"/>
      <c r="AQ450" s="264"/>
      <c r="AR450" s="264"/>
      <c r="AS450" s="264"/>
      <c r="AT450" s="264"/>
      <c r="AU450" s="264"/>
      <c r="AV450" s="264"/>
      <c r="AW450" s="264"/>
      <c r="AX450" s="264"/>
      <c r="AY450" s="264"/>
      <c r="AZ450" s="264"/>
      <c r="BA450" s="264"/>
      <c r="BB450" s="264"/>
      <c r="BC450" s="264"/>
      <c r="BD450" s="264"/>
    </row>
    <row r="451">
      <c r="A451" s="264"/>
      <c r="B451" s="264"/>
      <c r="C451" s="264"/>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c r="AA451" s="264"/>
      <c r="AB451" s="264"/>
      <c r="AC451" s="264"/>
      <c r="AD451" s="264"/>
      <c r="AE451" s="264"/>
      <c r="AF451" s="264"/>
      <c r="AG451" s="264"/>
      <c r="AH451" s="264"/>
      <c r="AI451" s="264"/>
      <c r="AJ451" s="264"/>
      <c r="AK451" s="264"/>
      <c r="AL451" s="264"/>
      <c r="AM451" s="264"/>
      <c r="AN451" s="264"/>
      <c r="AO451" s="264"/>
      <c r="AP451" s="264"/>
      <c r="AQ451" s="264"/>
      <c r="AR451" s="264"/>
      <c r="AS451" s="264"/>
      <c r="AT451" s="264"/>
      <c r="AU451" s="264"/>
      <c r="AV451" s="264"/>
      <c r="AW451" s="264"/>
      <c r="AX451" s="264"/>
      <c r="AY451" s="264"/>
      <c r="AZ451" s="264"/>
      <c r="BA451" s="264"/>
      <c r="BB451" s="264"/>
      <c r="BC451" s="264"/>
      <c r="BD451" s="264"/>
    </row>
    <row r="452">
      <c r="A452" s="264"/>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c r="AA452" s="264"/>
      <c r="AB452" s="264"/>
      <c r="AC452" s="264"/>
      <c r="AD452" s="264"/>
      <c r="AE452" s="264"/>
      <c r="AF452" s="264"/>
      <c r="AG452" s="264"/>
      <c r="AH452" s="264"/>
      <c r="AI452" s="264"/>
      <c r="AJ452" s="264"/>
      <c r="AK452" s="264"/>
      <c r="AL452" s="264"/>
      <c r="AM452" s="264"/>
      <c r="AN452" s="264"/>
      <c r="AO452" s="264"/>
      <c r="AP452" s="264"/>
      <c r="AQ452" s="264"/>
      <c r="AR452" s="264"/>
      <c r="AS452" s="264"/>
      <c r="AT452" s="264"/>
      <c r="AU452" s="264"/>
      <c r="AV452" s="264"/>
      <c r="AW452" s="264"/>
      <c r="AX452" s="264"/>
      <c r="AY452" s="264"/>
      <c r="AZ452" s="264"/>
      <c r="BA452" s="264"/>
      <c r="BB452" s="264"/>
      <c r="BC452" s="264"/>
      <c r="BD452" s="264"/>
    </row>
    <row r="453">
      <c r="A453" s="26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c r="AA453" s="264"/>
      <c r="AB453" s="264"/>
      <c r="AC453" s="264"/>
      <c r="AD453" s="264"/>
      <c r="AE453" s="264"/>
      <c r="AF453" s="264"/>
      <c r="AG453" s="264"/>
      <c r="AH453" s="264"/>
      <c r="AI453" s="264"/>
      <c r="AJ453" s="264"/>
      <c r="AK453" s="264"/>
      <c r="AL453" s="264"/>
      <c r="AM453" s="264"/>
      <c r="AN453" s="264"/>
      <c r="AO453" s="264"/>
      <c r="AP453" s="264"/>
      <c r="AQ453" s="264"/>
      <c r="AR453" s="264"/>
      <c r="AS453" s="264"/>
      <c r="AT453" s="264"/>
      <c r="AU453" s="264"/>
      <c r="AV453" s="264"/>
      <c r="AW453" s="264"/>
      <c r="AX453" s="264"/>
      <c r="AY453" s="264"/>
      <c r="AZ453" s="264"/>
      <c r="BA453" s="264"/>
      <c r="BB453" s="264"/>
      <c r="BC453" s="264"/>
      <c r="BD453" s="264"/>
    </row>
    <row r="454">
      <c r="A454" s="26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c r="AA454" s="264"/>
      <c r="AB454" s="264"/>
      <c r="AC454" s="264"/>
      <c r="AD454" s="264"/>
      <c r="AE454" s="264"/>
      <c r="AF454" s="264"/>
      <c r="AG454" s="264"/>
      <c r="AH454" s="264"/>
      <c r="AI454" s="264"/>
      <c r="AJ454" s="264"/>
      <c r="AK454" s="264"/>
      <c r="AL454" s="264"/>
      <c r="AM454" s="264"/>
      <c r="AN454" s="264"/>
      <c r="AO454" s="264"/>
      <c r="AP454" s="264"/>
      <c r="AQ454" s="264"/>
      <c r="AR454" s="264"/>
      <c r="AS454" s="264"/>
      <c r="AT454" s="264"/>
      <c r="AU454" s="264"/>
      <c r="AV454" s="264"/>
      <c r="AW454" s="264"/>
      <c r="AX454" s="264"/>
      <c r="AY454" s="264"/>
      <c r="AZ454" s="264"/>
      <c r="BA454" s="264"/>
      <c r="BB454" s="264"/>
      <c r="BC454" s="264"/>
      <c r="BD454" s="264"/>
    </row>
    <row r="455">
      <c r="A455" s="264"/>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c r="AA455" s="264"/>
      <c r="AB455" s="264"/>
      <c r="AC455" s="264"/>
      <c r="AD455" s="264"/>
      <c r="AE455" s="264"/>
      <c r="AF455" s="264"/>
      <c r="AG455" s="264"/>
      <c r="AH455" s="264"/>
      <c r="AI455" s="264"/>
      <c r="AJ455" s="264"/>
      <c r="AK455" s="264"/>
      <c r="AL455" s="264"/>
      <c r="AM455" s="264"/>
      <c r="AN455" s="264"/>
      <c r="AO455" s="264"/>
      <c r="AP455" s="264"/>
      <c r="AQ455" s="264"/>
      <c r="AR455" s="264"/>
      <c r="AS455" s="264"/>
      <c r="AT455" s="264"/>
      <c r="AU455" s="264"/>
      <c r="AV455" s="264"/>
      <c r="AW455" s="264"/>
      <c r="AX455" s="264"/>
      <c r="AY455" s="264"/>
      <c r="AZ455" s="264"/>
      <c r="BA455" s="264"/>
      <c r="BB455" s="264"/>
      <c r="BC455" s="264"/>
      <c r="BD455" s="264"/>
    </row>
    <row r="456">
      <c r="A456" s="264"/>
      <c r="B456" s="264"/>
      <c r="C456" s="264"/>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c r="AA456" s="264"/>
      <c r="AB456" s="264"/>
      <c r="AC456" s="264"/>
      <c r="AD456" s="264"/>
      <c r="AE456" s="264"/>
      <c r="AF456" s="264"/>
      <c r="AG456" s="264"/>
      <c r="AH456" s="264"/>
      <c r="AI456" s="264"/>
      <c r="AJ456" s="264"/>
      <c r="AK456" s="264"/>
      <c r="AL456" s="264"/>
      <c r="AM456" s="264"/>
      <c r="AN456" s="264"/>
      <c r="AO456" s="264"/>
      <c r="AP456" s="264"/>
      <c r="AQ456" s="264"/>
      <c r="AR456" s="264"/>
      <c r="AS456" s="264"/>
      <c r="AT456" s="264"/>
      <c r="AU456" s="264"/>
      <c r="AV456" s="264"/>
      <c r="AW456" s="264"/>
      <c r="AX456" s="264"/>
      <c r="AY456" s="264"/>
      <c r="AZ456" s="264"/>
      <c r="BA456" s="264"/>
      <c r="BB456" s="264"/>
      <c r="BC456" s="264"/>
      <c r="BD456" s="264"/>
    </row>
    <row r="457">
      <c r="A457" s="264"/>
      <c r="B457" s="264"/>
      <c r="C457" s="264"/>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c r="AA457" s="264"/>
      <c r="AB457" s="264"/>
      <c r="AC457" s="264"/>
      <c r="AD457" s="264"/>
      <c r="AE457" s="264"/>
      <c r="AF457" s="264"/>
      <c r="AG457" s="264"/>
      <c r="AH457" s="264"/>
      <c r="AI457" s="264"/>
      <c r="AJ457" s="264"/>
      <c r="AK457" s="264"/>
      <c r="AL457" s="264"/>
      <c r="AM457" s="264"/>
      <c r="AN457" s="264"/>
      <c r="AO457" s="264"/>
      <c r="AP457" s="264"/>
      <c r="AQ457" s="264"/>
      <c r="AR457" s="264"/>
      <c r="AS457" s="264"/>
      <c r="AT457" s="264"/>
      <c r="AU457" s="264"/>
      <c r="AV457" s="264"/>
      <c r="AW457" s="264"/>
      <c r="AX457" s="264"/>
      <c r="AY457" s="264"/>
      <c r="AZ457" s="264"/>
      <c r="BA457" s="264"/>
      <c r="BB457" s="264"/>
      <c r="BC457" s="264"/>
      <c r="BD457" s="264"/>
    </row>
    <row r="458">
      <c r="A458" s="264"/>
      <c r="B458" s="264"/>
      <c r="C458" s="264"/>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c r="AA458" s="264"/>
      <c r="AB458" s="264"/>
      <c r="AC458" s="264"/>
      <c r="AD458" s="264"/>
      <c r="AE458" s="264"/>
      <c r="AF458" s="264"/>
      <c r="AG458" s="264"/>
      <c r="AH458" s="264"/>
      <c r="AI458" s="264"/>
      <c r="AJ458" s="264"/>
      <c r="AK458" s="264"/>
      <c r="AL458" s="264"/>
      <c r="AM458" s="264"/>
      <c r="AN458" s="264"/>
      <c r="AO458" s="264"/>
      <c r="AP458" s="264"/>
      <c r="AQ458" s="264"/>
      <c r="AR458" s="264"/>
      <c r="AS458" s="264"/>
      <c r="AT458" s="264"/>
      <c r="AU458" s="264"/>
      <c r="AV458" s="264"/>
      <c r="AW458" s="264"/>
      <c r="AX458" s="264"/>
      <c r="AY458" s="264"/>
      <c r="AZ458" s="264"/>
      <c r="BA458" s="264"/>
      <c r="BB458" s="264"/>
      <c r="BC458" s="264"/>
      <c r="BD458" s="264"/>
    </row>
    <row r="459">
      <c r="A459" s="264"/>
      <c r="B459" s="264"/>
      <c r="C459" s="264"/>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c r="AA459" s="264"/>
      <c r="AB459" s="264"/>
      <c r="AC459" s="264"/>
      <c r="AD459" s="264"/>
      <c r="AE459" s="264"/>
      <c r="AF459" s="264"/>
      <c r="AG459" s="264"/>
      <c r="AH459" s="264"/>
      <c r="AI459" s="264"/>
      <c r="AJ459" s="264"/>
      <c r="AK459" s="264"/>
      <c r="AL459" s="264"/>
      <c r="AM459" s="264"/>
      <c r="AN459" s="264"/>
      <c r="AO459" s="264"/>
      <c r="AP459" s="264"/>
      <c r="AQ459" s="264"/>
      <c r="AR459" s="264"/>
      <c r="AS459" s="264"/>
      <c r="AT459" s="264"/>
      <c r="AU459" s="264"/>
      <c r="AV459" s="264"/>
      <c r="AW459" s="264"/>
      <c r="AX459" s="264"/>
      <c r="AY459" s="264"/>
      <c r="AZ459" s="264"/>
      <c r="BA459" s="264"/>
      <c r="BB459" s="264"/>
      <c r="BC459" s="264"/>
      <c r="BD459" s="264"/>
    </row>
    <row r="460">
      <c r="A460" s="264"/>
      <c r="B460" s="264"/>
      <c r="C460" s="264"/>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c r="AA460" s="264"/>
      <c r="AB460" s="264"/>
      <c r="AC460" s="264"/>
      <c r="AD460" s="264"/>
      <c r="AE460" s="264"/>
      <c r="AF460" s="264"/>
      <c r="AG460" s="264"/>
      <c r="AH460" s="264"/>
      <c r="AI460" s="264"/>
      <c r="AJ460" s="264"/>
      <c r="AK460" s="264"/>
      <c r="AL460" s="264"/>
      <c r="AM460" s="264"/>
      <c r="AN460" s="264"/>
      <c r="AO460" s="264"/>
      <c r="AP460" s="264"/>
      <c r="AQ460" s="264"/>
      <c r="AR460" s="264"/>
      <c r="AS460" s="264"/>
      <c r="AT460" s="264"/>
      <c r="AU460" s="264"/>
      <c r="AV460" s="264"/>
      <c r="AW460" s="264"/>
      <c r="AX460" s="264"/>
      <c r="AY460" s="264"/>
      <c r="AZ460" s="264"/>
      <c r="BA460" s="264"/>
      <c r="BB460" s="264"/>
      <c r="BC460" s="264"/>
      <c r="BD460" s="264"/>
    </row>
    <row r="461">
      <c r="A461" s="264"/>
      <c r="B461" s="264"/>
      <c r="C461" s="264"/>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c r="AA461" s="264"/>
      <c r="AB461" s="264"/>
      <c r="AC461" s="264"/>
      <c r="AD461" s="264"/>
      <c r="AE461" s="264"/>
      <c r="AF461" s="264"/>
      <c r="AG461" s="264"/>
      <c r="AH461" s="264"/>
      <c r="AI461" s="264"/>
      <c r="AJ461" s="264"/>
      <c r="AK461" s="264"/>
      <c r="AL461" s="264"/>
      <c r="AM461" s="264"/>
      <c r="AN461" s="264"/>
      <c r="AO461" s="264"/>
      <c r="AP461" s="264"/>
      <c r="AQ461" s="264"/>
      <c r="AR461" s="264"/>
      <c r="AS461" s="264"/>
      <c r="AT461" s="264"/>
      <c r="AU461" s="264"/>
      <c r="AV461" s="264"/>
      <c r="AW461" s="264"/>
      <c r="AX461" s="264"/>
      <c r="AY461" s="264"/>
      <c r="AZ461" s="264"/>
      <c r="BA461" s="264"/>
      <c r="BB461" s="264"/>
      <c r="BC461" s="264"/>
      <c r="BD461" s="264"/>
    </row>
    <row r="462">
      <c r="A462" s="264"/>
      <c r="B462" s="264"/>
      <c r="C462" s="264"/>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c r="AA462" s="264"/>
      <c r="AB462" s="264"/>
      <c r="AC462" s="264"/>
      <c r="AD462" s="264"/>
      <c r="AE462" s="264"/>
      <c r="AF462" s="264"/>
      <c r="AG462" s="264"/>
      <c r="AH462" s="264"/>
      <c r="AI462" s="264"/>
      <c r="AJ462" s="264"/>
      <c r="AK462" s="264"/>
      <c r="AL462" s="264"/>
      <c r="AM462" s="264"/>
      <c r="AN462" s="264"/>
      <c r="AO462" s="264"/>
      <c r="AP462" s="264"/>
      <c r="AQ462" s="264"/>
      <c r="AR462" s="264"/>
      <c r="AS462" s="264"/>
      <c r="AT462" s="264"/>
      <c r="AU462" s="264"/>
      <c r="AV462" s="264"/>
      <c r="AW462" s="264"/>
      <c r="AX462" s="264"/>
      <c r="AY462" s="264"/>
      <c r="AZ462" s="264"/>
      <c r="BA462" s="264"/>
      <c r="BB462" s="264"/>
      <c r="BC462" s="264"/>
      <c r="BD462" s="264"/>
    </row>
    <row r="463">
      <c r="A463" s="264"/>
      <c r="B463" s="264"/>
      <c r="C463" s="264"/>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c r="AA463" s="264"/>
      <c r="AB463" s="264"/>
      <c r="AC463" s="264"/>
      <c r="AD463" s="264"/>
      <c r="AE463" s="264"/>
      <c r="AF463" s="264"/>
      <c r="AG463" s="264"/>
      <c r="AH463" s="264"/>
      <c r="AI463" s="264"/>
      <c r="AJ463" s="264"/>
      <c r="AK463" s="264"/>
      <c r="AL463" s="264"/>
      <c r="AM463" s="264"/>
      <c r="AN463" s="264"/>
      <c r="AO463" s="264"/>
      <c r="AP463" s="264"/>
      <c r="AQ463" s="264"/>
      <c r="AR463" s="264"/>
      <c r="AS463" s="264"/>
      <c r="AT463" s="264"/>
      <c r="AU463" s="264"/>
      <c r="AV463" s="264"/>
      <c r="AW463" s="264"/>
      <c r="AX463" s="264"/>
      <c r="AY463" s="264"/>
      <c r="AZ463" s="264"/>
      <c r="BA463" s="264"/>
      <c r="BB463" s="264"/>
      <c r="BC463" s="264"/>
      <c r="BD463" s="264"/>
    </row>
    <row r="464">
      <c r="A464" s="264"/>
      <c r="B464" s="264"/>
      <c r="C464" s="264"/>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c r="AA464" s="264"/>
      <c r="AB464" s="264"/>
      <c r="AC464" s="264"/>
      <c r="AD464" s="264"/>
      <c r="AE464" s="264"/>
      <c r="AF464" s="264"/>
      <c r="AG464" s="264"/>
      <c r="AH464" s="264"/>
      <c r="AI464" s="264"/>
      <c r="AJ464" s="264"/>
      <c r="AK464" s="264"/>
      <c r="AL464" s="264"/>
      <c r="AM464" s="264"/>
      <c r="AN464" s="264"/>
      <c r="AO464" s="264"/>
      <c r="AP464" s="264"/>
      <c r="AQ464" s="264"/>
      <c r="AR464" s="264"/>
      <c r="AS464" s="264"/>
      <c r="AT464" s="264"/>
      <c r="AU464" s="264"/>
      <c r="AV464" s="264"/>
      <c r="AW464" s="264"/>
      <c r="AX464" s="264"/>
      <c r="AY464" s="264"/>
      <c r="AZ464" s="264"/>
      <c r="BA464" s="264"/>
      <c r="BB464" s="264"/>
      <c r="BC464" s="264"/>
      <c r="BD464" s="264"/>
    </row>
    <row r="465">
      <c r="A465" s="264"/>
      <c r="B465" s="264"/>
      <c r="C465" s="264"/>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c r="AA465" s="264"/>
      <c r="AB465" s="264"/>
      <c r="AC465" s="264"/>
      <c r="AD465" s="264"/>
      <c r="AE465" s="264"/>
      <c r="AF465" s="264"/>
      <c r="AG465" s="264"/>
      <c r="AH465" s="264"/>
      <c r="AI465" s="264"/>
      <c r="AJ465" s="264"/>
      <c r="AK465" s="264"/>
      <c r="AL465" s="264"/>
      <c r="AM465" s="264"/>
      <c r="AN465" s="264"/>
      <c r="AO465" s="264"/>
      <c r="AP465" s="264"/>
      <c r="AQ465" s="264"/>
      <c r="AR465" s="264"/>
      <c r="AS465" s="264"/>
      <c r="AT465" s="264"/>
      <c r="AU465" s="264"/>
      <c r="AV465" s="264"/>
      <c r="AW465" s="264"/>
      <c r="AX465" s="264"/>
      <c r="AY465" s="264"/>
      <c r="AZ465" s="264"/>
      <c r="BA465" s="264"/>
      <c r="BB465" s="264"/>
      <c r="BC465" s="264"/>
      <c r="BD465" s="264"/>
    </row>
    <row r="466">
      <c r="A466" s="264"/>
      <c r="B466" s="264"/>
      <c r="C466" s="264"/>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c r="AA466" s="264"/>
      <c r="AB466" s="264"/>
      <c r="AC466" s="264"/>
      <c r="AD466" s="264"/>
      <c r="AE466" s="264"/>
      <c r="AF466" s="264"/>
      <c r="AG466" s="264"/>
      <c r="AH466" s="264"/>
      <c r="AI466" s="264"/>
      <c r="AJ466" s="264"/>
      <c r="AK466" s="264"/>
      <c r="AL466" s="264"/>
      <c r="AM466" s="264"/>
      <c r="AN466" s="264"/>
      <c r="AO466" s="264"/>
      <c r="AP466" s="264"/>
      <c r="AQ466" s="264"/>
      <c r="AR466" s="264"/>
      <c r="AS466" s="264"/>
      <c r="AT466" s="264"/>
      <c r="AU466" s="264"/>
      <c r="AV466" s="264"/>
      <c r="AW466" s="264"/>
      <c r="AX466" s="264"/>
      <c r="AY466" s="264"/>
      <c r="AZ466" s="264"/>
      <c r="BA466" s="264"/>
      <c r="BB466" s="264"/>
      <c r="BC466" s="264"/>
      <c r="BD466" s="264"/>
    </row>
    <row r="467">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c r="AA467" s="264"/>
      <c r="AB467" s="264"/>
      <c r="AC467" s="264"/>
      <c r="AD467" s="264"/>
      <c r="AE467" s="264"/>
      <c r="AF467" s="264"/>
      <c r="AG467" s="264"/>
      <c r="AH467" s="264"/>
      <c r="AI467" s="264"/>
      <c r="AJ467" s="264"/>
      <c r="AK467" s="264"/>
      <c r="AL467" s="264"/>
      <c r="AM467" s="264"/>
      <c r="AN467" s="264"/>
      <c r="AO467" s="264"/>
      <c r="AP467" s="264"/>
      <c r="AQ467" s="264"/>
      <c r="AR467" s="264"/>
      <c r="AS467" s="264"/>
      <c r="AT467" s="264"/>
      <c r="AU467" s="264"/>
      <c r="AV467" s="264"/>
      <c r="AW467" s="264"/>
      <c r="AX467" s="264"/>
      <c r="AY467" s="264"/>
      <c r="AZ467" s="264"/>
      <c r="BA467" s="264"/>
      <c r="BB467" s="264"/>
      <c r="BC467" s="264"/>
      <c r="BD467" s="264"/>
    </row>
    <row r="468">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c r="AA468" s="264"/>
      <c r="AB468" s="264"/>
      <c r="AC468" s="264"/>
      <c r="AD468" s="264"/>
      <c r="AE468" s="264"/>
      <c r="AF468" s="264"/>
      <c r="AG468" s="264"/>
      <c r="AH468" s="264"/>
      <c r="AI468" s="264"/>
      <c r="AJ468" s="264"/>
      <c r="AK468" s="264"/>
      <c r="AL468" s="264"/>
      <c r="AM468" s="264"/>
      <c r="AN468" s="264"/>
      <c r="AO468" s="264"/>
      <c r="AP468" s="264"/>
      <c r="AQ468" s="264"/>
      <c r="AR468" s="264"/>
      <c r="AS468" s="264"/>
      <c r="AT468" s="264"/>
      <c r="AU468" s="264"/>
      <c r="AV468" s="264"/>
      <c r="AW468" s="264"/>
      <c r="AX468" s="264"/>
      <c r="AY468" s="264"/>
      <c r="AZ468" s="264"/>
      <c r="BA468" s="264"/>
      <c r="BB468" s="264"/>
      <c r="BC468" s="264"/>
      <c r="BD468" s="264"/>
    </row>
    <row r="469">
      <c r="A469" s="264"/>
      <c r="B469" s="264"/>
      <c r="C469" s="264"/>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c r="AA469" s="264"/>
      <c r="AB469" s="264"/>
      <c r="AC469" s="264"/>
      <c r="AD469" s="264"/>
      <c r="AE469" s="264"/>
      <c r="AF469" s="264"/>
      <c r="AG469" s="264"/>
      <c r="AH469" s="264"/>
      <c r="AI469" s="264"/>
      <c r="AJ469" s="264"/>
      <c r="AK469" s="264"/>
      <c r="AL469" s="264"/>
      <c r="AM469" s="264"/>
      <c r="AN469" s="264"/>
      <c r="AO469" s="264"/>
      <c r="AP469" s="264"/>
      <c r="AQ469" s="264"/>
      <c r="AR469" s="264"/>
      <c r="AS469" s="264"/>
      <c r="AT469" s="264"/>
      <c r="AU469" s="264"/>
      <c r="AV469" s="264"/>
      <c r="AW469" s="264"/>
      <c r="AX469" s="264"/>
      <c r="AY469" s="264"/>
      <c r="AZ469" s="264"/>
      <c r="BA469" s="264"/>
      <c r="BB469" s="264"/>
      <c r="BC469" s="264"/>
      <c r="BD469" s="264"/>
    </row>
    <row r="470">
      <c r="A470" s="264"/>
      <c r="B470" s="264"/>
      <c r="C470" s="264"/>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c r="AA470" s="264"/>
      <c r="AB470" s="264"/>
      <c r="AC470" s="264"/>
      <c r="AD470" s="264"/>
      <c r="AE470" s="264"/>
      <c r="AF470" s="264"/>
      <c r="AG470" s="264"/>
      <c r="AH470" s="264"/>
      <c r="AI470" s="264"/>
      <c r="AJ470" s="264"/>
      <c r="AK470" s="264"/>
      <c r="AL470" s="264"/>
      <c r="AM470" s="264"/>
      <c r="AN470" s="264"/>
      <c r="AO470" s="264"/>
      <c r="AP470" s="264"/>
      <c r="AQ470" s="264"/>
      <c r="AR470" s="264"/>
      <c r="AS470" s="264"/>
      <c r="AT470" s="264"/>
      <c r="AU470" s="264"/>
      <c r="AV470" s="264"/>
      <c r="AW470" s="264"/>
      <c r="AX470" s="264"/>
      <c r="AY470" s="264"/>
      <c r="AZ470" s="264"/>
      <c r="BA470" s="264"/>
      <c r="BB470" s="264"/>
      <c r="BC470" s="264"/>
      <c r="BD470" s="264"/>
    </row>
    <row r="471">
      <c r="A471" s="264"/>
      <c r="B471" s="264"/>
      <c r="C471" s="264"/>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c r="AA471" s="264"/>
      <c r="AB471" s="264"/>
      <c r="AC471" s="264"/>
      <c r="AD471" s="264"/>
      <c r="AE471" s="264"/>
      <c r="AF471" s="264"/>
      <c r="AG471" s="264"/>
      <c r="AH471" s="264"/>
      <c r="AI471" s="264"/>
      <c r="AJ471" s="264"/>
      <c r="AK471" s="264"/>
      <c r="AL471" s="264"/>
      <c r="AM471" s="264"/>
      <c r="AN471" s="264"/>
      <c r="AO471" s="264"/>
      <c r="AP471" s="264"/>
      <c r="AQ471" s="264"/>
      <c r="AR471" s="264"/>
      <c r="AS471" s="264"/>
      <c r="AT471" s="264"/>
      <c r="AU471" s="264"/>
      <c r="AV471" s="264"/>
      <c r="AW471" s="264"/>
      <c r="AX471" s="264"/>
      <c r="AY471" s="264"/>
      <c r="AZ471" s="264"/>
      <c r="BA471" s="264"/>
      <c r="BB471" s="264"/>
      <c r="BC471" s="264"/>
      <c r="BD471" s="264"/>
    </row>
    <row r="472">
      <c r="A472" s="264"/>
      <c r="B472" s="264"/>
      <c r="C472" s="264"/>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c r="AA472" s="264"/>
      <c r="AB472" s="264"/>
      <c r="AC472" s="264"/>
      <c r="AD472" s="264"/>
      <c r="AE472" s="264"/>
      <c r="AF472" s="264"/>
      <c r="AG472" s="264"/>
      <c r="AH472" s="264"/>
      <c r="AI472" s="264"/>
      <c r="AJ472" s="264"/>
      <c r="AK472" s="264"/>
      <c r="AL472" s="264"/>
      <c r="AM472" s="264"/>
      <c r="AN472" s="264"/>
      <c r="AO472" s="264"/>
      <c r="AP472" s="264"/>
      <c r="AQ472" s="264"/>
      <c r="AR472" s="264"/>
      <c r="AS472" s="264"/>
      <c r="AT472" s="264"/>
      <c r="AU472" s="264"/>
      <c r="AV472" s="264"/>
      <c r="AW472" s="264"/>
      <c r="AX472" s="264"/>
      <c r="AY472" s="264"/>
      <c r="AZ472" s="264"/>
      <c r="BA472" s="264"/>
      <c r="BB472" s="264"/>
      <c r="BC472" s="264"/>
      <c r="BD472" s="264"/>
    </row>
    <row r="473">
      <c r="A473" s="264"/>
      <c r="B473" s="264"/>
      <c r="C473" s="264"/>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c r="AA473" s="264"/>
      <c r="AB473" s="264"/>
      <c r="AC473" s="264"/>
      <c r="AD473" s="264"/>
      <c r="AE473" s="264"/>
      <c r="AF473" s="264"/>
      <c r="AG473" s="264"/>
      <c r="AH473" s="264"/>
      <c r="AI473" s="264"/>
      <c r="AJ473" s="264"/>
      <c r="AK473" s="264"/>
      <c r="AL473" s="264"/>
      <c r="AM473" s="264"/>
      <c r="AN473" s="264"/>
      <c r="AO473" s="264"/>
      <c r="AP473" s="264"/>
      <c r="AQ473" s="264"/>
      <c r="AR473" s="264"/>
      <c r="AS473" s="264"/>
      <c r="AT473" s="264"/>
      <c r="AU473" s="264"/>
      <c r="AV473" s="264"/>
      <c r="AW473" s="264"/>
      <c r="AX473" s="264"/>
      <c r="AY473" s="264"/>
      <c r="AZ473" s="264"/>
      <c r="BA473" s="264"/>
      <c r="BB473" s="264"/>
      <c r="BC473" s="264"/>
      <c r="BD473" s="264"/>
    </row>
    <row r="474">
      <c r="A474" s="264"/>
      <c r="B474" s="264"/>
      <c r="C474" s="264"/>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c r="AA474" s="264"/>
      <c r="AB474" s="264"/>
      <c r="AC474" s="264"/>
      <c r="AD474" s="264"/>
      <c r="AE474" s="264"/>
      <c r="AF474" s="264"/>
      <c r="AG474" s="264"/>
      <c r="AH474" s="264"/>
      <c r="AI474" s="264"/>
      <c r="AJ474" s="264"/>
      <c r="AK474" s="264"/>
      <c r="AL474" s="264"/>
      <c r="AM474" s="264"/>
      <c r="AN474" s="264"/>
      <c r="AO474" s="264"/>
      <c r="AP474" s="264"/>
      <c r="AQ474" s="264"/>
      <c r="AR474" s="264"/>
      <c r="AS474" s="264"/>
      <c r="AT474" s="264"/>
      <c r="AU474" s="264"/>
      <c r="AV474" s="264"/>
      <c r="AW474" s="264"/>
      <c r="AX474" s="264"/>
      <c r="AY474" s="264"/>
      <c r="AZ474" s="264"/>
      <c r="BA474" s="264"/>
      <c r="BB474" s="264"/>
      <c r="BC474" s="264"/>
      <c r="BD474" s="264"/>
    </row>
    <row r="475">
      <c r="A475" s="264"/>
      <c r="B475" s="264"/>
      <c r="C475" s="264"/>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c r="AA475" s="264"/>
      <c r="AB475" s="264"/>
      <c r="AC475" s="264"/>
      <c r="AD475" s="264"/>
      <c r="AE475" s="264"/>
      <c r="AF475" s="264"/>
      <c r="AG475" s="264"/>
      <c r="AH475" s="264"/>
      <c r="AI475" s="264"/>
      <c r="AJ475" s="264"/>
      <c r="AK475" s="264"/>
      <c r="AL475" s="264"/>
      <c r="AM475" s="264"/>
      <c r="AN475" s="264"/>
      <c r="AO475" s="264"/>
      <c r="AP475" s="264"/>
      <c r="AQ475" s="264"/>
      <c r="AR475" s="264"/>
      <c r="AS475" s="264"/>
      <c r="AT475" s="264"/>
      <c r="AU475" s="264"/>
      <c r="AV475" s="264"/>
      <c r="AW475" s="264"/>
      <c r="AX475" s="264"/>
      <c r="AY475" s="264"/>
      <c r="AZ475" s="264"/>
      <c r="BA475" s="264"/>
      <c r="BB475" s="264"/>
      <c r="BC475" s="264"/>
      <c r="BD475" s="264"/>
    </row>
    <row r="476">
      <c r="A476" s="264"/>
      <c r="B476" s="264"/>
      <c r="C476" s="264"/>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c r="AA476" s="264"/>
      <c r="AB476" s="264"/>
      <c r="AC476" s="264"/>
      <c r="AD476" s="264"/>
      <c r="AE476" s="264"/>
      <c r="AF476" s="264"/>
      <c r="AG476" s="264"/>
      <c r="AH476" s="264"/>
      <c r="AI476" s="264"/>
      <c r="AJ476" s="264"/>
      <c r="AK476" s="264"/>
      <c r="AL476" s="264"/>
      <c r="AM476" s="264"/>
      <c r="AN476" s="264"/>
      <c r="AO476" s="264"/>
      <c r="AP476" s="264"/>
      <c r="AQ476" s="264"/>
      <c r="AR476" s="264"/>
      <c r="AS476" s="264"/>
      <c r="AT476" s="264"/>
      <c r="AU476" s="264"/>
      <c r="AV476" s="264"/>
      <c r="AW476" s="264"/>
      <c r="AX476" s="264"/>
      <c r="AY476" s="264"/>
      <c r="AZ476" s="264"/>
      <c r="BA476" s="264"/>
      <c r="BB476" s="264"/>
      <c r="BC476" s="264"/>
      <c r="BD476" s="264"/>
    </row>
    <row r="477">
      <c r="A477" s="264"/>
      <c r="B477" s="264"/>
      <c r="C477" s="264"/>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c r="AA477" s="264"/>
      <c r="AB477" s="264"/>
      <c r="AC477" s="264"/>
      <c r="AD477" s="264"/>
      <c r="AE477" s="264"/>
      <c r="AF477" s="264"/>
      <c r="AG477" s="264"/>
      <c r="AH477" s="264"/>
      <c r="AI477" s="264"/>
      <c r="AJ477" s="264"/>
      <c r="AK477" s="264"/>
      <c r="AL477" s="264"/>
      <c r="AM477" s="264"/>
      <c r="AN477" s="264"/>
      <c r="AO477" s="264"/>
      <c r="AP477" s="264"/>
      <c r="AQ477" s="264"/>
      <c r="AR477" s="264"/>
      <c r="AS477" s="264"/>
      <c r="AT477" s="264"/>
      <c r="AU477" s="264"/>
      <c r="AV477" s="264"/>
      <c r="AW477" s="264"/>
      <c r="AX477" s="264"/>
      <c r="AY477" s="264"/>
      <c r="AZ477" s="264"/>
      <c r="BA477" s="264"/>
      <c r="BB477" s="264"/>
      <c r="BC477" s="264"/>
      <c r="BD477" s="264"/>
    </row>
    <row r="478">
      <c r="A478" s="264"/>
      <c r="B478" s="264"/>
      <c r="C478" s="264"/>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c r="AA478" s="264"/>
      <c r="AB478" s="264"/>
      <c r="AC478" s="264"/>
      <c r="AD478" s="264"/>
      <c r="AE478" s="264"/>
      <c r="AF478" s="264"/>
      <c r="AG478" s="264"/>
      <c r="AH478" s="264"/>
      <c r="AI478" s="264"/>
      <c r="AJ478" s="264"/>
      <c r="AK478" s="264"/>
      <c r="AL478" s="264"/>
      <c r="AM478" s="264"/>
      <c r="AN478" s="264"/>
      <c r="AO478" s="264"/>
      <c r="AP478" s="264"/>
      <c r="AQ478" s="264"/>
      <c r="AR478" s="264"/>
      <c r="AS478" s="264"/>
      <c r="AT478" s="264"/>
      <c r="AU478" s="264"/>
      <c r="AV478" s="264"/>
      <c r="AW478" s="264"/>
      <c r="AX478" s="264"/>
      <c r="AY478" s="264"/>
      <c r="AZ478" s="264"/>
      <c r="BA478" s="264"/>
      <c r="BB478" s="264"/>
      <c r="BC478" s="264"/>
      <c r="BD478" s="264"/>
    </row>
    <row r="479">
      <c r="A479" s="264"/>
      <c r="B479" s="264"/>
      <c r="C479" s="264"/>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c r="AA479" s="264"/>
      <c r="AB479" s="264"/>
      <c r="AC479" s="264"/>
      <c r="AD479" s="264"/>
      <c r="AE479" s="264"/>
      <c r="AF479" s="264"/>
      <c r="AG479" s="264"/>
      <c r="AH479" s="264"/>
      <c r="AI479" s="264"/>
      <c r="AJ479" s="264"/>
      <c r="AK479" s="264"/>
      <c r="AL479" s="264"/>
      <c r="AM479" s="264"/>
      <c r="AN479" s="264"/>
      <c r="AO479" s="264"/>
      <c r="AP479" s="264"/>
      <c r="AQ479" s="264"/>
      <c r="AR479" s="264"/>
      <c r="AS479" s="264"/>
      <c r="AT479" s="264"/>
      <c r="AU479" s="264"/>
      <c r="AV479" s="264"/>
      <c r="AW479" s="264"/>
      <c r="AX479" s="264"/>
      <c r="AY479" s="264"/>
      <c r="AZ479" s="264"/>
      <c r="BA479" s="264"/>
      <c r="BB479" s="264"/>
      <c r="BC479" s="264"/>
      <c r="BD479" s="264"/>
    </row>
    <row r="480">
      <c r="A480" s="264"/>
      <c r="B480" s="264"/>
      <c r="C480" s="264"/>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c r="AA480" s="264"/>
      <c r="AB480" s="264"/>
      <c r="AC480" s="264"/>
      <c r="AD480" s="264"/>
      <c r="AE480" s="264"/>
      <c r="AF480" s="264"/>
      <c r="AG480" s="264"/>
      <c r="AH480" s="264"/>
      <c r="AI480" s="264"/>
      <c r="AJ480" s="264"/>
      <c r="AK480" s="264"/>
      <c r="AL480" s="264"/>
      <c r="AM480" s="264"/>
      <c r="AN480" s="264"/>
      <c r="AO480" s="264"/>
      <c r="AP480" s="264"/>
      <c r="AQ480" s="264"/>
      <c r="AR480" s="264"/>
      <c r="AS480" s="264"/>
      <c r="AT480" s="264"/>
      <c r="AU480" s="264"/>
      <c r="AV480" s="264"/>
      <c r="AW480" s="264"/>
      <c r="AX480" s="264"/>
      <c r="AY480" s="264"/>
      <c r="AZ480" s="264"/>
      <c r="BA480" s="264"/>
      <c r="BB480" s="264"/>
      <c r="BC480" s="264"/>
      <c r="BD480" s="264"/>
    </row>
    <row r="481">
      <c r="A481" s="264"/>
      <c r="B481" s="264"/>
      <c r="C481" s="264"/>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c r="AA481" s="264"/>
      <c r="AB481" s="264"/>
      <c r="AC481" s="264"/>
      <c r="AD481" s="264"/>
      <c r="AE481" s="264"/>
      <c r="AF481" s="264"/>
      <c r="AG481" s="264"/>
      <c r="AH481" s="264"/>
      <c r="AI481" s="264"/>
      <c r="AJ481" s="264"/>
      <c r="AK481" s="264"/>
      <c r="AL481" s="264"/>
      <c r="AM481" s="264"/>
      <c r="AN481" s="264"/>
      <c r="AO481" s="264"/>
      <c r="AP481" s="264"/>
      <c r="AQ481" s="264"/>
      <c r="AR481" s="264"/>
      <c r="AS481" s="264"/>
      <c r="AT481" s="264"/>
      <c r="AU481" s="264"/>
      <c r="AV481" s="264"/>
      <c r="AW481" s="264"/>
      <c r="AX481" s="264"/>
      <c r="AY481" s="264"/>
      <c r="AZ481" s="264"/>
      <c r="BA481" s="264"/>
      <c r="BB481" s="264"/>
      <c r="BC481" s="264"/>
      <c r="BD481" s="264"/>
    </row>
    <row r="482">
      <c r="A482" s="264"/>
      <c r="B482" s="264"/>
      <c r="C482" s="264"/>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c r="AA482" s="264"/>
      <c r="AB482" s="264"/>
      <c r="AC482" s="264"/>
      <c r="AD482" s="264"/>
      <c r="AE482" s="264"/>
      <c r="AF482" s="264"/>
      <c r="AG482" s="264"/>
      <c r="AH482" s="264"/>
      <c r="AI482" s="264"/>
      <c r="AJ482" s="264"/>
      <c r="AK482" s="264"/>
      <c r="AL482" s="264"/>
      <c r="AM482" s="264"/>
      <c r="AN482" s="264"/>
      <c r="AO482" s="264"/>
      <c r="AP482" s="264"/>
      <c r="AQ482" s="264"/>
      <c r="AR482" s="264"/>
      <c r="AS482" s="264"/>
      <c r="AT482" s="264"/>
      <c r="AU482" s="264"/>
      <c r="AV482" s="264"/>
      <c r="AW482" s="264"/>
      <c r="AX482" s="264"/>
      <c r="AY482" s="264"/>
      <c r="AZ482" s="264"/>
      <c r="BA482" s="264"/>
      <c r="BB482" s="264"/>
      <c r="BC482" s="264"/>
      <c r="BD482" s="264"/>
    </row>
    <row r="483">
      <c r="A483" s="264"/>
      <c r="B483" s="264"/>
      <c r="C483" s="264"/>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c r="AA483" s="264"/>
      <c r="AB483" s="264"/>
      <c r="AC483" s="264"/>
      <c r="AD483" s="264"/>
      <c r="AE483" s="264"/>
      <c r="AF483" s="264"/>
      <c r="AG483" s="264"/>
      <c r="AH483" s="264"/>
      <c r="AI483" s="264"/>
      <c r="AJ483" s="264"/>
      <c r="AK483" s="264"/>
      <c r="AL483" s="264"/>
      <c r="AM483" s="264"/>
      <c r="AN483" s="264"/>
      <c r="AO483" s="264"/>
      <c r="AP483" s="264"/>
      <c r="AQ483" s="264"/>
      <c r="AR483" s="264"/>
      <c r="AS483" s="264"/>
      <c r="AT483" s="264"/>
      <c r="AU483" s="264"/>
      <c r="AV483" s="264"/>
      <c r="AW483" s="264"/>
      <c r="AX483" s="264"/>
      <c r="AY483" s="264"/>
      <c r="AZ483" s="264"/>
      <c r="BA483" s="264"/>
      <c r="BB483" s="264"/>
      <c r="BC483" s="264"/>
      <c r="BD483" s="264"/>
    </row>
    <row r="484">
      <c r="A484" s="264"/>
      <c r="B484" s="264"/>
      <c r="C484" s="264"/>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c r="AA484" s="264"/>
      <c r="AB484" s="264"/>
      <c r="AC484" s="264"/>
      <c r="AD484" s="264"/>
      <c r="AE484" s="264"/>
      <c r="AF484" s="264"/>
      <c r="AG484" s="264"/>
      <c r="AH484" s="264"/>
      <c r="AI484" s="264"/>
      <c r="AJ484" s="264"/>
      <c r="AK484" s="264"/>
      <c r="AL484" s="264"/>
      <c r="AM484" s="264"/>
      <c r="AN484" s="264"/>
      <c r="AO484" s="264"/>
      <c r="AP484" s="264"/>
      <c r="AQ484" s="264"/>
      <c r="AR484" s="264"/>
      <c r="AS484" s="264"/>
      <c r="AT484" s="264"/>
      <c r="AU484" s="264"/>
      <c r="AV484" s="264"/>
      <c r="AW484" s="264"/>
      <c r="AX484" s="264"/>
      <c r="AY484" s="264"/>
      <c r="AZ484" s="264"/>
      <c r="BA484" s="264"/>
      <c r="BB484" s="264"/>
      <c r="BC484" s="264"/>
      <c r="BD484" s="264"/>
    </row>
    <row r="485">
      <c r="A485" s="264"/>
      <c r="B485" s="264"/>
      <c r="C485" s="264"/>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c r="AA485" s="264"/>
      <c r="AB485" s="264"/>
      <c r="AC485" s="264"/>
      <c r="AD485" s="264"/>
      <c r="AE485" s="264"/>
      <c r="AF485" s="264"/>
      <c r="AG485" s="264"/>
      <c r="AH485" s="264"/>
      <c r="AI485" s="264"/>
      <c r="AJ485" s="264"/>
      <c r="AK485" s="264"/>
      <c r="AL485" s="264"/>
      <c r="AM485" s="264"/>
      <c r="AN485" s="264"/>
      <c r="AO485" s="264"/>
      <c r="AP485" s="264"/>
      <c r="AQ485" s="264"/>
      <c r="AR485" s="264"/>
      <c r="AS485" s="264"/>
      <c r="AT485" s="264"/>
      <c r="AU485" s="264"/>
      <c r="AV485" s="264"/>
      <c r="AW485" s="264"/>
      <c r="AX485" s="264"/>
      <c r="AY485" s="264"/>
      <c r="AZ485" s="264"/>
      <c r="BA485" s="264"/>
      <c r="BB485" s="264"/>
      <c r="BC485" s="264"/>
      <c r="BD485" s="264"/>
    </row>
    <row r="486">
      <c r="A486" s="264"/>
      <c r="B486" s="264"/>
      <c r="C486" s="264"/>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c r="AA486" s="264"/>
      <c r="AB486" s="264"/>
      <c r="AC486" s="264"/>
      <c r="AD486" s="264"/>
      <c r="AE486" s="264"/>
      <c r="AF486" s="264"/>
      <c r="AG486" s="264"/>
      <c r="AH486" s="264"/>
      <c r="AI486" s="264"/>
      <c r="AJ486" s="264"/>
      <c r="AK486" s="264"/>
      <c r="AL486" s="264"/>
      <c r="AM486" s="264"/>
      <c r="AN486" s="264"/>
      <c r="AO486" s="264"/>
      <c r="AP486" s="264"/>
      <c r="AQ486" s="264"/>
      <c r="AR486" s="264"/>
      <c r="AS486" s="264"/>
      <c r="AT486" s="264"/>
      <c r="AU486" s="264"/>
      <c r="AV486" s="264"/>
      <c r="AW486" s="264"/>
      <c r="AX486" s="264"/>
      <c r="AY486" s="264"/>
      <c r="AZ486" s="264"/>
      <c r="BA486" s="264"/>
      <c r="BB486" s="264"/>
      <c r="BC486" s="264"/>
      <c r="BD486" s="264"/>
    </row>
    <row r="487">
      <c r="A487" s="264"/>
      <c r="B487" s="264"/>
      <c r="C487" s="264"/>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c r="AA487" s="264"/>
      <c r="AB487" s="264"/>
      <c r="AC487" s="264"/>
      <c r="AD487" s="264"/>
      <c r="AE487" s="264"/>
      <c r="AF487" s="264"/>
      <c r="AG487" s="264"/>
      <c r="AH487" s="264"/>
      <c r="AI487" s="264"/>
      <c r="AJ487" s="264"/>
      <c r="AK487" s="264"/>
      <c r="AL487" s="264"/>
      <c r="AM487" s="264"/>
      <c r="AN487" s="264"/>
      <c r="AO487" s="264"/>
      <c r="AP487" s="264"/>
      <c r="AQ487" s="264"/>
      <c r="AR487" s="264"/>
      <c r="AS487" s="264"/>
      <c r="AT487" s="264"/>
      <c r="AU487" s="264"/>
      <c r="AV487" s="264"/>
      <c r="AW487" s="264"/>
      <c r="AX487" s="264"/>
      <c r="AY487" s="264"/>
      <c r="AZ487" s="264"/>
      <c r="BA487" s="264"/>
      <c r="BB487" s="264"/>
      <c r="BC487" s="264"/>
      <c r="BD487" s="264"/>
    </row>
    <row r="488">
      <c r="A488" s="264"/>
      <c r="B488" s="264"/>
      <c r="C488" s="264"/>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c r="AA488" s="264"/>
      <c r="AB488" s="264"/>
      <c r="AC488" s="264"/>
      <c r="AD488" s="264"/>
      <c r="AE488" s="264"/>
      <c r="AF488" s="264"/>
      <c r="AG488" s="264"/>
      <c r="AH488" s="264"/>
      <c r="AI488" s="264"/>
      <c r="AJ488" s="264"/>
      <c r="AK488" s="264"/>
      <c r="AL488" s="264"/>
      <c r="AM488" s="264"/>
      <c r="AN488" s="264"/>
      <c r="AO488" s="264"/>
      <c r="AP488" s="264"/>
      <c r="AQ488" s="264"/>
      <c r="AR488" s="264"/>
      <c r="AS488" s="264"/>
      <c r="AT488" s="264"/>
      <c r="AU488" s="264"/>
      <c r="AV488" s="264"/>
      <c r="AW488" s="264"/>
      <c r="AX488" s="264"/>
      <c r="AY488" s="264"/>
      <c r="AZ488" s="264"/>
      <c r="BA488" s="264"/>
      <c r="BB488" s="264"/>
      <c r="BC488" s="264"/>
      <c r="BD488" s="264"/>
    </row>
    <row r="489">
      <c r="A489" s="264"/>
      <c r="B489" s="264"/>
      <c r="C489" s="264"/>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c r="AA489" s="264"/>
      <c r="AB489" s="264"/>
      <c r="AC489" s="264"/>
      <c r="AD489" s="264"/>
      <c r="AE489" s="264"/>
      <c r="AF489" s="264"/>
      <c r="AG489" s="264"/>
      <c r="AH489" s="264"/>
      <c r="AI489" s="264"/>
      <c r="AJ489" s="264"/>
      <c r="AK489" s="264"/>
      <c r="AL489" s="264"/>
      <c r="AM489" s="264"/>
      <c r="AN489" s="264"/>
      <c r="AO489" s="264"/>
      <c r="AP489" s="264"/>
      <c r="AQ489" s="264"/>
      <c r="AR489" s="264"/>
      <c r="AS489" s="264"/>
      <c r="AT489" s="264"/>
      <c r="AU489" s="264"/>
      <c r="AV489" s="264"/>
      <c r="AW489" s="264"/>
      <c r="AX489" s="264"/>
      <c r="AY489" s="264"/>
      <c r="AZ489" s="264"/>
      <c r="BA489" s="264"/>
      <c r="BB489" s="264"/>
      <c r="BC489" s="264"/>
      <c r="BD489" s="264"/>
    </row>
    <row r="490">
      <c r="A490" s="264"/>
      <c r="B490" s="264"/>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c r="AA490" s="264"/>
      <c r="AB490" s="264"/>
      <c r="AC490" s="264"/>
      <c r="AD490" s="264"/>
      <c r="AE490" s="264"/>
      <c r="AF490" s="264"/>
      <c r="AG490" s="264"/>
      <c r="AH490" s="264"/>
      <c r="AI490" s="264"/>
      <c r="AJ490" s="264"/>
      <c r="AK490" s="264"/>
      <c r="AL490" s="264"/>
      <c r="AM490" s="264"/>
      <c r="AN490" s="264"/>
      <c r="AO490" s="264"/>
      <c r="AP490" s="264"/>
      <c r="AQ490" s="264"/>
      <c r="AR490" s="264"/>
      <c r="AS490" s="264"/>
      <c r="AT490" s="264"/>
      <c r="AU490" s="264"/>
      <c r="AV490" s="264"/>
      <c r="AW490" s="264"/>
      <c r="AX490" s="264"/>
      <c r="AY490" s="264"/>
      <c r="AZ490" s="264"/>
      <c r="BA490" s="264"/>
      <c r="BB490" s="264"/>
      <c r="BC490" s="264"/>
      <c r="BD490" s="264"/>
    </row>
    <row r="491">
      <c r="A491" s="264"/>
      <c r="B491" s="264"/>
      <c r="C491" s="264"/>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c r="AA491" s="264"/>
      <c r="AB491" s="264"/>
      <c r="AC491" s="264"/>
      <c r="AD491" s="264"/>
      <c r="AE491" s="264"/>
      <c r="AF491" s="264"/>
      <c r="AG491" s="264"/>
      <c r="AH491" s="264"/>
      <c r="AI491" s="264"/>
      <c r="AJ491" s="264"/>
      <c r="AK491" s="264"/>
      <c r="AL491" s="264"/>
      <c r="AM491" s="264"/>
      <c r="AN491" s="264"/>
      <c r="AO491" s="264"/>
      <c r="AP491" s="264"/>
      <c r="AQ491" s="264"/>
      <c r="AR491" s="264"/>
      <c r="AS491" s="264"/>
      <c r="AT491" s="264"/>
      <c r="AU491" s="264"/>
      <c r="AV491" s="264"/>
      <c r="AW491" s="264"/>
      <c r="AX491" s="264"/>
      <c r="AY491" s="264"/>
      <c r="AZ491" s="264"/>
      <c r="BA491" s="264"/>
      <c r="BB491" s="264"/>
      <c r="BC491" s="264"/>
      <c r="BD491" s="264"/>
    </row>
    <row r="492">
      <c r="A492" s="264"/>
      <c r="B492" s="264"/>
      <c r="C492" s="264"/>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c r="AA492" s="264"/>
      <c r="AB492" s="264"/>
      <c r="AC492" s="264"/>
      <c r="AD492" s="264"/>
      <c r="AE492" s="264"/>
      <c r="AF492" s="264"/>
      <c r="AG492" s="264"/>
      <c r="AH492" s="264"/>
      <c r="AI492" s="264"/>
      <c r="AJ492" s="264"/>
      <c r="AK492" s="264"/>
      <c r="AL492" s="264"/>
      <c r="AM492" s="264"/>
      <c r="AN492" s="264"/>
      <c r="AO492" s="264"/>
      <c r="AP492" s="264"/>
      <c r="AQ492" s="264"/>
      <c r="AR492" s="264"/>
      <c r="AS492" s="264"/>
      <c r="AT492" s="264"/>
      <c r="AU492" s="264"/>
      <c r="AV492" s="264"/>
      <c r="AW492" s="264"/>
      <c r="AX492" s="264"/>
      <c r="AY492" s="264"/>
      <c r="AZ492" s="264"/>
      <c r="BA492" s="264"/>
      <c r="BB492" s="264"/>
      <c r="BC492" s="264"/>
      <c r="BD492" s="264"/>
    </row>
    <row r="493">
      <c r="A493" s="264"/>
      <c r="B493" s="264"/>
      <c r="C493" s="264"/>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c r="AA493" s="264"/>
      <c r="AB493" s="264"/>
      <c r="AC493" s="264"/>
      <c r="AD493" s="264"/>
      <c r="AE493" s="264"/>
      <c r="AF493" s="264"/>
      <c r="AG493" s="264"/>
      <c r="AH493" s="264"/>
      <c r="AI493" s="264"/>
      <c r="AJ493" s="264"/>
      <c r="AK493" s="264"/>
      <c r="AL493" s="264"/>
      <c r="AM493" s="264"/>
      <c r="AN493" s="264"/>
      <c r="AO493" s="264"/>
      <c r="AP493" s="264"/>
      <c r="AQ493" s="264"/>
      <c r="AR493" s="264"/>
      <c r="AS493" s="264"/>
      <c r="AT493" s="264"/>
      <c r="AU493" s="264"/>
      <c r="AV493" s="264"/>
      <c r="AW493" s="264"/>
      <c r="AX493" s="264"/>
      <c r="AY493" s="264"/>
      <c r="AZ493" s="264"/>
      <c r="BA493" s="264"/>
      <c r="BB493" s="264"/>
      <c r="BC493" s="264"/>
      <c r="BD493" s="264"/>
    </row>
    <row r="494">
      <c r="A494" s="264"/>
      <c r="B494" s="264"/>
      <c r="C494" s="264"/>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c r="AA494" s="264"/>
      <c r="AB494" s="264"/>
      <c r="AC494" s="264"/>
      <c r="AD494" s="264"/>
      <c r="AE494" s="264"/>
      <c r="AF494" s="264"/>
      <c r="AG494" s="264"/>
      <c r="AH494" s="264"/>
      <c r="AI494" s="264"/>
      <c r="AJ494" s="264"/>
      <c r="AK494" s="264"/>
      <c r="AL494" s="264"/>
      <c r="AM494" s="264"/>
      <c r="AN494" s="264"/>
      <c r="AO494" s="264"/>
      <c r="AP494" s="264"/>
      <c r="AQ494" s="264"/>
      <c r="AR494" s="264"/>
      <c r="AS494" s="264"/>
      <c r="AT494" s="264"/>
      <c r="AU494" s="264"/>
      <c r="AV494" s="264"/>
      <c r="AW494" s="264"/>
      <c r="AX494" s="264"/>
      <c r="AY494" s="264"/>
      <c r="AZ494" s="264"/>
      <c r="BA494" s="264"/>
      <c r="BB494" s="264"/>
      <c r="BC494" s="264"/>
      <c r="BD494" s="264"/>
    </row>
    <row r="495">
      <c r="A495" s="264"/>
      <c r="B495" s="264"/>
      <c r="C495" s="264"/>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c r="AA495" s="264"/>
      <c r="AB495" s="264"/>
      <c r="AC495" s="264"/>
      <c r="AD495" s="264"/>
      <c r="AE495" s="264"/>
      <c r="AF495" s="264"/>
      <c r="AG495" s="264"/>
      <c r="AH495" s="264"/>
      <c r="AI495" s="264"/>
      <c r="AJ495" s="264"/>
      <c r="AK495" s="264"/>
      <c r="AL495" s="264"/>
      <c r="AM495" s="264"/>
      <c r="AN495" s="264"/>
      <c r="AO495" s="264"/>
      <c r="AP495" s="264"/>
      <c r="AQ495" s="264"/>
      <c r="AR495" s="264"/>
      <c r="AS495" s="264"/>
      <c r="AT495" s="264"/>
      <c r="AU495" s="264"/>
      <c r="AV495" s="264"/>
      <c r="AW495" s="264"/>
      <c r="AX495" s="264"/>
      <c r="AY495" s="264"/>
      <c r="AZ495" s="264"/>
      <c r="BA495" s="264"/>
      <c r="BB495" s="264"/>
      <c r="BC495" s="264"/>
      <c r="BD495" s="264"/>
    </row>
    <row r="496">
      <c r="A496" s="264"/>
      <c r="B496" s="264"/>
      <c r="C496" s="264"/>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c r="AA496" s="264"/>
      <c r="AB496" s="264"/>
      <c r="AC496" s="264"/>
      <c r="AD496" s="264"/>
      <c r="AE496" s="264"/>
      <c r="AF496" s="264"/>
      <c r="AG496" s="264"/>
      <c r="AH496" s="264"/>
      <c r="AI496" s="264"/>
      <c r="AJ496" s="264"/>
      <c r="AK496" s="264"/>
      <c r="AL496" s="264"/>
      <c r="AM496" s="264"/>
      <c r="AN496" s="264"/>
      <c r="AO496" s="264"/>
      <c r="AP496" s="264"/>
      <c r="AQ496" s="264"/>
      <c r="AR496" s="264"/>
      <c r="AS496" s="264"/>
      <c r="AT496" s="264"/>
      <c r="AU496" s="264"/>
      <c r="AV496" s="264"/>
      <c r="AW496" s="264"/>
      <c r="AX496" s="264"/>
      <c r="AY496" s="264"/>
      <c r="AZ496" s="264"/>
      <c r="BA496" s="264"/>
      <c r="BB496" s="264"/>
      <c r="BC496" s="264"/>
      <c r="BD496" s="264"/>
    </row>
    <row r="497">
      <c r="A497" s="264"/>
      <c r="B497" s="264"/>
      <c r="C497" s="264"/>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c r="AA497" s="264"/>
      <c r="AB497" s="264"/>
      <c r="AC497" s="264"/>
      <c r="AD497" s="264"/>
      <c r="AE497" s="264"/>
      <c r="AF497" s="264"/>
      <c r="AG497" s="264"/>
      <c r="AH497" s="264"/>
      <c r="AI497" s="264"/>
      <c r="AJ497" s="264"/>
      <c r="AK497" s="264"/>
      <c r="AL497" s="264"/>
      <c r="AM497" s="264"/>
      <c r="AN497" s="264"/>
      <c r="AO497" s="264"/>
      <c r="AP497" s="264"/>
      <c r="AQ497" s="264"/>
      <c r="AR497" s="264"/>
      <c r="AS497" s="264"/>
      <c r="AT497" s="264"/>
      <c r="AU497" s="264"/>
      <c r="AV497" s="264"/>
      <c r="AW497" s="264"/>
      <c r="AX497" s="264"/>
      <c r="AY497" s="264"/>
      <c r="AZ497" s="264"/>
      <c r="BA497" s="264"/>
      <c r="BB497" s="264"/>
      <c r="BC497" s="264"/>
      <c r="BD497" s="264"/>
    </row>
    <row r="498">
      <c r="A498" s="264"/>
      <c r="B498" s="264"/>
      <c r="C498" s="264"/>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c r="AA498" s="264"/>
      <c r="AB498" s="264"/>
      <c r="AC498" s="264"/>
      <c r="AD498" s="264"/>
      <c r="AE498" s="264"/>
      <c r="AF498" s="264"/>
      <c r="AG498" s="264"/>
      <c r="AH498" s="264"/>
      <c r="AI498" s="264"/>
      <c r="AJ498" s="264"/>
      <c r="AK498" s="264"/>
      <c r="AL498" s="264"/>
      <c r="AM498" s="264"/>
      <c r="AN498" s="264"/>
      <c r="AO498" s="264"/>
      <c r="AP498" s="264"/>
      <c r="AQ498" s="264"/>
      <c r="AR498" s="264"/>
      <c r="AS498" s="264"/>
      <c r="AT498" s="264"/>
      <c r="AU498" s="264"/>
      <c r="AV498" s="264"/>
      <c r="AW498" s="264"/>
      <c r="AX498" s="264"/>
      <c r="AY498" s="264"/>
      <c r="AZ498" s="264"/>
      <c r="BA498" s="264"/>
      <c r="BB498" s="264"/>
      <c r="BC498" s="264"/>
      <c r="BD498" s="264"/>
    </row>
    <row r="499">
      <c r="A499" s="264"/>
      <c r="B499" s="264"/>
      <c r="C499" s="264"/>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c r="AA499" s="264"/>
      <c r="AB499" s="264"/>
      <c r="AC499" s="264"/>
      <c r="AD499" s="264"/>
      <c r="AE499" s="264"/>
      <c r="AF499" s="264"/>
      <c r="AG499" s="264"/>
      <c r="AH499" s="264"/>
      <c r="AI499" s="264"/>
      <c r="AJ499" s="264"/>
      <c r="AK499" s="264"/>
      <c r="AL499" s="264"/>
      <c r="AM499" s="264"/>
      <c r="AN499" s="264"/>
      <c r="AO499" s="264"/>
      <c r="AP499" s="264"/>
      <c r="AQ499" s="264"/>
      <c r="AR499" s="264"/>
      <c r="AS499" s="264"/>
      <c r="AT499" s="264"/>
      <c r="AU499" s="264"/>
      <c r="AV499" s="264"/>
      <c r="AW499" s="264"/>
      <c r="AX499" s="264"/>
      <c r="AY499" s="264"/>
      <c r="AZ499" s="264"/>
      <c r="BA499" s="264"/>
      <c r="BB499" s="264"/>
      <c r="BC499" s="264"/>
      <c r="BD499" s="264"/>
    </row>
    <row r="500">
      <c r="A500" s="264"/>
      <c r="B500" s="264"/>
      <c r="C500" s="264"/>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c r="AA500" s="264"/>
      <c r="AB500" s="264"/>
      <c r="AC500" s="264"/>
      <c r="AD500" s="264"/>
      <c r="AE500" s="264"/>
      <c r="AF500" s="264"/>
      <c r="AG500" s="264"/>
      <c r="AH500" s="264"/>
      <c r="AI500" s="264"/>
      <c r="AJ500" s="264"/>
      <c r="AK500" s="264"/>
      <c r="AL500" s="264"/>
      <c r="AM500" s="264"/>
      <c r="AN500" s="264"/>
      <c r="AO500" s="264"/>
      <c r="AP500" s="264"/>
      <c r="AQ500" s="264"/>
      <c r="AR500" s="264"/>
      <c r="AS500" s="264"/>
      <c r="AT500" s="264"/>
      <c r="AU500" s="264"/>
      <c r="AV500" s="264"/>
      <c r="AW500" s="264"/>
      <c r="AX500" s="264"/>
      <c r="AY500" s="264"/>
      <c r="AZ500" s="264"/>
      <c r="BA500" s="264"/>
      <c r="BB500" s="264"/>
      <c r="BC500" s="264"/>
      <c r="BD500" s="264"/>
    </row>
    <row r="501">
      <c r="A501" s="264"/>
      <c r="B501" s="264"/>
      <c r="C501" s="264"/>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c r="AA501" s="264"/>
      <c r="AB501" s="264"/>
      <c r="AC501" s="264"/>
      <c r="AD501" s="264"/>
      <c r="AE501" s="264"/>
      <c r="AF501" s="264"/>
      <c r="AG501" s="264"/>
      <c r="AH501" s="264"/>
      <c r="AI501" s="264"/>
      <c r="AJ501" s="264"/>
      <c r="AK501" s="264"/>
      <c r="AL501" s="264"/>
      <c r="AM501" s="264"/>
      <c r="AN501" s="264"/>
      <c r="AO501" s="264"/>
      <c r="AP501" s="264"/>
      <c r="AQ501" s="264"/>
      <c r="AR501" s="264"/>
      <c r="AS501" s="264"/>
      <c r="AT501" s="264"/>
      <c r="AU501" s="264"/>
      <c r="AV501" s="264"/>
      <c r="AW501" s="264"/>
      <c r="AX501" s="264"/>
      <c r="AY501" s="264"/>
      <c r="AZ501" s="264"/>
      <c r="BA501" s="264"/>
      <c r="BB501" s="264"/>
      <c r="BC501" s="264"/>
      <c r="BD501" s="264"/>
    </row>
    <row r="502">
      <c r="A502" s="264"/>
      <c r="B502" s="264"/>
      <c r="C502" s="264"/>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c r="AA502" s="264"/>
      <c r="AB502" s="264"/>
      <c r="AC502" s="264"/>
      <c r="AD502" s="264"/>
      <c r="AE502" s="264"/>
      <c r="AF502" s="264"/>
      <c r="AG502" s="264"/>
      <c r="AH502" s="264"/>
      <c r="AI502" s="264"/>
      <c r="AJ502" s="264"/>
      <c r="AK502" s="264"/>
      <c r="AL502" s="264"/>
      <c r="AM502" s="264"/>
      <c r="AN502" s="264"/>
      <c r="AO502" s="264"/>
      <c r="AP502" s="264"/>
      <c r="AQ502" s="264"/>
      <c r="AR502" s="264"/>
      <c r="AS502" s="264"/>
      <c r="AT502" s="264"/>
      <c r="AU502" s="264"/>
      <c r="AV502" s="264"/>
      <c r="AW502" s="264"/>
      <c r="AX502" s="264"/>
      <c r="AY502" s="264"/>
      <c r="AZ502" s="264"/>
      <c r="BA502" s="264"/>
      <c r="BB502" s="264"/>
      <c r="BC502" s="264"/>
      <c r="BD502" s="264"/>
    </row>
    <row r="503">
      <c r="A503" s="264"/>
      <c r="B503" s="264"/>
      <c r="C503" s="264"/>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c r="AA503" s="264"/>
      <c r="AB503" s="264"/>
      <c r="AC503" s="264"/>
      <c r="AD503" s="264"/>
      <c r="AE503" s="264"/>
      <c r="AF503" s="264"/>
      <c r="AG503" s="264"/>
      <c r="AH503" s="264"/>
      <c r="AI503" s="264"/>
      <c r="AJ503" s="264"/>
      <c r="AK503" s="264"/>
      <c r="AL503" s="264"/>
      <c r="AM503" s="264"/>
      <c r="AN503" s="264"/>
      <c r="AO503" s="264"/>
      <c r="AP503" s="264"/>
      <c r="AQ503" s="264"/>
      <c r="AR503" s="264"/>
      <c r="AS503" s="264"/>
      <c r="AT503" s="264"/>
      <c r="AU503" s="264"/>
      <c r="AV503" s="264"/>
      <c r="AW503" s="264"/>
      <c r="AX503" s="264"/>
      <c r="AY503" s="264"/>
      <c r="AZ503" s="264"/>
      <c r="BA503" s="264"/>
      <c r="BB503" s="264"/>
      <c r="BC503" s="264"/>
      <c r="BD503" s="264"/>
    </row>
    <row r="504">
      <c r="A504" s="264"/>
      <c r="B504" s="264"/>
      <c r="C504" s="264"/>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c r="AA504" s="264"/>
      <c r="AB504" s="264"/>
      <c r="AC504" s="264"/>
      <c r="AD504" s="264"/>
      <c r="AE504" s="264"/>
      <c r="AF504" s="264"/>
      <c r="AG504" s="264"/>
      <c r="AH504" s="264"/>
      <c r="AI504" s="264"/>
      <c r="AJ504" s="264"/>
      <c r="AK504" s="264"/>
      <c r="AL504" s="264"/>
      <c r="AM504" s="264"/>
      <c r="AN504" s="264"/>
      <c r="AO504" s="264"/>
      <c r="AP504" s="264"/>
      <c r="AQ504" s="264"/>
      <c r="AR504" s="264"/>
      <c r="AS504" s="264"/>
      <c r="AT504" s="264"/>
      <c r="AU504" s="264"/>
      <c r="AV504" s="264"/>
      <c r="AW504" s="264"/>
      <c r="AX504" s="264"/>
      <c r="AY504" s="264"/>
      <c r="AZ504" s="264"/>
      <c r="BA504" s="264"/>
      <c r="BB504" s="264"/>
      <c r="BC504" s="264"/>
      <c r="BD504" s="264"/>
    </row>
    <row r="505">
      <c r="A505" s="264"/>
      <c r="B505" s="264"/>
      <c r="C505" s="264"/>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c r="AA505" s="264"/>
      <c r="AB505" s="264"/>
      <c r="AC505" s="264"/>
      <c r="AD505" s="264"/>
      <c r="AE505" s="264"/>
      <c r="AF505" s="264"/>
      <c r="AG505" s="264"/>
      <c r="AH505" s="264"/>
      <c r="AI505" s="264"/>
      <c r="AJ505" s="264"/>
      <c r="AK505" s="264"/>
      <c r="AL505" s="264"/>
      <c r="AM505" s="264"/>
      <c r="AN505" s="264"/>
      <c r="AO505" s="264"/>
      <c r="AP505" s="264"/>
      <c r="AQ505" s="264"/>
      <c r="AR505" s="264"/>
      <c r="AS505" s="264"/>
      <c r="AT505" s="264"/>
      <c r="AU505" s="264"/>
      <c r="AV505" s="264"/>
      <c r="AW505" s="264"/>
      <c r="AX505" s="264"/>
      <c r="AY505" s="264"/>
      <c r="AZ505" s="264"/>
      <c r="BA505" s="264"/>
      <c r="BB505" s="264"/>
      <c r="BC505" s="264"/>
      <c r="BD505" s="264"/>
    </row>
    <row r="506">
      <c r="A506" s="264"/>
      <c r="B506" s="264"/>
      <c r="C506" s="264"/>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c r="AA506" s="264"/>
      <c r="AB506" s="264"/>
      <c r="AC506" s="264"/>
      <c r="AD506" s="264"/>
      <c r="AE506" s="264"/>
      <c r="AF506" s="264"/>
      <c r="AG506" s="264"/>
      <c r="AH506" s="264"/>
      <c r="AI506" s="264"/>
      <c r="AJ506" s="264"/>
      <c r="AK506" s="264"/>
      <c r="AL506" s="264"/>
      <c r="AM506" s="264"/>
      <c r="AN506" s="264"/>
      <c r="AO506" s="264"/>
      <c r="AP506" s="264"/>
      <c r="AQ506" s="264"/>
      <c r="AR506" s="264"/>
      <c r="AS506" s="264"/>
      <c r="AT506" s="264"/>
      <c r="AU506" s="264"/>
      <c r="AV506" s="264"/>
      <c r="AW506" s="264"/>
      <c r="AX506" s="264"/>
      <c r="AY506" s="264"/>
      <c r="AZ506" s="264"/>
      <c r="BA506" s="264"/>
      <c r="BB506" s="264"/>
      <c r="BC506" s="264"/>
      <c r="BD506" s="264"/>
    </row>
    <row r="507">
      <c r="A507" s="264"/>
      <c r="B507" s="264"/>
      <c r="C507" s="264"/>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c r="AA507" s="264"/>
      <c r="AB507" s="264"/>
      <c r="AC507" s="264"/>
      <c r="AD507" s="264"/>
      <c r="AE507" s="264"/>
      <c r="AF507" s="264"/>
      <c r="AG507" s="264"/>
      <c r="AH507" s="264"/>
      <c r="AI507" s="264"/>
      <c r="AJ507" s="264"/>
      <c r="AK507" s="264"/>
      <c r="AL507" s="264"/>
      <c r="AM507" s="264"/>
      <c r="AN507" s="264"/>
      <c r="AO507" s="264"/>
      <c r="AP507" s="264"/>
      <c r="AQ507" s="264"/>
      <c r="AR507" s="264"/>
      <c r="AS507" s="264"/>
      <c r="AT507" s="264"/>
      <c r="AU507" s="264"/>
      <c r="AV507" s="264"/>
      <c r="AW507" s="264"/>
      <c r="AX507" s="264"/>
      <c r="AY507" s="264"/>
      <c r="AZ507" s="264"/>
      <c r="BA507" s="264"/>
      <c r="BB507" s="264"/>
      <c r="BC507" s="264"/>
      <c r="BD507" s="264"/>
    </row>
    <row r="508">
      <c r="A508" s="264"/>
      <c r="B508" s="264"/>
      <c r="C508" s="264"/>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c r="AA508" s="264"/>
      <c r="AB508" s="264"/>
      <c r="AC508" s="264"/>
      <c r="AD508" s="264"/>
      <c r="AE508" s="264"/>
      <c r="AF508" s="264"/>
      <c r="AG508" s="264"/>
      <c r="AH508" s="264"/>
      <c r="AI508" s="264"/>
      <c r="AJ508" s="264"/>
      <c r="AK508" s="264"/>
      <c r="AL508" s="264"/>
      <c r="AM508" s="264"/>
      <c r="AN508" s="264"/>
      <c r="AO508" s="264"/>
      <c r="AP508" s="264"/>
      <c r="AQ508" s="264"/>
      <c r="AR508" s="264"/>
      <c r="AS508" s="264"/>
      <c r="AT508" s="264"/>
      <c r="AU508" s="264"/>
      <c r="AV508" s="264"/>
      <c r="AW508" s="264"/>
      <c r="AX508" s="264"/>
      <c r="AY508" s="264"/>
      <c r="AZ508" s="264"/>
      <c r="BA508" s="264"/>
      <c r="BB508" s="264"/>
      <c r="BC508" s="264"/>
      <c r="BD508" s="264"/>
    </row>
    <row r="509">
      <c r="A509" s="264"/>
      <c r="B509" s="264"/>
      <c r="C509" s="264"/>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c r="AA509" s="264"/>
      <c r="AB509" s="264"/>
      <c r="AC509" s="264"/>
      <c r="AD509" s="264"/>
      <c r="AE509" s="264"/>
      <c r="AF509" s="264"/>
      <c r="AG509" s="264"/>
      <c r="AH509" s="264"/>
      <c r="AI509" s="264"/>
      <c r="AJ509" s="264"/>
      <c r="AK509" s="264"/>
      <c r="AL509" s="264"/>
      <c r="AM509" s="264"/>
      <c r="AN509" s="264"/>
      <c r="AO509" s="264"/>
      <c r="AP509" s="264"/>
      <c r="AQ509" s="264"/>
      <c r="AR509" s="264"/>
      <c r="AS509" s="264"/>
      <c r="AT509" s="264"/>
      <c r="AU509" s="264"/>
      <c r="AV509" s="264"/>
      <c r="AW509" s="264"/>
      <c r="AX509" s="264"/>
      <c r="AY509" s="264"/>
      <c r="AZ509" s="264"/>
      <c r="BA509" s="264"/>
      <c r="BB509" s="264"/>
      <c r="BC509" s="264"/>
      <c r="BD509" s="264"/>
    </row>
    <row r="510">
      <c r="A510" s="264"/>
      <c r="B510" s="264"/>
      <c r="C510" s="264"/>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c r="AA510" s="264"/>
      <c r="AB510" s="264"/>
      <c r="AC510" s="264"/>
      <c r="AD510" s="264"/>
      <c r="AE510" s="264"/>
      <c r="AF510" s="264"/>
      <c r="AG510" s="264"/>
      <c r="AH510" s="264"/>
      <c r="AI510" s="264"/>
      <c r="AJ510" s="264"/>
      <c r="AK510" s="264"/>
      <c r="AL510" s="264"/>
      <c r="AM510" s="264"/>
      <c r="AN510" s="264"/>
      <c r="AO510" s="264"/>
      <c r="AP510" s="264"/>
      <c r="AQ510" s="264"/>
      <c r="AR510" s="264"/>
      <c r="AS510" s="264"/>
      <c r="AT510" s="264"/>
      <c r="AU510" s="264"/>
      <c r="AV510" s="264"/>
      <c r="AW510" s="264"/>
      <c r="AX510" s="264"/>
      <c r="AY510" s="264"/>
      <c r="AZ510" s="264"/>
      <c r="BA510" s="264"/>
      <c r="BB510" s="264"/>
      <c r="BC510" s="264"/>
      <c r="BD510" s="264"/>
    </row>
    <row r="511">
      <c r="A511" s="264"/>
      <c r="B511" s="264"/>
      <c r="C511" s="264"/>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c r="AA511" s="264"/>
      <c r="AB511" s="264"/>
      <c r="AC511" s="264"/>
      <c r="AD511" s="264"/>
      <c r="AE511" s="264"/>
      <c r="AF511" s="264"/>
      <c r="AG511" s="264"/>
      <c r="AH511" s="264"/>
      <c r="AI511" s="264"/>
      <c r="AJ511" s="264"/>
      <c r="AK511" s="264"/>
      <c r="AL511" s="264"/>
      <c r="AM511" s="264"/>
      <c r="AN511" s="264"/>
      <c r="AO511" s="264"/>
      <c r="AP511" s="264"/>
      <c r="AQ511" s="264"/>
      <c r="AR511" s="264"/>
      <c r="AS511" s="264"/>
      <c r="AT511" s="264"/>
      <c r="AU511" s="264"/>
      <c r="AV511" s="264"/>
      <c r="AW511" s="264"/>
      <c r="AX511" s="264"/>
      <c r="AY511" s="264"/>
      <c r="AZ511" s="264"/>
      <c r="BA511" s="264"/>
      <c r="BB511" s="264"/>
      <c r="BC511" s="264"/>
      <c r="BD511" s="264"/>
    </row>
    <row r="512">
      <c r="A512" s="264"/>
      <c r="B512" s="264"/>
      <c r="C512" s="264"/>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c r="AA512" s="264"/>
      <c r="AB512" s="264"/>
      <c r="AC512" s="264"/>
      <c r="AD512" s="264"/>
      <c r="AE512" s="264"/>
      <c r="AF512" s="264"/>
      <c r="AG512" s="264"/>
      <c r="AH512" s="264"/>
      <c r="AI512" s="264"/>
      <c r="AJ512" s="264"/>
      <c r="AK512" s="264"/>
      <c r="AL512" s="264"/>
      <c r="AM512" s="264"/>
      <c r="AN512" s="264"/>
      <c r="AO512" s="264"/>
      <c r="AP512" s="264"/>
      <c r="AQ512" s="264"/>
      <c r="AR512" s="264"/>
      <c r="AS512" s="264"/>
      <c r="AT512" s="264"/>
      <c r="AU512" s="264"/>
      <c r="AV512" s="264"/>
      <c r="AW512" s="264"/>
      <c r="AX512" s="264"/>
      <c r="AY512" s="264"/>
      <c r="AZ512" s="264"/>
      <c r="BA512" s="264"/>
      <c r="BB512" s="264"/>
      <c r="BC512" s="264"/>
      <c r="BD512" s="264"/>
    </row>
    <row r="513">
      <c r="A513" s="264"/>
      <c r="B513" s="264"/>
      <c r="C513" s="264"/>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c r="AA513" s="264"/>
      <c r="AB513" s="264"/>
      <c r="AC513" s="264"/>
      <c r="AD513" s="264"/>
      <c r="AE513" s="264"/>
      <c r="AF513" s="264"/>
      <c r="AG513" s="264"/>
      <c r="AH513" s="264"/>
      <c r="AI513" s="264"/>
      <c r="AJ513" s="264"/>
      <c r="AK513" s="264"/>
      <c r="AL513" s="264"/>
      <c r="AM513" s="264"/>
      <c r="AN513" s="264"/>
      <c r="AO513" s="264"/>
      <c r="AP513" s="264"/>
      <c r="AQ513" s="264"/>
      <c r="AR513" s="264"/>
      <c r="AS513" s="264"/>
      <c r="AT513" s="264"/>
      <c r="AU513" s="264"/>
      <c r="AV513" s="264"/>
      <c r="AW513" s="264"/>
      <c r="AX513" s="264"/>
      <c r="AY513" s="264"/>
      <c r="AZ513" s="264"/>
      <c r="BA513" s="264"/>
      <c r="BB513" s="264"/>
      <c r="BC513" s="264"/>
      <c r="BD513" s="264"/>
    </row>
    <row r="514">
      <c r="A514" s="264"/>
      <c r="B514" s="264"/>
      <c r="C514" s="264"/>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c r="AA514" s="264"/>
      <c r="AB514" s="264"/>
      <c r="AC514" s="264"/>
      <c r="AD514" s="264"/>
      <c r="AE514" s="264"/>
      <c r="AF514" s="264"/>
      <c r="AG514" s="264"/>
      <c r="AH514" s="264"/>
      <c r="AI514" s="264"/>
      <c r="AJ514" s="264"/>
      <c r="AK514" s="264"/>
      <c r="AL514" s="264"/>
      <c r="AM514" s="264"/>
      <c r="AN514" s="264"/>
      <c r="AO514" s="264"/>
      <c r="AP514" s="264"/>
      <c r="AQ514" s="264"/>
      <c r="AR514" s="264"/>
      <c r="AS514" s="264"/>
      <c r="AT514" s="264"/>
      <c r="AU514" s="264"/>
      <c r="AV514" s="264"/>
      <c r="AW514" s="264"/>
      <c r="AX514" s="264"/>
      <c r="AY514" s="264"/>
      <c r="AZ514" s="264"/>
      <c r="BA514" s="264"/>
      <c r="BB514" s="264"/>
      <c r="BC514" s="264"/>
      <c r="BD514" s="264"/>
    </row>
    <row r="515">
      <c r="A515" s="264"/>
      <c r="B515" s="264"/>
      <c r="C515" s="264"/>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c r="AA515" s="264"/>
      <c r="AB515" s="264"/>
      <c r="AC515" s="264"/>
      <c r="AD515" s="264"/>
      <c r="AE515" s="264"/>
      <c r="AF515" s="264"/>
      <c r="AG515" s="264"/>
      <c r="AH515" s="264"/>
      <c r="AI515" s="264"/>
      <c r="AJ515" s="264"/>
      <c r="AK515" s="264"/>
      <c r="AL515" s="264"/>
      <c r="AM515" s="264"/>
      <c r="AN515" s="264"/>
      <c r="AO515" s="264"/>
      <c r="AP515" s="264"/>
      <c r="AQ515" s="264"/>
      <c r="AR515" s="264"/>
      <c r="AS515" s="264"/>
      <c r="AT515" s="264"/>
      <c r="AU515" s="264"/>
      <c r="AV515" s="264"/>
      <c r="AW515" s="264"/>
      <c r="AX515" s="264"/>
      <c r="AY515" s="264"/>
      <c r="AZ515" s="264"/>
      <c r="BA515" s="264"/>
      <c r="BB515" s="264"/>
      <c r="BC515" s="264"/>
      <c r="BD515" s="264"/>
    </row>
    <row r="516">
      <c r="A516" s="264"/>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4"/>
      <c r="AL516" s="264"/>
      <c r="AM516" s="264"/>
      <c r="AN516" s="264"/>
      <c r="AO516" s="264"/>
      <c r="AP516" s="264"/>
      <c r="AQ516" s="264"/>
      <c r="AR516" s="264"/>
      <c r="AS516" s="264"/>
      <c r="AT516" s="264"/>
      <c r="AU516" s="264"/>
      <c r="AV516" s="264"/>
      <c r="AW516" s="264"/>
      <c r="AX516" s="264"/>
      <c r="AY516" s="264"/>
      <c r="AZ516" s="264"/>
      <c r="BA516" s="264"/>
      <c r="BB516" s="264"/>
      <c r="BC516" s="264"/>
      <c r="BD516" s="264"/>
    </row>
    <row r="517">
      <c r="A517" s="264"/>
      <c r="B517" s="264"/>
      <c r="C517" s="264"/>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c r="AA517" s="264"/>
      <c r="AB517" s="264"/>
      <c r="AC517" s="264"/>
      <c r="AD517" s="264"/>
      <c r="AE517" s="264"/>
      <c r="AF517" s="264"/>
      <c r="AG517" s="264"/>
      <c r="AH517" s="264"/>
      <c r="AI517" s="264"/>
      <c r="AJ517" s="264"/>
      <c r="AK517" s="264"/>
      <c r="AL517" s="264"/>
      <c r="AM517" s="264"/>
      <c r="AN517" s="264"/>
      <c r="AO517" s="264"/>
      <c r="AP517" s="264"/>
      <c r="AQ517" s="264"/>
      <c r="AR517" s="264"/>
      <c r="AS517" s="264"/>
      <c r="AT517" s="264"/>
      <c r="AU517" s="264"/>
      <c r="AV517" s="264"/>
      <c r="AW517" s="264"/>
      <c r="AX517" s="264"/>
      <c r="AY517" s="264"/>
      <c r="AZ517" s="264"/>
      <c r="BA517" s="264"/>
      <c r="BB517" s="264"/>
      <c r="BC517" s="264"/>
      <c r="BD517" s="264"/>
    </row>
    <row r="518">
      <c r="A518" s="264"/>
      <c r="B518" s="264"/>
      <c r="C518" s="264"/>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c r="AA518" s="264"/>
      <c r="AB518" s="264"/>
      <c r="AC518" s="264"/>
      <c r="AD518" s="264"/>
      <c r="AE518" s="264"/>
      <c r="AF518" s="264"/>
      <c r="AG518" s="264"/>
      <c r="AH518" s="264"/>
      <c r="AI518" s="264"/>
      <c r="AJ518" s="264"/>
      <c r="AK518" s="264"/>
      <c r="AL518" s="264"/>
      <c r="AM518" s="264"/>
      <c r="AN518" s="264"/>
      <c r="AO518" s="264"/>
      <c r="AP518" s="264"/>
      <c r="AQ518" s="264"/>
      <c r="AR518" s="264"/>
      <c r="AS518" s="264"/>
      <c r="AT518" s="264"/>
      <c r="AU518" s="264"/>
      <c r="AV518" s="264"/>
      <c r="AW518" s="264"/>
      <c r="AX518" s="264"/>
      <c r="AY518" s="264"/>
      <c r="AZ518" s="264"/>
      <c r="BA518" s="264"/>
      <c r="BB518" s="264"/>
      <c r="BC518" s="264"/>
      <c r="BD518" s="264"/>
    </row>
    <row r="519">
      <c r="A519" s="264"/>
      <c r="B519" s="264"/>
      <c r="C519" s="264"/>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c r="AA519" s="264"/>
      <c r="AB519" s="264"/>
      <c r="AC519" s="264"/>
      <c r="AD519" s="264"/>
      <c r="AE519" s="264"/>
      <c r="AF519" s="264"/>
      <c r="AG519" s="264"/>
      <c r="AH519" s="264"/>
      <c r="AI519" s="264"/>
      <c r="AJ519" s="264"/>
      <c r="AK519" s="264"/>
      <c r="AL519" s="264"/>
      <c r="AM519" s="264"/>
      <c r="AN519" s="264"/>
      <c r="AO519" s="264"/>
      <c r="AP519" s="264"/>
      <c r="AQ519" s="264"/>
      <c r="AR519" s="264"/>
      <c r="AS519" s="264"/>
      <c r="AT519" s="264"/>
      <c r="AU519" s="264"/>
      <c r="AV519" s="264"/>
      <c r="AW519" s="264"/>
      <c r="AX519" s="264"/>
      <c r="AY519" s="264"/>
      <c r="AZ519" s="264"/>
      <c r="BA519" s="264"/>
      <c r="BB519" s="264"/>
      <c r="BC519" s="264"/>
      <c r="BD519" s="264"/>
    </row>
    <row r="520">
      <c r="A520" s="264"/>
      <c r="B520" s="264"/>
      <c r="C520" s="264"/>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c r="AA520" s="264"/>
      <c r="AB520" s="264"/>
      <c r="AC520" s="264"/>
      <c r="AD520" s="264"/>
      <c r="AE520" s="264"/>
      <c r="AF520" s="264"/>
      <c r="AG520" s="264"/>
      <c r="AH520" s="264"/>
      <c r="AI520" s="264"/>
      <c r="AJ520" s="264"/>
      <c r="AK520" s="264"/>
      <c r="AL520" s="264"/>
      <c r="AM520" s="264"/>
      <c r="AN520" s="264"/>
      <c r="AO520" s="264"/>
      <c r="AP520" s="264"/>
      <c r="AQ520" s="264"/>
      <c r="AR520" s="264"/>
      <c r="AS520" s="264"/>
      <c r="AT520" s="264"/>
      <c r="AU520" s="264"/>
      <c r="AV520" s="264"/>
      <c r="AW520" s="264"/>
      <c r="AX520" s="264"/>
      <c r="AY520" s="264"/>
      <c r="AZ520" s="264"/>
      <c r="BA520" s="264"/>
      <c r="BB520" s="264"/>
      <c r="BC520" s="264"/>
      <c r="BD520" s="264"/>
    </row>
    <row r="521">
      <c r="A521" s="264"/>
      <c r="B521" s="264"/>
      <c r="C521" s="264"/>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c r="AA521" s="264"/>
      <c r="AB521" s="264"/>
      <c r="AC521" s="264"/>
      <c r="AD521" s="264"/>
      <c r="AE521" s="264"/>
      <c r="AF521" s="264"/>
      <c r="AG521" s="264"/>
      <c r="AH521" s="264"/>
      <c r="AI521" s="264"/>
      <c r="AJ521" s="264"/>
      <c r="AK521" s="264"/>
      <c r="AL521" s="264"/>
      <c r="AM521" s="264"/>
      <c r="AN521" s="264"/>
      <c r="AO521" s="264"/>
      <c r="AP521" s="264"/>
      <c r="AQ521" s="264"/>
      <c r="AR521" s="264"/>
      <c r="AS521" s="264"/>
      <c r="AT521" s="264"/>
      <c r="AU521" s="264"/>
      <c r="AV521" s="264"/>
      <c r="AW521" s="264"/>
      <c r="AX521" s="264"/>
      <c r="AY521" s="264"/>
      <c r="AZ521" s="264"/>
      <c r="BA521" s="264"/>
      <c r="BB521" s="264"/>
      <c r="BC521" s="264"/>
      <c r="BD521" s="264"/>
    </row>
    <row r="522">
      <c r="A522" s="264"/>
      <c r="B522" s="264"/>
      <c r="C522" s="264"/>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c r="AA522" s="264"/>
      <c r="AB522" s="264"/>
      <c r="AC522" s="264"/>
      <c r="AD522" s="264"/>
      <c r="AE522" s="264"/>
      <c r="AF522" s="264"/>
      <c r="AG522" s="264"/>
      <c r="AH522" s="264"/>
      <c r="AI522" s="264"/>
      <c r="AJ522" s="264"/>
      <c r="AK522" s="264"/>
      <c r="AL522" s="264"/>
      <c r="AM522" s="264"/>
      <c r="AN522" s="264"/>
      <c r="AO522" s="264"/>
      <c r="AP522" s="264"/>
      <c r="AQ522" s="264"/>
      <c r="AR522" s="264"/>
      <c r="AS522" s="264"/>
      <c r="AT522" s="264"/>
      <c r="AU522" s="264"/>
      <c r="AV522" s="264"/>
      <c r="AW522" s="264"/>
      <c r="AX522" s="264"/>
      <c r="AY522" s="264"/>
      <c r="AZ522" s="264"/>
      <c r="BA522" s="264"/>
      <c r="BB522" s="264"/>
      <c r="BC522" s="264"/>
      <c r="BD522" s="264"/>
    </row>
    <row r="523">
      <c r="A523" s="264"/>
      <c r="B523" s="264"/>
      <c r="C523" s="264"/>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c r="AA523" s="264"/>
      <c r="AB523" s="264"/>
      <c r="AC523" s="264"/>
      <c r="AD523" s="264"/>
      <c r="AE523" s="264"/>
      <c r="AF523" s="264"/>
      <c r="AG523" s="264"/>
      <c r="AH523" s="264"/>
      <c r="AI523" s="264"/>
      <c r="AJ523" s="264"/>
      <c r="AK523" s="264"/>
      <c r="AL523" s="264"/>
      <c r="AM523" s="264"/>
      <c r="AN523" s="264"/>
      <c r="AO523" s="264"/>
      <c r="AP523" s="264"/>
      <c r="AQ523" s="264"/>
      <c r="AR523" s="264"/>
      <c r="AS523" s="264"/>
      <c r="AT523" s="264"/>
      <c r="AU523" s="264"/>
      <c r="AV523" s="264"/>
      <c r="AW523" s="264"/>
      <c r="AX523" s="264"/>
      <c r="AY523" s="264"/>
      <c r="AZ523" s="264"/>
      <c r="BA523" s="264"/>
      <c r="BB523" s="264"/>
      <c r="BC523" s="264"/>
      <c r="BD523" s="264"/>
    </row>
    <row r="524">
      <c r="A524" s="264"/>
      <c r="B524" s="264"/>
      <c r="C524" s="264"/>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c r="AA524" s="264"/>
      <c r="AB524" s="264"/>
      <c r="AC524" s="264"/>
      <c r="AD524" s="264"/>
      <c r="AE524" s="264"/>
      <c r="AF524" s="264"/>
      <c r="AG524" s="264"/>
      <c r="AH524" s="264"/>
      <c r="AI524" s="264"/>
      <c r="AJ524" s="264"/>
      <c r="AK524" s="264"/>
      <c r="AL524" s="264"/>
      <c r="AM524" s="264"/>
      <c r="AN524" s="264"/>
      <c r="AO524" s="264"/>
      <c r="AP524" s="264"/>
      <c r="AQ524" s="264"/>
      <c r="AR524" s="264"/>
      <c r="AS524" s="264"/>
      <c r="AT524" s="264"/>
      <c r="AU524" s="264"/>
      <c r="AV524" s="264"/>
      <c r="AW524" s="264"/>
      <c r="AX524" s="264"/>
      <c r="AY524" s="264"/>
      <c r="AZ524" s="264"/>
      <c r="BA524" s="264"/>
      <c r="BB524" s="264"/>
      <c r="BC524" s="264"/>
      <c r="BD524" s="264"/>
    </row>
    <row r="525">
      <c r="A525" s="264"/>
      <c r="B525" s="264"/>
      <c r="C525" s="264"/>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c r="AA525" s="264"/>
      <c r="AB525" s="264"/>
      <c r="AC525" s="264"/>
      <c r="AD525" s="264"/>
      <c r="AE525" s="264"/>
      <c r="AF525" s="264"/>
      <c r="AG525" s="264"/>
      <c r="AH525" s="264"/>
      <c r="AI525" s="264"/>
      <c r="AJ525" s="264"/>
      <c r="AK525" s="264"/>
      <c r="AL525" s="264"/>
      <c r="AM525" s="264"/>
      <c r="AN525" s="264"/>
      <c r="AO525" s="264"/>
      <c r="AP525" s="264"/>
      <c r="AQ525" s="264"/>
      <c r="AR525" s="264"/>
      <c r="AS525" s="264"/>
      <c r="AT525" s="264"/>
      <c r="AU525" s="264"/>
      <c r="AV525" s="264"/>
      <c r="AW525" s="264"/>
      <c r="AX525" s="264"/>
      <c r="AY525" s="264"/>
      <c r="AZ525" s="264"/>
      <c r="BA525" s="264"/>
      <c r="BB525" s="264"/>
      <c r="BC525" s="264"/>
      <c r="BD525" s="264"/>
    </row>
    <row r="526">
      <c r="A526" s="264"/>
      <c r="B526" s="264"/>
      <c r="C526" s="264"/>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c r="AA526" s="264"/>
      <c r="AB526" s="264"/>
      <c r="AC526" s="264"/>
      <c r="AD526" s="264"/>
      <c r="AE526" s="264"/>
      <c r="AF526" s="264"/>
      <c r="AG526" s="264"/>
      <c r="AH526" s="264"/>
      <c r="AI526" s="264"/>
      <c r="AJ526" s="264"/>
      <c r="AK526" s="264"/>
      <c r="AL526" s="264"/>
      <c r="AM526" s="264"/>
      <c r="AN526" s="264"/>
      <c r="AO526" s="264"/>
      <c r="AP526" s="264"/>
      <c r="AQ526" s="264"/>
      <c r="AR526" s="264"/>
      <c r="AS526" s="264"/>
      <c r="AT526" s="264"/>
      <c r="AU526" s="264"/>
      <c r="AV526" s="264"/>
      <c r="AW526" s="264"/>
      <c r="AX526" s="264"/>
      <c r="AY526" s="264"/>
      <c r="AZ526" s="264"/>
      <c r="BA526" s="264"/>
      <c r="BB526" s="264"/>
      <c r="BC526" s="264"/>
      <c r="BD526" s="264"/>
    </row>
    <row r="527">
      <c r="A527" s="264"/>
      <c r="B527" s="264"/>
      <c r="C527" s="264"/>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c r="AA527" s="264"/>
      <c r="AB527" s="264"/>
      <c r="AC527" s="264"/>
      <c r="AD527" s="264"/>
      <c r="AE527" s="264"/>
      <c r="AF527" s="264"/>
      <c r="AG527" s="264"/>
      <c r="AH527" s="264"/>
      <c r="AI527" s="264"/>
      <c r="AJ527" s="264"/>
      <c r="AK527" s="264"/>
      <c r="AL527" s="264"/>
      <c r="AM527" s="264"/>
      <c r="AN527" s="264"/>
      <c r="AO527" s="264"/>
      <c r="AP527" s="264"/>
      <c r="AQ527" s="264"/>
      <c r="AR527" s="264"/>
      <c r="AS527" s="264"/>
      <c r="AT527" s="264"/>
      <c r="AU527" s="264"/>
      <c r="AV527" s="264"/>
      <c r="AW527" s="264"/>
      <c r="AX527" s="264"/>
      <c r="AY527" s="264"/>
      <c r="AZ527" s="264"/>
      <c r="BA527" s="264"/>
      <c r="BB527" s="264"/>
      <c r="BC527" s="264"/>
      <c r="BD527" s="264"/>
    </row>
    <row r="528">
      <c r="A528" s="264"/>
      <c r="B528" s="264"/>
      <c r="C528" s="264"/>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c r="AA528" s="264"/>
      <c r="AB528" s="264"/>
      <c r="AC528" s="264"/>
      <c r="AD528" s="264"/>
      <c r="AE528" s="264"/>
      <c r="AF528" s="264"/>
      <c r="AG528" s="264"/>
      <c r="AH528" s="264"/>
      <c r="AI528" s="264"/>
      <c r="AJ528" s="264"/>
      <c r="AK528" s="264"/>
      <c r="AL528" s="264"/>
      <c r="AM528" s="264"/>
      <c r="AN528" s="264"/>
      <c r="AO528" s="264"/>
      <c r="AP528" s="264"/>
      <c r="AQ528" s="264"/>
      <c r="AR528" s="264"/>
      <c r="AS528" s="264"/>
      <c r="AT528" s="264"/>
      <c r="AU528" s="264"/>
      <c r="AV528" s="264"/>
      <c r="AW528" s="264"/>
      <c r="AX528" s="264"/>
      <c r="AY528" s="264"/>
      <c r="AZ528" s="264"/>
      <c r="BA528" s="264"/>
      <c r="BB528" s="264"/>
      <c r="BC528" s="264"/>
      <c r="BD528" s="264"/>
    </row>
    <row r="529">
      <c r="A529" s="264"/>
      <c r="B529" s="264"/>
      <c r="C529" s="264"/>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c r="AA529" s="264"/>
      <c r="AB529" s="264"/>
      <c r="AC529" s="264"/>
      <c r="AD529" s="264"/>
      <c r="AE529" s="264"/>
      <c r="AF529" s="264"/>
      <c r="AG529" s="264"/>
      <c r="AH529" s="264"/>
      <c r="AI529" s="264"/>
      <c r="AJ529" s="264"/>
      <c r="AK529" s="264"/>
      <c r="AL529" s="264"/>
      <c r="AM529" s="264"/>
      <c r="AN529" s="264"/>
      <c r="AO529" s="264"/>
      <c r="AP529" s="264"/>
      <c r="AQ529" s="264"/>
      <c r="AR529" s="264"/>
      <c r="AS529" s="264"/>
      <c r="AT529" s="264"/>
      <c r="AU529" s="264"/>
      <c r="AV529" s="264"/>
      <c r="AW529" s="264"/>
      <c r="AX529" s="264"/>
      <c r="AY529" s="264"/>
      <c r="AZ529" s="264"/>
      <c r="BA529" s="264"/>
      <c r="BB529" s="264"/>
      <c r="BC529" s="264"/>
      <c r="BD529" s="264"/>
    </row>
    <row r="530">
      <c r="A530" s="264"/>
      <c r="B530" s="264"/>
      <c r="C530" s="264"/>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c r="AA530" s="264"/>
      <c r="AB530" s="264"/>
      <c r="AC530" s="264"/>
      <c r="AD530" s="264"/>
      <c r="AE530" s="264"/>
      <c r="AF530" s="264"/>
      <c r="AG530" s="264"/>
      <c r="AH530" s="264"/>
      <c r="AI530" s="264"/>
      <c r="AJ530" s="264"/>
      <c r="AK530" s="264"/>
      <c r="AL530" s="264"/>
      <c r="AM530" s="264"/>
      <c r="AN530" s="264"/>
      <c r="AO530" s="264"/>
      <c r="AP530" s="264"/>
      <c r="AQ530" s="264"/>
      <c r="AR530" s="264"/>
      <c r="AS530" s="264"/>
      <c r="AT530" s="264"/>
      <c r="AU530" s="264"/>
      <c r="AV530" s="264"/>
      <c r="AW530" s="264"/>
      <c r="AX530" s="264"/>
      <c r="AY530" s="264"/>
      <c r="AZ530" s="264"/>
      <c r="BA530" s="264"/>
      <c r="BB530" s="264"/>
      <c r="BC530" s="264"/>
      <c r="BD530" s="264"/>
    </row>
    <row r="531">
      <c r="A531" s="264"/>
      <c r="B531" s="264"/>
      <c r="C531" s="264"/>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c r="AA531" s="264"/>
      <c r="AB531" s="264"/>
      <c r="AC531" s="264"/>
      <c r="AD531" s="264"/>
      <c r="AE531" s="264"/>
      <c r="AF531" s="264"/>
      <c r="AG531" s="264"/>
      <c r="AH531" s="264"/>
      <c r="AI531" s="264"/>
      <c r="AJ531" s="264"/>
      <c r="AK531" s="264"/>
      <c r="AL531" s="264"/>
      <c r="AM531" s="264"/>
      <c r="AN531" s="264"/>
      <c r="AO531" s="264"/>
      <c r="AP531" s="264"/>
      <c r="AQ531" s="264"/>
      <c r="AR531" s="264"/>
      <c r="AS531" s="264"/>
      <c r="AT531" s="264"/>
      <c r="AU531" s="264"/>
      <c r="AV531" s="264"/>
      <c r="AW531" s="264"/>
      <c r="AX531" s="264"/>
      <c r="AY531" s="264"/>
      <c r="AZ531" s="264"/>
      <c r="BA531" s="264"/>
      <c r="BB531" s="264"/>
      <c r="BC531" s="264"/>
      <c r="BD531" s="264"/>
    </row>
    <row r="532">
      <c r="A532" s="264"/>
      <c r="B532" s="264"/>
      <c r="C532" s="264"/>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c r="AA532" s="264"/>
      <c r="AB532" s="264"/>
      <c r="AC532" s="264"/>
      <c r="AD532" s="264"/>
      <c r="AE532" s="264"/>
      <c r="AF532" s="264"/>
      <c r="AG532" s="264"/>
      <c r="AH532" s="264"/>
      <c r="AI532" s="264"/>
      <c r="AJ532" s="264"/>
      <c r="AK532" s="264"/>
      <c r="AL532" s="264"/>
      <c r="AM532" s="264"/>
      <c r="AN532" s="264"/>
      <c r="AO532" s="264"/>
      <c r="AP532" s="264"/>
      <c r="AQ532" s="264"/>
      <c r="AR532" s="264"/>
      <c r="AS532" s="264"/>
      <c r="AT532" s="264"/>
      <c r="AU532" s="264"/>
      <c r="AV532" s="264"/>
      <c r="AW532" s="264"/>
      <c r="AX532" s="264"/>
      <c r="AY532" s="264"/>
      <c r="AZ532" s="264"/>
      <c r="BA532" s="264"/>
      <c r="BB532" s="264"/>
      <c r="BC532" s="264"/>
      <c r="BD532" s="264"/>
    </row>
    <row r="533">
      <c r="A533" s="264"/>
      <c r="B533" s="264"/>
      <c r="C533" s="264"/>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c r="AA533" s="264"/>
      <c r="AB533" s="264"/>
      <c r="AC533" s="264"/>
      <c r="AD533" s="264"/>
      <c r="AE533" s="264"/>
      <c r="AF533" s="264"/>
      <c r="AG533" s="264"/>
      <c r="AH533" s="264"/>
      <c r="AI533" s="264"/>
      <c r="AJ533" s="264"/>
      <c r="AK533" s="264"/>
      <c r="AL533" s="264"/>
      <c r="AM533" s="264"/>
      <c r="AN533" s="264"/>
      <c r="AO533" s="264"/>
      <c r="AP533" s="264"/>
      <c r="AQ533" s="264"/>
      <c r="AR533" s="264"/>
      <c r="AS533" s="264"/>
      <c r="AT533" s="264"/>
      <c r="AU533" s="264"/>
      <c r="AV533" s="264"/>
      <c r="AW533" s="264"/>
      <c r="AX533" s="264"/>
      <c r="AY533" s="264"/>
      <c r="AZ533" s="264"/>
      <c r="BA533" s="264"/>
      <c r="BB533" s="264"/>
      <c r="BC533" s="264"/>
      <c r="BD533" s="264"/>
    </row>
    <row r="534">
      <c r="A534" s="264"/>
      <c r="B534" s="264"/>
      <c r="C534" s="264"/>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c r="AA534" s="264"/>
      <c r="AB534" s="264"/>
      <c r="AC534" s="264"/>
      <c r="AD534" s="264"/>
      <c r="AE534" s="264"/>
      <c r="AF534" s="264"/>
      <c r="AG534" s="264"/>
      <c r="AH534" s="264"/>
      <c r="AI534" s="264"/>
      <c r="AJ534" s="264"/>
      <c r="AK534" s="264"/>
      <c r="AL534" s="264"/>
      <c r="AM534" s="264"/>
      <c r="AN534" s="264"/>
      <c r="AO534" s="264"/>
      <c r="AP534" s="264"/>
      <c r="AQ534" s="264"/>
      <c r="AR534" s="264"/>
      <c r="AS534" s="264"/>
      <c r="AT534" s="264"/>
      <c r="AU534" s="264"/>
      <c r="AV534" s="264"/>
      <c r="AW534" s="264"/>
      <c r="AX534" s="264"/>
      <c r="AY534" s="264"/>
      <c r="AZ534" s="264"/>
      <c r="BA534" s="264"/>
      <c r="BB534" s="264"/>
      <c r="BC534" s="264"/>
      <c r="BD534" s="264"/>
    </row>
    <row r="535">
      <c r="A535" s="264"/>
      <c r="B535" s="264"/>
      <c r="C535" s="264"/>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c r="AA535" s="264"/>
      <c r="AB535" s="264"/>
      <c r="AC535" s="264"/>
      <c r="AD535" s="264"/>
      <c r="AE535" s="264"/>
      <c r="AF535" s="264"/>
      <c r="AG535" s="264"/>
      <c r="AH535" s="264"/>
      <c r="AI535" s="264"/>
      <c r="AJ535" s="264"/>
      <c r="AK535" s="264"/>
      <c r="AL535" s="264"/>
      <c r="AM535" s="264"/>
      <c r="AN535" s="264"/>
      <c r="AO535" s="264"/>
      <c r="AP535" s="264"/>
      <c r="AQ535" s="264"/>
      <c r="AR535" s="264"/>
      <c r="AS535" s="264"/>
      <c r="AT535" s="264"/>
      <c r="AU535" s="264"/>
      <c r="AV535" s="264"/>
      <c r="AW535" s="264"/>
      <c r="AX535" s="264"/>
      <c r="AY535" s="264"/>
      <c r="AZ535" s="264"/>
      <c r="BA535" s="264"/>
      <c r="BB535" s="264"/>
      <c r="BC535" s="264"/>
      <c r="BD535" s="264"/>
    </row>
    <row r="536">
      <c r="A536" s="264"/>
      <c r="B536" s="264"/>
      <c r="C536" s="264"/>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c r="AA536" s="264"/>
      <c r="AB536" s="264"/>
      <c r="AC536" s="264"/>
      <c r="AD536" s="264"/>
      <c r="AE536" s="264"/>
      <c r="AF536" s="264"/>
      <c r="AG536" s="264"/>
      <c r="AH536" s="264"/>
      <c r="AI536" s="264"/>
      <c r="AJ536" s="264"/>
      <c r="AK536" s="264"/>
      <c r="AL536" s="264"/>
      <c r="AM536" s="264"/>
      <c r="AN536" s="264"/>
      <c r="AO536" s="264"/>
      <c r="AP536" s="264"/>
      <c r="AQ536" s="264"/>
      <c r="AR536" s="264"/>
      <c r="AS536" s="264"/>
      <c r="AT536" s="264"/>
      <c r="AU536" s="264"/>
      <c r="AV536" s="264"/>
      <c r="AW536" s="264"/>
      <c r="AX536" s="264"/>
      <c r="AY536" s="264"/>
      <c r="AZ536" s="264"/>
      <c r="BA536" s="264"/>
      <c r="BB536" s="264"/>
      <c r="BC536" s="264"/>
      <c r="BD536" s="264"/>
    </row>
    <row r="537">
      <c r="A537" s="264"/>
      <c r="B537" s="264"/>
      <c r="C537" s="264"/>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c r="AA537" s="264"/>
      <c r="AB537" s="264"/>
      <c r="AC537" s="264"/>
      <c r="AD537" s="264"/>
      <c r="AE537" s="264"/>
      <c r="AF537" s="264"/>
      <c r="AG537" s="264"/>
      <c r="AH537" s="264"/>
      <c r="AI537" s="264"/>
      <c r="AJ537" s="264"/>
      <c r="AK537" s="264"/>
      <c r="AL537" s="264"/>
      <c r="AM537" s="264"/>
      <c r="AN537" s="264"/>
      <c r="AO537" s="264"/>
      <c r="AP537" s="264"/>
      <c r="AQ537" s="264"/>
      <c r="AR537" s="264"/>
      <c r="AS537" s="264"/>
      <c r="AT537" s="264"/>
      <c r="AU537" s="264"/>
      <c r="AV537" s="264"/>
      <c r="AW537" s="264"/>
      <c r="AX537" s="264"/>
      <c r="AY537" s="264"/>
      <c r="AZ537" s="264"/>
      <c r="BA537" s="264"/>
      <c r="BB537" s="264"/>
      <c r="BC537" s="264"/>
      <c r="BD537" s="264"/>
    </row>
    <row r="538">
      <c r="A538" s="264"/>
      <c r="B538" s="264"/>
      <c r="C538" s="264"/>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c r="AA538" s="264"/>
      <c r="AB538" s="264"/>
      <c r="AC538" s="264"/>
      <c r="AD538" s="264"/>
      <c r="AE538" s="264"/>
      <c r="AF538" s="264"/>
      <c r="AG538" s="264"/>
      <c r="AH538" s="264"/>
      <c r="AI538" s="264"/>
      <c r="AJ538" s="264"/>
      <c r="AK538" s="264"/>
      <c r="AL538" s="264"/>
      <c r="AM538" s="264"/>
      <c r="AN538" s="264"/>
      <c r="AO538" s="264"/>
      <c r="AP538" s="264"/>
      <c r="AQ538" s="264"/>
      <c r="AR538" s="264"/>
      <c r="AS538" s="264"/>
      <c r="AT538" s="264"/>
      <c r="AU538" s="264"/>
      <c r="AV538" s="264"/>
      <c r="AW538" s="264"/>
      <c r="AX538" s="264"/>
      <c r="AY538" s="264"/>
      <c r="AZ538" s="264"/>
      <c r="BA538" s="264"/>
      <c r="BB538" s="264"/>
      <c r="BC538" s="264"/>
      <c r="BD538" s="264"/>
    </row>
    <row r="539">
      <c r="A539" s="264"/>
      <c r="B539" s="264"/>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c r="AA539" s="264"/>
      <c r="AB539" s="264"/>
      <c r="AC539" s="264"/>
      <c r="AD539" s="264"/>
      <c r="AE539" s="264"/>
      <c r="AF539" s="264"/>
      <c r="AG539" s="264"/>
      <c r="AH539" s="264"/>
      <c r="AI539" s="264"/>
      <c r="AJ539" s="264"/>
      <c r="AK539" s="264"/>
      <c r="AL539" s="264"/>
      <c r="AM539" s="264"/>
      <c r="AN539" s="264"/>
      <c r="AO539" s="264"/>
      <c r="AP539" s="264"/>
      <c r="AQ539" s="264"/>
      <c r="AR539" s="264"/>
      <c r="AS539" s="264"/>
      <c r="AT539" s="264"/>
      <c r="AU539" s="264"/>
      <c r="AV539" s="264"/>
      <c r="AW539" s="264"/>
      <c r="AX539" s="264"/>
      <c r="AY539" s="264"/>
      <c r="AZ539" s="264"/>
      <c r="BA539" s="264"/>
      <c r="BB539" s="264"/>
      <c r="BC539" s="264"/>
      <c r="BD539" s="264"/>
    </row>
    <row r="540">
      <c r="A540" s="264"/>
      <c r="B540" s="264"/>
      <c r="C540" s="264"/>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c r="AA540" s="264"/>
      <c r="AB540" s="264"/>
      <c r="AC540" s="264"/>
      <c r="AD540" s="264"/>
      <c r="AE540" s="264"/>
      <c r="AF540" s="264"/>
      <c r="AG540" s="264"/>
      <c r="AH540" s="264"/>
      <c r="AI540" s="264"/>
      <c r="AJ540" s="264"/>
      <c r="AK540" s="264"/>
      <c r="AL540" s="264"/>
      <c r="AM540" s="264"/>
      <c r="AN540" s="264"/>
      <c r="AO540" s="264"/>
      <c r="AP540" s="264"/>
      <c r="AQ540" s="264"/>
      <c r="AR540" s="264"/>
      <c r="AS540" s="264"/>
      <c r="AT540" s="264"/>
      <c r="AU540" s="264"/>
      <c r="AV540" s="264"/>
      <c r="AW540" s="264"/>
      <c r="AX540" s="264"/>
      <c r="AY540" s="264"/>
      <c r="AZ540" s="264"/>
      <c r="BA540" s="264"/>
      <c r="BB540" s="264"/>
      <c r="BC540" s="264"/>
      <c r="BD540" s="264"/>
    </row>
    <row r="541">
      <c r="A541" s="264"/>
      <c r="B541" s="264"/>
      <c r="C541" s="264"/>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c r="AA541" s="264"/>
      <c r="AB541" s="264"/>
      <c r="AC541" s="264"/>
      <c r="AD541" s="264"/>
      <c r="AE541" s="264"/>
      <c r="AF541" s="264"/>
      <c r="AG541" s="264"/>
      <c r="AH541" s="264"/>
      <c r="AI541" s="264"/>
      <c r="AJ541" s="264"/>
      <c r="AK541" s="264"/>
      <c r="AL541" s="264"/>
      <c r="AM541" s="264"/>
      <c r="AN541" s="264"/>
      <c r="AO541" s="264"/>
      <c r="AP541" s="264"/>
      <c r="AQ541" s="264"/>
      <c r="AR541" s="264"/>
      <c r="AS541" s="264"/>
      <c r="AT541" s="264"/>
      <c r="AU541" s="264"/>
      <c r="AV541" s="264"/>
      <c r="AW541" s="264"/>
      <c r="AX541" s="264"/>
      <c r="AY541" s="264"/>
      <c r="AZ541" s="264"/>
      <c r="BA541" s="264"/>
      <c r="BB541" s="264"/>
      <c r="BC541" s="264"/>
      <c r="BD541" s="264"/>
    </row>
    <row r="542">
      <c r="A542" s="264"/>
      <c r="B542" s="264"/>
      <c r="C542" s="264"/>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c r="AA542" s="264"/>
      <c r="AB542" s="264"/>
      <c r="AC542" s="264"/>
      <c r="AD542" s="264"/>
      <c r="AE542" s="264"/>
      <c r="AF542" s="264"/>
      <c r="AG542" s="264"/>
      <c r="AH542" s="264"/>
      <c r="AI542" s="264"/>
      <c r="AJ542" s="264"/>
      <c r="AK542" s="264"/>
      <c r="AL542" s="264"/>
      <c r="AM542" s="264"/>
      <c r="AN542" s="264"/>
      <c r="AO542" s="264"/>
      <c r="AP542" s="264"/>
      <c r="AQ542" s="264"/>
      <c r="AR542" s="264"/>
      <c r="AS542" s="264"/>
      <c r="AT542" s="264"/>
      <c r="AU542" s="264"/>
      <c r="AV542" s="264"/>
      <c r="AW542" s="264"/>
      <c r="AX542" s="264"/>
      <c r="AY542" s="264"/>
      <c r="AZ542" s="264"/>
      <c r="BA542" s="264"/>
      <c r="BB542" s="264"/>
      <c r="BC542" s="264"/>
      <c r="BD542" s="264"/>
    </row>
    <row r="543">
      <c r="A543" s="264"/>
      <c r="B543" s="264"/>
      <c r="C543" s="264"/>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c r="AA543" s="264"/>
      <c r="AB543" s="264"/>
      <c r="AC543" s="264"/>
      <c r="AD543" s="264"/>
      <c r="AE543" s="264"/>
      <c r="AF543" s="264"/>
      <c r="AG543" s="264"/>
      <c r="AH543" s="264"/>
      <c r="AI543" s="264"/>
      <c r="AJ543" s="264"/>
      <c r="AK543" s="264"/>
      <c r="AL543" s="264"/>
      <c r="AM543" s="264"/>
      <c r="AN543" s="264"/>
      <c r="AO543" s="264"/>
      <c r="AP543" s="264"/>
      <c r="AQ543" s="264"/>
      <c r="AR543" s="264"/>
      <c r="AS543" s="264"/>
      <c r="AT543" s="264"/>
      <c r="AU543" s="264"/>
      <c r="AV543" s="264"/>
      <c r="AW543" s="264"/>
      <c r="AX543" s="264"/>
      <c r="AY543" s="264"/>
      <c r="AZ543" s="264"/>
      <c r="BA543" s="264"/>
      <c r="BB543" s="264"/>
      <c r="BC543" s="264"/>
      <c r="BD543" s="264"/>
    </row>
    <row r="544">
      <c r="A544" s="264"/>
      <c r="B544" s="264"/>
      <c r="C544" s="264"/>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c r="AA544" s="264"/>
      <c r="AB544" s="264"/>
      <c r="AC544" s="264"/>
      <c r="AD544" s="264"/>
      <c r="AE544" s="264"/>
      <c r="AF544" s="264"/>
      <c r="AG544" s="264"/>
      <c r="AH544" s="264"/>
      <c r="AI544" s="264"/>
      <c r="AJ544" s="264"/>
      <c r="AK544" s="264"/>
      <c r="AL544" s="264"/>
      <c r="AM544" s="264"/>
      <c r="AN544" s="264"/>
      <c r="AO544" s="264"/>
      <c r="AP544" s="264"/>
      <c r="AQ544" s="264"/>
      <c r="AR544" s="264"/>
      <c r="AS544" s="264"/>
      <c r="AT544" s="264"/>
      <c r="AU544" s="264"/>
      <c r="AV544" s="264"/>
      <c r="AW544" s="264"/>
      <c r="AX544" s="264"/>
      <c r="AY544" s="264"/>
      <c r="AZ544" s="264"/>
      <c r="BA544" s="264"/>
      <c r="BB544" s="264"/>
      <c r="BC544" s="264"/>
      <c r="BD544" s="264"/>
    </row>
    <row r="545">
      <c r="A545" s="264"/>
      <c r="B545" s="264"/>
      <c r="C545" s="264"/>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c r="AA545" s="264"/>
      <c r="AB545" s="264"/>
      <c r="AC545" s="264"/>
      <c r="AD545" s="264"/>
      <c r="AE545" s="264"/>
      <c r="AF545" s="264"/>
      <c r="AG545" s="264"/>
      <c r="AH545" s="264"/>
      <c r="AI545" s="264"/>
      <c r="AJ545" s="264"/>
      <c r="AK545" s="264"/>
      <c r="AL545" s="264"/>
      <c r="AM545" s="264"/>
      <c r="AN545" s="264"/>
      <c r="AO545" s="264"/>
      <c r="AP545" s="264"/>
      <c r="AQ545" s="264"/>
      <c r="AR545" s="264"/>
      <c r="AS545" s="264"/>
      <c r="AT545" s="264"/>
      <c r="AU545" s="264"/>
      <c r="AV545" s="264"/>
      <c r="AW545" s="264"/>
      <c r="AX545" s="264"/>
      <c r="AY545" s="264"/>
      <c r="AZ545" s="264"/>
      <c r="BA545" s="264"/>
      <c r="BB545" s="264"/>
      <c r="BC545" s="264"/>
      <c r="BD545" s="264"/>
    </row>
    <row r="546">
      <c r="A546" s="264"/>
      <c r="B546" s="264"/>
      <c r="C546" s="264"/>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c r="AA546" s="264"/>
      <c r="AB546" s="264"/>
      <c r="AC546" s="264"/>
      <c r="AD546" s="264"/>
      <c r="AE546" s="264"/>
      <c r="AF546" s="264"/>
      <c r="AG546" s="264"/>
      <c r="AH546" s="264"/>
      <c r="AI546" s="264"/>
      <c r="AJ546" s="264"/>
      <c r="AK546" s="264"/>
      <c r="AL546" s="264"/>
      <c r="AM546" s="264"/>
      <c r="AN546" s="264"/>
      <c r="AO546" s="264"/>
      <c r="AP546" s="264"/>
      <c r="AQ546" s="264"/>
      <c r="AR546" s="264"/>
      <c r="AS546" s="264"/>
      <c r="AT546" s="264"/>
      <c r="AU546" s="264"/>
      <c r="AV546" s="264"/>
      <c r="AW546" s="264"/>
      <c r="AX546" s="264"/>
      <c r="AY546" s="264"/>
      <c r="AZ546" s="264"/>
      <c r="BA546" s="264"/>
      <c r="BB546" s="264"/>
      <c r="BC546" s="264"/>
      <c r="BD546" s="264"/>
    </row>
    <row r="547">
      <c r="A547" s="264"/>
      <c r="B547" s="264"/>
      <c r="C547" s="264"/>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c r="AA547" s="264"/>
      <c r="AB547" s="264"/>
      <c r="AC547" s="264"/>
      <c r="AD547" s="264"/>
      <c r="AE547" s="264"/>
      <c r="AF547" s="264"/>
      <c r="AG547" s="264"/>
      <c r="AH547" s="264"/>
      <c r="AI547" s="264"/>
      <c r="AJ547" s="264"/>
      <c r="AK547" s="264"/>
      <c r="AL547" s="264"/>
      <c r="AM547" s="264"/>
      <c r="AN547" s="264"/>
      <c r="AO547" s="264"/>
      <c r="AP547" s="264"/>
      <c r="AQ547" s="264"/>
      <c r="AR547" s="264"/>
      <c r="AS547" s="264"/>
      <c r="AT547" s="264"/>
      <c r="AU547" s="264"/>
      <c r="AV547" s="264"/>
      <c r="AW547" s="264"/>
      <c r="AX547" s="264"/>
      <c r="AY547" s="264"/>
      <c r="AZ547" s="264"/>
      <c r="BA547" s="264"/>
      <c r="BB547" s="264"/>
      <c r="BC547" s="264"/>
      <c r="BD547" s="264"/>
    </row>
    <row r="548">
      <c r="A548" s="264"/>
      <c r="B548" s="264"/>
      <c r="C548" s="264"/>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c r="AA548" s="264"/>
      <c r="AB548" s="264"/>
      <c r="AC548" s="264"/>
      <c r="AD548" s="264"/>
      <c r="AE548" s="264"/>
      <c r="AF548" s="264"/>
      <c r="AG548" s="264"/>
      <c r="AH548" s="264"/>
      <c r="AI548" s="264"/>
      <c r="AJ548" s="264"/>
      <c r="AK548" s="264"/>
      <c r="AL548" s="264"/>
      <c r="AM548" s="264"/>
      <c r="AN548" s="264"/>
      <c r="AO548" s="264"/>
      <c r="AP548" s="264"/>
      <c r="AQ548" s="264"/>
      <c r="AR548" s="264"/>
      <c r="AS548" s="264"/>
      <c r="AT548" s="264"/>
      <c r="AU548" s="264"/>
      <c r="AV548" s="264"/>
      <c r="AW548" s="264"/>
      <c r="AX548" s="264"/>
      <c r="AY548" s="264"/>
      <c r="AZ548" s="264"/>
      <c r="BA548" s="264"/>
      <c r="BB548" s="264"/>
      <c r="BC548" s="264"/>
      <c r="BD548" s="264"/>
    </row>
    <row r="549">
      <c r="A549" s="264"/>
      <c r="B549" s="264"/>
      <c r="C549" s="264"/>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c r="AA549" s="264"/>
      <c r="AB549" s="264"/>
      <c r="AC549" s="264"/>
      <c r="AD549" s="264"/>
      <c r="AE549" s="264"/>
      <c r="AF549" s="264"/>
      <c r="AG549" s="264"/>
      <c r="AH549" s="264"/>
      <c r="AI549" s="264"/>
      <c r="AJ549" s="264"/>
      <c r="AK549" s="264"/>
      <c r="AL549" s="264"/>
      <c r="AM549" s="264"/>
      <c r="AN549" s="264"/>
      <c r="AO549" s="264"/>
      <c r="AP549" s="264"/>
      <c r="AQ549" s="264"/>
      <c r="AR549" s="264"/>
      <c r="AS549" s="264"/>
      <c r="AT549" s="264"/>
      <c r="AU549" s="264"/>
      <c r="AV549" s="264"/>
      <c r="AW549" s="264"/>
      <c r="AX549" s="264"/>
      <c r="AY549" s="264"/>
      <c r="AZ549" s="264"/>
      <c r="BA549" s="264"/>
      <c r="BB549" s="264"/>
      <c r="BC549" s="264"/>
      <c r="BD549" s="264"/>
    </row>
    <row r="550">
      <c r="A550" s="264"/>
      <c r="B550" s="264"/>
      <c r="C550" s="264"/>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c r="AA550" s="264"/>
      <c r="AB550" s="264"/>
      <c r="AC550" s="264"/>
      <c r="AD550" s="264"/>
      <c r="AE550" s="264"/>
      <c r="AF550" s="264"/>
      <c r="AG550" s="264"/>
      <c r="AH550" s="264"/>
      <c r="AI550" s="264"/>
      <c r="AJ550" s="264"/>
      <c r="AK550" s="264"/>
      <c r="AL550" s="264"/>
      <c r="AM550" s="264"/>
      <c r="AN550" s="264"/>
      <c r="AO550" s="264"/>
      <c r="AP550" s="264"/>
      <c r="AQ550" s="264"/>
      <c r="AR550" s="264"/>
      <c r="AS550" s="264"/>
      <c r="AT550" s="264"/>
      <c r="AU550" s="264"/>
      <c r="AV550" s="264"/>
      <c r="AW550" s="264"/>
      <c r="AX550" s="264"/>
      <c r="AY550" s="264"/>
      <c r="AZ550" s="264"/>
      <c r="BA550" s="264"/>
      <c r="BB550" s="264"/>
      <c r="BC550" s="264"/>
      <c r="BD550" s="264"/>
    </row>
    <row r="551">
      <c r="A551" s="264"/>
      <c r="B551" s="264"/>
      <c r="C551" s="264"/>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c r="AA551" s="264"/>
      <c r="AB551" s="264"/>
      <c r="AC551" s="264"/>
      <c r="AD551" s="264"/>
      <c r="AE551" s="264"/>
      <c r="AF551" s="264"/>
      <c r="AG551" s="264"/>
      <c r="AH551" s="264"/>
      <c r="AI551" s="264"/>
      <c r="AJ551" s="264"/>
      <c r="AK551" s="264"/>
      <c r="AL551" s="264"/>
      <c r="AM551" s="264"/>
      <c r="AN551" s="264"/>
      <c r="AO551" s="264"/>
      <c r="AP551" s="264"/>
      <c r="AQ551" s="264"/>
      <c r="AR551" s="264"/>
      <c r="AS551" s="264"/>
      <c r="AT551" s="264"/>
      <c r="AU551" s="264"/>
      <c r="AV551" s="264"/>
      <c r="AW551" s="264"/>
      <c r="AX551" s="264"/>
      <c r="AY551" s="264"/>
      <c r="AZ551" s="264"/>
      <c r="BA551" s="264"/>
      <c r="BB551" s="264"/>
      <c r="BC551" s="264"/>
      <c r="BD551" s="264"/>
    </row>
    <row r="552">
      <c r="A552" s="264"/>
      <c r="B552" s="264"/>
      <c r="C552" s="264"/>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c r="AA552" s="264"/>
      <c r="AB552" s="264"/>
      <c r="AC552" s="264"/>
      <c r="AD552" s="264"/>
      <c r="AE552" s="264"/>
      <c r="AF552" s="264"/>
      <c r="AG552" s="264"/>
      <c r="AH552" s="264"/>
      <c r="AI552" s="264"/>
      <c r="AJ552" s="264"/>
      <c r="AK552" s="264"/>
      <c r="AL552" s="264"/>
      <c r="AM552" s="264"/>
      <c r="AN552" s="264"/>
      <c r="AO552" s="264"/>
      <c r="AP552" s="264"/>
      <c r="AQ552" s="264"/>
      <c r="AR552" s="264"/>
      <c r="AS552" s="264"/>
      <c r="AT552" s="264"/>
      <c r="AU552" s="264"/>
      <c r="AV552" s="264"/>
      <c r="AW552" s="264"/>
      <c r="AX552" s="264"/>
      <c r="AY552" s="264"/>
      <c r="AZ552" s="264"/>
      <c r="BA552" s="264"/>
      <c r="BB552" s="264"/>
      <c r="BC552" s="264"/>
      <c r="BD552" s="264"/>
    </row>
    <row r="553">
      <c r="A553" s="264"/>
      <c r="B553" s="264"/>
      <c r="C553" s="264"/>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c r="AA553" s="264"/>
      <c r="AB553" s="264"/>
      <c r="AC553" s="264"/>
      <c r="AD553" s="264"/>
      <c r="AE553" s="264"/>
      <c r="AF553" s="264"/>
      <c r="AG553" s="264"/>
      <c r="AH553" s="264"/>
      <c r="AI553" s="264"/>
      <c r="AJ553" s="264"/>
      <c r="AK553" s="264"/>
      <c r="AL553" s="264"/>
      <c r="AM553" s="264"/>
      <c r="AN553" s="264"/>
      <c r="AO553" s="264"/>
      <c r="AP553" s="264"/>
      <c r="AQ553" s="264"/>
      <c r="AR553" s="264"/>
      <c r="AS553" s="264"/>
      <c r="AT553" s="264"/>
      <c r="AU553" s="264"/>
      <c r="AV553" s="264"/>
      <c r="AW553" s="264"/>
      <c r="AX553" s="264"/>
      <c r="AY553" s="264"/>
      <c r="AZ553" s="264"/>
      <c r="BA553" s="264"/>
      <c r="BB553" s="264"/>
      <c r="BC553" s="264"/>
      <c r="BD553" s="264"/>
    </row>
    <row r="554">
      <c r="A554" s="264"/>
      <c r="B554" s="264"/>
      <c r="C554" s="264"/>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c r="AA554" s="264"/>
      <c r="AB554" s="264"/>
      <c r="AC554" s="264"/>
      <c r="AD554" s="264"/>
      <c r="AE554" s="264"/>
      <c r="AF554" s="264"/>
      <c r="AG554" s="264"/>
      <c r="AH554" s="264"/>
      <c r="AI554" s="264"/>
      <c r="AJ554" s="264"/>
      <c r="AK554" s="264"/>
      <c r="AL554" s="264"/>
      <c r="AM554" s="264"/>
      <c r="AN554" s="264"/>
      <c r="AO554" s="264"/>
      <c r="AP554" s="264"/>
      <c r="AQ554" s="264"/>
      <c r="AR554" s="264"/>
      <c r="AS554" s="264"/>
      <c r="AT554" s="264"/>
      <c r="AU554" s="264"/>
      <c r="AV554" s="264"/>
      <c r="AW554" s="264"/>
      <c r="AX554" s="264"/>
      <c r="AY554" s="264"/>
      <c r="AZ554" s="264"/>
      <c r="BA554" s="264"/>
      <c r="BB554" s="264"/>
      <c r="BC554" s="264"/>
      <c r="BD554" s="264"/>
    </row>
    <row r="555">
      <c r="A555" s="264"/>
      <c r="B555" s="264"/>
      <c r="C555" s="264"/>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c r="AA555" s="264"/>
      <c r="AB555" s="264"/>
      <c r="AC555" s="264"/>
      <c r="AD555" s="264"/>
      <c r="AE555" s="264"/>
      <c r="AF555" s="264"/>
      <c r="AG555" s="264"/>
      <c r="AH555" s="264"/>
      <c r="AI555" s="264"/>
      <c r="AJ555" s="264"/>
      <c r="AK555" s="264"/>
      <c r="AL555" s="264"/>
      <c r="AM555" s="264"/>
      <c r="AN555" s="264"/>
      <c r="AO555" s="264"/>
      <c r="AP555" s="264"/>
      <c r="AQ555" s="264"/>
      <c r="AR555" s="264"/>
      <c r="AS555" s="264"/>
      <c r="AT555" s="264"/>
      <c r="AU555" s="264"/>
      <c r="AV555" s="264"/>
      <c r="AW555" s="264"/>
      <c r="AX555" s="264"/>
      <c r="AY555" s="264"/>
      <c r="AZ555" s="264"/>
      <c r="BA555" s="264"/>
      <c r="BB555" s="264"/>
      <c r="BC555" s="264"/>
      <c r="BD555" s="264"/>
    </row>
    <row r="556">
      <c r="A556" s="264"/>
      <c r="B556" s="264"/>
      <c r="C556" s="264"/>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c r="AA556" s="264"/>
      <c r="AB556" s="264"/>
      <c r="AC556" s="264"/>
      <c r="AD556" s="264"/>
      <c r="AE556" s="264"/>
      <c r="AF556" s="264"/>
      <c r="AG556" s="264"/>
      <c r="AH556" s="264"/>
      <c r="AI556" s="264"/>
      <c r="AJ556" s="264"/>
      <c r="AK556" s="264"/>
      <c r="AL556" s="264"/>
      <c r="AM556" s="264"/>
      <c r="AN556" s="264"/>
      <c r="AO556" s="264"/>
      <c r="AP556" s="264"/>
      <c r="AQ556" s="264"/>
      <c r="AR556" s="264"/>
      <c r="AS556" s="264"/>
      <c r="AT556" s="264"/>
      <c r="AU556" s="264"/>
      <c r="AV556" s="264"/>
      <c r="AW556" s="264"/>
      <c r="AX556" s="264"/>
      <c r="AY556" s="264"/>
      <c r="AZ556" s="264"/>
      <c r="BA556" s="264"/>
      <c r="BB556" s="264"/>
      <c r="BC556" s="264"/>
      <c r="BD556" s="264"/>
    </row>
    <row r="557">
      <c r="A557" s="264"/>
      <c r="B557" s="264"/>
      <c r="C557" s="264"/>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c r="AA557" s="264"/>
      <c r="AB557" s="264"/>
      <c r="AC557" s="264"/>
      <c r="AD557" s="264"/>
      <c r="AE557" s="264"/>
      <c r="AF557" s="264"/>
      <c r="AG557" s="264"/>
      <c r="AH557" s="264"/>
      <c r="AI557" s="264"/>
      <c r="AJ557" s="264"/>
      <c r="AK557" s="264"/>
      <c r="AL557" s="264"/>
      <c r="AM557" s="264"/>
      <c r="AN557" s="264"/>
      <c r="AO557" s="264"/>
      <c r="AP557" s="264"/>
      <c r="AQ557" s="264"/>
      <c r="AR557" s="264"/>
      <c r="AS557" s="264"/>
      <c r="AT557" s="264"/>
      <c r="AU557" s="264"/>
      <c r="AV557" s="264"/>
      <c r="AW557" s="264"/>
      <c r="AX557" s="264"/>
      <c r="AY557" s="264"/>
      <c r="AZ557" s="264"/>
      <c r="BA557" s="264"/>
      <c r="BB557" s="264"/>
      <c r="BC557" s="264"/>
      <c r="BD557" s="264"/>
    </row>
    <row r="558">
      <c r="A558" s="264"/>
      <c r="B558" s="264"/>
      <c r="C558" s="264"/>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c r="AA558" s="264"/>
      <c r="AB558" s="264"/>
      <c r="AC558" s="264"/>
      <c r="AD558" s="264"/>
      <c r="AE558" s="264"/>
      <c r="AF558" s="264"/>
      <c r="AG558" s="264"/>
      <c r="AH558" s="264"/>
      <c r="AI558" s="264"/>
      <c r="AJ558" s="264"/>
      <c r="AK558" s="264"/>
      <c r="AL558" s="264"/>
      <c r="AM558" s="264"/>
      <c r="AN558" s="264"/>
      <c r="AO558" s="264"/>
      <c r="AP558" s="264"/>
      <c r="AQ558" s="264"/>
      <c r="AR558" s="264"/>
      <c r="AS558" s="264"/>
      <c r="AT558" s="264"/>
      <c r="AU558" s="264"/>
      <c r="AV558" s="264"/>
      <c r="AW558" s="264"/>
      <c r="AX558" s="264"/>
      <c r="AY558" s="264"/>
      <c r="AZ558" s="264"/>
      <c r="BA558" s="264"/>
      <c r="BB558" s="264"/>
      <c r="BC558" s="264"/>
      <c r="BD558" s="264"/>
    </row>
    <row r="559">
      <c r="A559" s="264"/>
      <c r="B559" s="264"/>
      <c r="C559" s="264"/>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c r="AA559" s="264"/>
      <c r="AB559" s="264"/>
      <c r="AC559" s="264"/>
      <c r="AD559" s="264"/>
      <c r="AE559" s="264"/>
      <c r="AF559" s="264"/>
      <c r="AG559" s="264"/>
      <c r="AH559" s="264"/>
      <c r="AI559" s="264"/>
      <c r="AJ559" s="264"/>
      <c r="AK559" s="264"/>
      <c r="AL559" s="264"/>
      <c r="AM559" s="264"/>
      <c r="AN559" s="264"/>
      <c r="AO559" s="264"/>
      <c r="AP559" s="264"/>
      <c r="AQ559" s="264"/>
      <c r="AR559" s="264"/>
      <c r="AS559" s="264"/>
      <c r="AT559" s="264"/>
      <c r="AU559" s="264"/>
      <c r="AV559" s="264"/>
      <c r="AW559" s="264"/>
      <c r="AX559" s="264"/>
      <c r="AY559" s="264"/>
      <c r="AZ559" s="264"/>
      <c r="BA559" s="264"/>
      <c r="BB559" s="264"/>
      <c r="BC559" s="264"/>
      <c r="BD559" s="264"/>
    </row>
    <row r="560">
      <c r="A560" s="264"/>
      <c r="B560" s="264"/>
      <c r="C560" s="264"/>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c r="AA560" s="264"/>
      <c r="AB560" s="264"/>
      <c r="AC560" s="264"/>
      <c r="AD560" s="264"/>
      <c r="AE560" s="264"/>
      <c r="AF560" s="264"/>
      <c r="AG560" s="264"/>
      <c r="AH560" s="264"/>
      <c r="AI560" s="264"/>
      <c r="AJ560" s="264"/>
      <c r="AK560" s="264"/>
      <c r="AL560" s="264"/>
      <c r="AM560" s="264"/>
      <c r="AN560" s="264"/>
      <c r="AO560" s="264"/>
      <c r="AP560" s="264"/>
      <c r="AQ560" s="264"/>
      <c r="AR560" s="264"/>
      <c r="AS560" s="264"/>
      <c r="AT560" s="264"/>
      <c r="AU560" s="264"/>
      <c r="AV560" s="264"/>
      <c r="AW560" s="264"/>
      <c r="AX560" s="264"/>
      <c r="AY560" s="264"/>
      <c r="AZ560" s="264"/>
      <c r="BA560" s="264"/>
      <c r="BB560" s="264"/>
      <c r="BC560" s="264"/>
      <c r="BD560" s="264"/>
    </row>
    <row r="561">
      <c r="A561" s="264"/>
      <c r="B561" s="264"/>
      <c r="C561" s="264"/>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c r="AA561" s="264"/>
      <c r="AB561" s="264"/>
      <c r="AC561" s="264"/>
      <c r="AD561" s="264"/>
      <c r="AE561" s="264"/>
      <c r="AF561" s="264"/>
      <c r="AG561" s="264"/>
      <c r="AH561" s="264"/>
      <c r="AI561" s="264"/>
      <c r="AJ561" s="264"/>
      <c r="AK561" s="264"/>
      <c r="AL561" s="264"/>
      <c r="AM561" s="264"/>
      <c r="AN561" s="264"/>
      <c r="AO561" s="264"/>
      <c r="AP561" s="264"/>
      <c r="AQ561" s="264"/>
      <c r="AR561" s="264"/>
      <c r="AS561" s="264"/>
      <c r="AT561" s="264"/>
      <c r="AU561" s="264"/>
      <c r="AV561" s="264"/>
      <c r="AW561" s="264"/>
      <c r="AX561" s="264"/>
      <c r="AY561" s="264"/>
      <c r="AZ561" s="264"/>
      <c r="BA561" s="264"/>
      <c r="BB561" s="264"/>
      <c r="BC561" s="264"/>
      <c r="BD561" s="264"/>
    </row>
    <row r="562">
      <c r="A562" s="264"/>
      <c r="B562" s="264"/>
      <c r="C562" s="264"/>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c r="AA562" s="264"/>
      <c r="AB562" s="264"/>
      <c r="AC562" s="264"/>
      <c r="AD562" s="264"/>
      <c r="AE562" s="264"/>
      <c r="AF562" s="264"/>
      <c r="AG562" s="264"/>
      <c r="AH562" s="264"/>
      <c r="AI562" s="264"/>
      <c r="AJ562" s="264"/>
      <c r="AK562" s="264"/>
      <c r="AL562" s="264"/>
      <c r="AM562" s="264"/>
      <c r="AN562" s="264"/>
      <c r="AO562" s="264"/>
      <c r="AP562" s="264"/>
      <c r="AQ562" s="264"/>
      <c r="AR562" s="264"/>
      <c r="AS562" s="264"/>
      <c r="AT562" s="264"/>
      <c r="AU562" s="264"/>
      <c r="AV562" s="264"/>
      <c r="AW562" s="264"/>
      <c r="AX562" s="264"/>
      <c r="AY562" s="264"/>
      <c r="AZ562" s="264"/>
      <c r="BA562" s="264"/>
      <c r="BB562" s="264"/>
      <c r="BC562" s="264"/>
      <c r="BD562" s="264"/>
    </row>
    <row r="563">
      <c r="A563" s="264"/>
      <c r="B563" s="264"/>
      <c r="C563" s="264"/>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c r="AA563" s="264"/>
      <c r="AB563" s="264"/>
      <c r="AC563" s="264"/>
      <c r="AD563" s="264"/>
      <c r="AE563" s="264"/>
      <c r="AF563" s="264"/>
      <c r="AG563" s="264"/>
      <c r="AH563" s="264"/>
      <c r="AI563" s="264"/>
      <c r="AJ563" s="264"/>
      <c r="AK563" s="264"/>
      <c r="AL563" s="264"/>
      <c r="AM563" s="264"/>
      <c r="AN563" s="264"/>
      <c r="AO563" s="264"/>
      <c r="AP563" s="264"/>
      <c r="AQ563" s="264"/>
      <c r="AR563" s="264"/>
      <c r="AS563" s="264"/>
      <c r="AT563" s="264"/>
      <c r="AU563" s="264"/>
      <c r="AV563" s="264"/>
      <c r="AW563" s="264"/>
      <c r="AX563" s="264"/>
      <c r="AY563" s="264"/>
      <c r="AZ563" s="264"/>
      <c r="BA563" s="264"/>
      <c r="BB563" s="264"/>
      <c r="BC563" s="264"/>
      <c r="BD563" s="264"/>
    </row>
    <row r="564">
      <c r="A564" s="264"/>
      <c r="B564" s="264"/>
      <c r="C564" s="264"/>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c r="AA564" s="264"/>
      <c r="AB564" s="264"/>
      <c r="AC564" s="264"/>
      <c r="AD564" s="264"/>
      <c r="AE564" s="264"/>
      <c r="AF564" s="264"/>
      <c r="AG564" s="264"/>
      <c r="AH564" s="264"/>
      <c r="AI564" s="264"/>
      <c r="AJ564" s="264"/>
      <c r="AK564" s="264"/>
      <c r="AL564" s="264"/>
      <c r="AM564" s="264"/>
      <c r="AN564" s="264"/>
      <c r="AO564" s="264"/>
      <c r="AP564" s="264"/>
      <c r="AQ564" s="264"/>
      <c r="AR564" s="264"/>
      <c r="AS564" s="264"/>
      <c r="AT564" s="264"/>
      <c r="AU564" s="264"/>
      <c r="AV564" s="264"/>
      <c r="AW564" s="264"/>
      <c r="AX564" s="264"/>
      <c r="AY564" s="264"/>
      <c r="AZ564" s="264"/>
      <c r="BA564" s="264"/>
      <c r="BB564" s="264"/>
      <c r="BC564" s="264"/>
      <c r="BD564" s="264"/>
    </row>
    <row r="565">
      <c r="A565" s="264"/>
      <c r="B565" s="264"/>
      <c r="C565" s="264"/>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c r="AA565" s="264"/>
      <c r="AB565" s="264"/>
      <c r="AC565" s="264"/>
      <c r="AD565" s="264"/>
      <c r="AE565" s="264"/>
      <c r="AF565" s="264"/>
      <c r="AG565" s="264"/>
      <c r="AH565" s="264"/>
      <c r="AI565" s="264"/>
      <c r="AJ565" s="264"/>
      <c r="AK565" s="264"/>
      <c r="AL565" s="264"/>
      <c r="AM565" s="264"/>
      <c r="AN565" s="264"/>
      <c r="AO565" s="264"/>
      <c r="AP565" s="264"/>
      <c r="AQ565" s="264"/>
      <c r="AR565" s="264"/>
      <c r="AS565" s="264"/>
      <c r="AT565" s="264"/>
      <c r="AU565" s="264"/>
      <c r="AV565" s="264"/>
      <c r="AW565" s="264"/>
      <c r="AX565" s="264"/>
      <c r="AY565" s="264"/>
      <c r="AZ565" s="264"/>
      <c r="BA565" s="264"/>
      <c r="BB565" s="264"/>
      <c r="BC565" s="264"/>
      <c r="BD565" s="264"/>
    </row>
    <row r="566">
      <c r="A566" s="264"/>
      <c r="B566" s="264"/>
      <c r="C566" s="264"/>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c r="AA566" s="264"/>
      <c r="AB566" s="264"/>
      <c r="AC566" s="264"/>
      <c r="AD566" s="264"/>
      <c r="AE566" s="264"/>
      <c r="AF566" s="264"/>
      <c r="AG566" s="264"/>
      <c r="AH566" s="264"/>
      <c r="AI566" s="264"/>
      <c r="AJ566" s="264"/>
      <c r="AK566" s="264"/>
      <c r="AL566" s="264"/>
      <c r="AM566" s="264"/>
      <c r="AN566" s="264"/>
      <c r="AO566" s="264"/>
      <c r="AP566" s="264"/>
      <c r="AQ566" s="264"/>
      <c r="AR566" s="264"/>
      <c r="AS566" s="264"/>
      <c r="AT566" s="264"/>
      <c r="AU566" s="264"/>
      <c r="AV566" s="264"/>
      <c r="AW566" s="264"/>
      <c r="AX566" s="264"/>
      <c r="AY566" s="264"/>
      <c r="AZ566" s="264"/>
      <c r="BA566" s="264"/>
      <c r="BB566" s="264"/>
      <c r="BC566" s="264"/>
      <c r="BD566" s="264"/>
    </row>
    <row r="567">
      <c r="A567" s="264"/>
      <c r="B567" s="264"/>
      <c r="C567" s="264"/>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c r="AA567" s="264"/>
      <c r="AB567" s="264"/>
      <c r="AC567" s="264"/>
      <c r="AD567" s="264"/>
      <c r="AE567" s="264"/>
      <c r="AF567" s="264"/>
      <c r="AG567" s="264"/>
      <c r="AH567" s="264"/>
      <c r="AI567" s="264"/>
      <c r="AJ567" s="264"/>
      <c r="AK567" s="264"/>
      <c r="AL567" s="264"/>
      <c r="AM567" s="264"/>
      <c r="AN567" s="264"/>
      <c r="AO567" s="264"/>
      <c r="AP567" s="264"/>
      <c r="AQ567" s="264"/>
      <c r="AR567" s="264"/>
      <c r="AS567" s="264"/>
      <c r="AT567" s="264"/>
      <c r="AU567" s="264"/>
      <c r="AV567" s="264"/>
      <c r="AW567" s="264"/>
      <c r="AX567" s="264"/>
      <c r="AY567" s="264"/>
      <c r="AZ567" s="264"/>
      <c r="BA567" s="264"/>
      <c r="BB567" s="264"/>
      <c r="BC567" s="264"/>
      <c r="BD567" s="264"/>
    </row>
    <row r="568">
      <c r="A568" s="264"/>
      <c r="B568" s="264"/>
      <c r="C568" s="264"/>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c r="AA568" s="264"/>
      <c r="AB568" s="264"/>
      <c r="AC568" s="264"/>
      <c r="AD568" s="264"/>
      <c r="AE568" s="264"/>
      <c r="AF568" s="264"/>
      <c r="AG568" s="264"/>
      <c r="AH568" s="264"/>
      <c r="AI568" s="264"/>
      <c r="AJ568" s="264"/>
      <c r="AK568" s="264"/>
      <c r="AL568" s="264"/>
      <c r="AM568" s="264"/>
      <c r="AN568" s="264"/>
      <c r="AO568" s="264"/>
      <c r="AP568" s="264"/>
      <c r="AQ568" s="264"/>
      <c r="AR568" s="264"/>
      <c r="AS568" s="264"/>
      <c r="AT568" s="264"/>
      <c r="AU568" s="264"/>
      <c r="AV568" s="264"/>
      <c r="AW568" s="264"/>
      <c r="AX568" s="264"/>
      <c r="AY568" s="264"/>
      <c r="AZ568" s="264"/>
      <c r="BA568" s="264"/>
      <c r="BB568" s="264"/>
      <c r="BC568" s="264"/>
      <c r="BD568" s="264"/>
    </row>
    <row r="569">
      <c r="A569" s="264"/>
      <c r="B569" s="264"/>
      <c r="C569" s="264"/>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c r="AA569" s="264"/>
      <c r="AB569" s="264"/>
      <c r="AC569" s="264"/>
      <c r="AD569" s="264"/>
      <c r="AE569" s="264"/>
      <c r="AF569" s="264"/>
      <c r="AG569" s="264"/>
      <c r="AH569" s="264"/>
      <c r="AI569" s="264"/>
      <c r="AJ569" s="264"/>
      <c r="AK569" s="264"/>
      <c r="AL569" s="264"/>
      <c r="AM569" s="264"/>
      <c r="AN569" s="264"/>
      <c r="AO569" s="264"/>
      <c r="AP569" s="264"/>
      <c r="AQ569" s="264"/>
      <c r="AR569" s="264"/>
      <c r="AS569" s="264"/>
      <c r="AT569" s="264"/>
      <c r="AU569" s="264"/>
      <c r="AV569" s="264"/>
      <c r="AW569" s="264"/>
      <c r="AX569" s="264"/>
      <c r="AY569" s="264"/>
      <c r="AZ569" s="264"/>
      <c r="BA569" s="264"/>
      <c r="BB569" s="264"/>
      <c r="BC569" s="264"/>
      <c r="BD569" s="264"/>
    </row>
    <row r="570">
      <c r="A570" s="264"/>
      <c r="B570" s="264"/>
      <c r="C570" s="264"/>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c r="AA570" s="264"/>
      <c r="AB570" s="264"/>
      <c r="AC570" s="264"/>
      <c r="AD570" s="264"/>
      <c r="AE570" s="264"/>
      <c r="AF570" s="264"/>
      <c r="AG570" s="264"/>
      <c r="AH570" s="264"/>
      <c r="AI570" s="264"/>
      <c r="AJ570" s="264"/>
      <c r="AK570" s="264"/>
      <c r="AL570" s="264"/>
      <c r="AM570" s="264"/>
      <c r="AN570" s="264"/>
      <c r="AO570" s="264"/>
      <c r="AP570" s="264"/>
      <c r="AQ570" s="264"/>
      <c r="AR570" s="264"/>
      <c r="AS570" s="264"/>
      <c r="AT570" s="264"/>
      <c r="AU570" s="264"/>
      <c r="AV570" s="264"/>
      <c r="AW570" s="264"/>
      <c r="AX570" s="264"/>
      <c r="AY570" s="264"/>
      <c r="AZ570" s="264"/>
      <c r="BA570" s="264"/>
      <c r="BB570" s="264"/>
      <c r="BC570" s="264"/>
      <c r="BD570" s="264"/>
    </row>
    <row r="571">
      <c r="A571" s="264"/>
      <c r="B571" s="264"/>
      <c r="C571" s="264"/>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c r="AA571" s="264"/>
      <c r="AB571" s="264"/>
      <c r="AC571" s="264"/>
      <c r="AD571" s="264"/>
      <c r="AE571" s="264"/>
      <c r="AF571" s="264"/>
      <c r="AG571" s="264"/>
      <c r="AH571" s="264"/>
      <c r="AI571" s="264"/>
      <c r="AJ571" s="264"/>
      <c r="AK571" s="264"/>
      <c r="AL571" s="264"/>
      <c r="AM571" s="264"/>
      <c r="AN571" s="264"/>
      <c r="AO571" s="264"/>
      <c r="AP571" s="264"/>
      <c r="AQ571" s="264"/>
      <c r="AR571" s="264"/>
      <c r="AS571" s="264"/>
      <c r="AT571" s="264"/>
      <c r="AU571" s="264"/>
      <c r="AV571" s="264"/>
      <c r="AW571" s="264"/>
      <c r="AX571" s="264"/>
      <c r="AY571" s="264"/>
      <c r="AZ571" s="264"/>
      <c r="BA571" s="264"/>
      <c r="BB571" s="264"/>
      <c r="BC571" s="264"/>
      <c r="BD571" s="264"/>
    </row>
    <row r="572">
      <c r="A572" s="264"/>
      <c r="B572" s="264"/>
      <c r="C572" s="264"/>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c r="AA572" s="264"/>
      <c r="AB572" s="264"/>
      <c r="AC572" s="264"/>
      <c r="AD572" s="264"/>
      <c r="AE572" s="264"/>
      <c r="AF572" s="264"/>
      <c r="AG572" s="264"/>
      <c r="AH572" s="264"/>
      <c r="AI572" s="264"/>
      <c r="AJ572" s="264"/>
      <c r="AK572" s="264"/>
      <c r="AL572" s="264"/>
      <c r="AM572" s="264"/>
      <c r="AN572" s="264"/>
      <c r="AO572" s="264"/>
      <c r="AP572" s="264"/>
      <c r="AQ572" s="264"/>
      <c r="AR572" s="264"/>
      <c r="AS572" s="264"/>
      <c r="AT572" s="264"/>
      <c r="AU572" s="264"/>
      <c r="AV572" s="264"/>
      <c r="AW572" s="264"/>
      <c r="AX572" s="264"/>
      <c r="AY572" s="264"/>
      <c r="AZ572" s="264"/>
      <c r="BA572" s="264"/>
      <c r="BB572" s="264"/>
      <c r="BC572" s="264"/>
      <c r="BD572" s="264"/>
    </row>
    <row r="573">
      <c r="A573" s="264"/>
      <c r="B573" s="264"/>
      <c r="C573" s="264"/>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c r="AA573" s="264"/>
      <c r="AB573" s="264"/>
      <c r="AC573" s="264"/>
      <c r="AD573" s="264"/>
      <c r="AE573" s="264"/>
      <c r="AF573" s="264"/>
      <c r="AG573" s="264"/>
      <c r="AH573" s="264"/>
      <c r="AI573" s="264"/>
      <c r="AJ573" s="264"/>
      <c r="AK573" s="264"/>
      <c r="AL573" s="264"/>
      <c r="AM573" s="264"/>
      <c r="AN573" s="264"/>
      <c r="AO573" s="264"/>
      <c r="AP573" s="264"/>
      <c r="AQ573" s="264"/>
      <c r="AR573" s="264"/>
      <c r="AS573" s="264"/>
      <c r="AT573" s="264"/>
      <c r="AU573" s="264"/>
      <c r="AV573" s="264"/>
      <c r="AW573" s="264"/>
      <c r="AX573" s="264"/>
      <c r="AY573" s="264"/>
      <c r="AZ573" s="264"/>
      <c r="BA573" s="264"/>
      <c r="BB573" s="264"/>
      <c r="BC573" s="264"/>
      <c r="BD573" s="264"/>
    </row>
    <row r="574">
      <c r="A574" s="264"/>
      <c r="B574" s="264"/>
      <c r="C574" s="264"/>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c r="AA574" s="264"/>
      <c r="AB574" s="264"/>
      <c r="AC574" s="264"/>
      <c r="AD574" s="264"/>
      <c r="AE574" s="264"/>
      <c r="AF574" s="264"/>
      <c r="AG574" s="264"/>
      <c r="AH574" s="264"/>
      <c r="AI574" s="264"/>
      <c r="AJ574" s="264"/>
      <c r="AK574" s="264"/>
      <c r="AL574" s="264"/>
      <c r="AM574" s="264"/>
      <c r="AN574" s="264"/>
      <c r="AO574" s="264"/>
      <c r="AP574" s="264"/>
      <c r="AQ574" s="264"/>
      <c r="AR574" s="264"/>
      <c r="AS574" s="264"/>
      <c r="AT574" s="264"/>
      <c r="AU574" s="264"/>
      <c r="AV574" s="264"/>
      <c r="AW574" s="264"/>
      <c r="AX574" s="264"/>
      <c r="AY574" s="264"/>
      <c r="AZ574" s="264"/>
      <c r="BA574" s="264"/>
      <c r="BB574" s="264"/>
      <c r="BC574" s="264"/>
      <c r="BD574" s="264"/>
    </row>
    <row r="575">
      <c r="A575" s="264"/>
      <c r="B575" s="264"/>
      <c r="C575" s="264"/>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c r="AA575" s="264"/>
      <c r="AB575" s="264"/>
      <c r="AC575" s="264"/>
      <c r="AD575" s="264"/>
      <c r="AE575" s="264"/>
      <c r="AF575" s="264"/>
      <c r="AG575" s="264"/>
      <c r="AH575" s="264"/>
      <c r="AI575" s="264"/>
      <c r="AJ575" s="264"/>
      <c r="AK575" s="264"/>
      <c r="AL575" s="264"/>
      <c r="AM575" s="264"/>
      <c r="AN575" s="264"/>
      <c r="AO575" s="264"/>
      <c r="AP575" s="264"/>
      <c r="AQ575" s="264"/>
      <c r="AR575" s="264"/>
      <c r="AS575" s="264"/>
      <c r="AT575" s="264"/>
      <c r="AU575" s="264"/>
      <c r="AV575" s="264"/>
      <c r="AW575" s="264"/>
      <c r="AX575" s="264"/>
      <c r="AY575" s="264"/>
      <c r="AZ575" s="264"/>
      <c r="BA575" s="264"/>
      <c r="BB575" s="264"/>
      <c r="BC575" s="264"/>
      <c r="BD575" s="264"/>
    </row>
    <row r="576">
      <c r="A576" s="264"/>
      <c r="B576" s="264"/>
      <c r="C576" s="264"/>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c r="AA576" s="264"/>
      <c r="AB576" s="264"/>
      <c r="AC576" s="264"/>
      <c r="AD576" s="264"/>
      <c r="AE576" s="264"/>
      <c r="AF576" s="264"/>
      <c r="AG576" s="264"/>
      <c r="AH576" s="264"/>
      <c r="AI576" s="264"/>
      <c r="AJ576" s="264"/>
      <c r="AK576" s="264"/>
      <c r="AL576" s="264"/>
      <c r="AM576" s="264"/>
      <c r="AN576" s="264"/>
      <c r="AO576" s="264"/>
      <c r="AP576" s="264"/>
      <c r="AQ576" s="264"/>
      <c r="AR576" s="264"/>
      <c r="AS576" s="264"/>
      <c r="AT576" s="264"/>
      <c r="AU576" s="264"/>
      <c r="AV576" s="264"/>
      <c r="AW576" s="264"/>
      <c r="AX576" s="264"/>
      <c r="AY576" s="264"/>
      <c r="AZ576" s="264"/>
      <c r="BA576" s="264"/>
      <c r="BB576" s="264"/>
      <c r="BC576" s="264"/>
      <c r="BD576" s="264"/>
    </row>
    <row r="577">
      <c r="A577" s="264"/>
      <c r="B577" s="264"/>
      <c r="C577" s="264"/>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c r="AA577" s="264"/>
      <c r="AB577" s="264"/>
      <c r="AC577" s="264"/>
      <c r="AD577" s="264"/>
      <c r="AE577" s="264"/>
      <c r="AF577" s="264"/>
      <c r="AG577" s="264"/>
      <c r="AH577" s="264"/>
      <c r="AI577" s="264"/>
      <c r="AJ577" s="264"/>
      <c r="AK577" s="264"/>
      <c r="AL577" s="264"/>
      <c r="AM577" s="264"/>
      <c r="AN577" s="264"/>
      <c r="AO577" s="264"/>
      <c r="AP577" s="264"/>
      <c r="AQ577" s="264"/>
      <c r="AR577" s="264"/>
      <c r="AS577" s="264"/>
      <c r="AT577" s="264"/>
      <c r="AU577" s="264"/>
      <c r="AV577" s="264"/>
      <c r="AW577" s="264"/>
      <c r="AX577" s="264"/>
      <c r="AY577" s="264"/>
      <c r="AZ577" s="264"/>
      <c r="BA577" s="264"/>
      <c r="BB577" s="264"/>
      <c r="BC577" s="264"/>
      <c r="BD577" s="264"/>
    </row>
    <row r="578">
      <c r="A578" s="264"/>
      <c r="B578" s="264"/>
      <c r="C578" s="264"/>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c r="AA578" s="264"/>
      <c r="AB578" s="264"/>
      <c r="AC578" s="264"/>
      <c r="AD578" s="264"/>
      <c r="AE578" s="264"/>
      <c r="AF578" s="264"/>
      <c r="AG578" s="264"/>
      <c r="AH578" s="264"/>
      <c r="AI578" s="264"/>
      <c r="AJ578" s="264"/>
      <c r="AK578" s="264"/>
      <c r="AL578" s="264"/>
      <c r="AM578" s="264"/>
      <c r="AN578" s="264"/>
      <c r="AO578" s="264"/>
      <c r="AP578" s="264"/>
      <c r="AQ578" s="264"/>
      <c r="AR578" s="264"/>
      <c r="AS578" s="264"/>
      <c r="AT578" s="264"/>
      <c r="AU578" s="264"/>
      <c r="AV578" s="264"/>
      <c r="AW578" s="264"/>
      <c r="AX578" s="264"/>
      <c r="AY578" s="264"/>
      <c r="AZ578" s="264"/>
      <c r="BA578" s="264"/>
      <c r="BB578" s="264"/>
      <c r="BC578" s="264"/>
      <c r="BD578" s="264"/>
    </row>
    <row r="579">
      <c r="A579" s="264"/>
      <c r="B579" s="264"/>
      <c r="C579" s="264"/>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c r="AA579" s="264"/>
      <c r="AB579" s="264"/>
      <c r="AC579" s="264"/>
      <c r="AD579" s="264"/>
      <c r="AE579" s="264"/>
      <c r="AF579" s="264"/>
      <c r="AG579" s="264"/>
      <c r="AH579" s="264"/>
      <c r="AI579" s="264"/>
      <c r="AJ579" s="264"/>
      <c r="AK579" s="264"/>
      <c r="AL579" s="264"/>
      <c r="AM579" s="264"/>
      <c r="AN579" s="264"/>
      <c r="AO579" s="264"/>
      <c r="AP579" s="264"/>
      <c r="AQ579" s="264"/>
      <c r="AR579" s="264"/>
      <c r="AS579" s="264"/>
      <c r="AT579" s="264"/>
      <c r="AU579" s="264"/>
      <c r="AV579" s="264"/>
      <c r="AW579" s="264"/>
      <c r="AX579" s="264"/>
      <c r="AY579" s="264"/>
      <c r="AZ579" s="264"/>
      <c r="BA579" s="264"/>
      <c r="BB579" s="264"/>
      <c r="BC579" s="264"/>
      <c r="BD579" s="264"/>
    </row>
    <row r="580">
      <c r="A580" s="264"/>
      <c r="B580" s="264"/>
      <c r="C580" s="264"/>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c r="AA580" s="264"/>
      <c r="AB580" s="264"/>
      <c r="AC580" s="264"/>
      <c r="AD580" s="264"/>
      <c r="AE580" s="264"/>
      <c r="AF580" s="264"/>
      <c r="AG580" s="264"/>
      <c r="AH580" s="264"/>
      <c r="AI580" s="264"/>
      <c r="AJ580" s="264"/>
      <c r="AK580" s="264"/>
      <c r="AL580" s="264"/>
      <c r="AM580" s="264"/>
      <c r="AN580" s="264"/>
      <c r="AO580" s="264"/>
      <c r="AP580" s="264"/>
      <c r="AQ580" s="264"/>
      <c r="AR580" s="264"/>
      <c r="AS580" s="264"/>
      <c r="AT580" s="264"/>
      <c r="AU580" s="264"/>
      <c r="AV580" s="264"/>
      <c r="AW580" s="264"/>
      <c r="AX580" s="264"/>
      <c r="AY580" s="264"/>
      <c r="AZ580" s="264"/>
      <c r="BA580" s="264"/>
      <c r="BB580" s="264"/>
      <c r="BC580" s="264"/>
      <c r="BD580" s="264"/>
    </row>
    <row r="581">
      <c r="A581" s="264"/>
      <c r="B581" s="264"/>
      <c r="C581" s="264"/>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c r="AA581" s="264"/>
      <c r="AB581" s="264"/>
      <c r="AC581" s="264"/>
      <c r="AD581" s="264"/>
      <c r="AE581" s="264"/>
      <c r="AF581" s="264"/>
      <c r="AG581" s="264"/>
      <c r="AH581" s="264"/>
      <c r="AI581" s="264"/>
      <c r="AJ581" s="264"/>
      <c r="AK581" s="264"/>
      <c r="AL581" s="264"/>
      <c r="AM581" s="264"/>
      <c r="AN581" s="264"/>
      <c r="AO581" s="264"/>
      <c r="AP581" s="264"/>
      <c r="AQ581" s="264"/>
      <c r="AR581" s="264"/>
      <c r="AS581" s="264"/>
      <c r="AT581" s="264"/>
      <c r="AU581" s="264"/>
      <c r="AV581" s="264"/>
      <c r="AW581" s="264"/>
      <c r="AX581" s="264"/>
      <c r="AY581" s="264"/>
      <c r="AZ581" s="264"/>
      <c r="BA581" s="264"/>
      <c r="BB581" s="264"/>
      <c r="BC581" s="264"/>
      <c r="BD581" s="264"/>
    </row>
    <row r="582">
      <c r="A582" s="264"/>
      <c r="B582" s="264"/>
      <c r="C582" s="264"/>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c r="AA582" s="264"/>
      <c r="AB582" s="264"/>
      <c r="AC582" s="264"/>
      <c r="AD582" s="264"/>
      <c r="AE582" s="264"/>
      <c r="AF582" s="264"/>
      <c r="AG582" s="264"/>
      <c r="AH582" s="264"/>
      <c r="AI582" s="264"/>
      <c r="AJ582" s="264"/>
      <c r="AK582" s="264"/>
      <c r="AL582" s="264"/>
      <c r="AM582" s="264"/>
      <c r="AN582" s="264"/>
      <c r="AO582" s="264"/>
      <c r="AP582" s="264"/>
      <c r="AQ582" s="264"/>
      <c r="AR582" s="264"/>
      <c r="AS582" s="264"/>
      <c r="AT582" s="264"/>
      <c r="AU582" s="264"/>
      <c r="AV582" s="264"/>
      <c r="AW582" s="264"/>
      <c r="AX582" s="264"/>
      <c r="AY582" s="264"/>
      <c r="AZ582" s="264"/>
      <c r="BA582" s="264"/>
      <c r="BB582" s="264"/>
      <c r="BC582" s="264"/>
      <c r="BD582" s="264"/>
    </row>
    <row r="583">
      <c r="A583" s="264"/>
      <c r="B583" s="264"/>
      <c r="C583" s="264"/>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c r="AA583" s="264"/>
      <c r="AB583" s="264"/>
      <c r="AC583" s="264"/>
      <c r="AD583" s="264"/>
      <c r="AE583" s="264"/>
      <c r="AF583" s="264"/>
      <c r="AG583" s="264"/>
      <c r="AH583" s="264"/>
      <c r="AI583" s="264"/>
      <c r="AJ583" s="264"/>
      <c r="AK583" s="264"/>
      <c r="AL583" s="264"/>
      <c r="AM583" s="264"/>
      <c r="AN583" s="264"/>
      <c r="AO583" s="264"/>
      <c r="AP583" s="264"/>
      <c r="AQ583" s="264"/>
      <c r="AR583" s="264"/>
      <c r="AS583" s="264"/>
      <c r="AT583" s="264"/>
      <c r="AU583" s="264"/>
      <c r="AV583" s="264"/>
      <c r="AW583" s="264"/>
      <c r="AX583" s="264"/>
      <c r="AY583" s="264"/>
      <c r="AZ583" s="264"/>
      <c r="BA583" s="264"/>
      <c r="BB583" s="264"/>
      <c r="BC583" s="264"/>
      <c r="BD583" s="264"/>
    </row>
    <row r="584">
      <c r="A584" s="264"/>
      <c r="B584" s="264"/>
      <c r="C584" s="264"/>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c r="AA584" s="264"/>
      <c r="AB584" s="264"/>
      <c r="AC584" s="264"/>
      <c r="AD584" s="264"/>
      <c r="AE584" s="264"/>
      <c r="AF584" s="264"/>
      <c r="AG584" s="264"/>
      <c r="AH584" s="264"/>
      <c r="AI584" s="264"/>
      <c r="AJ584" s="264"/>
      <c r="AK584" s="264"/>
      <c r="AL584" s="264"/>
      <c r="AM584" s="264"/>
      <c r="AN584" s="264"/>
      <c r="AO584" s="264"/>
      <c r="AP584" s="264"/>
      <c r="AQ584" s="264"/>
      <c r="AR584" s="264"/>
      <c r="AS584" s="264"/>
      <c r="AT584" s="264"/>
      <c r="AU584" s="264"/>
      <c r="AV584" s="264"/>
      <c r="AW584" s="264"/>
      <c r="AX584" s="264"/>
      <c r="AY584" s="264"/>
      <c r="AZ584" s="264"/>
      <c r="BA584" s="264"/>
      <c r="BB584" s="264"/>
      <c r="BC584" s="264"/>
      <c r="BD584" s="264"/>
    </row>
    <row r="585">
      <c r="A585" s="264"/>
      <c r="B585" s="264"/>
      <c r="C585" s="264"/>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c r="AA585" s="264"/>
      <c r="AB585" s="264"/>
      <c r="AC585" s="264"/>
      <c r="AD585" s="264"/>
      <c r="AE585" s="264"/>
      <c r="AF585" s="264"/>
      <c r="AG585" s="264"/>
      <c r="AH585" s="264"/>
      <c r="AI585" s="264"/>
      <c r="AJ585" s="264"/>
      <c r="AK585" s="264"/>
      <c r="AL585" s="264"/>
      <c r="AM585" s="264"/>
      <c r="AN585" s="264"/>
      <c r="AO585" s="264"/>
      <c r="AP585" s="264"/>
      <c r="AQ585" s="264"/>
      <c r="AR585" s="264"/>
      <c r="AS585" s="264"/>
      <c r="AT585" s="264"/>
      <c r="AU585" s="264"/>
      <c r="AV585" s="264"/>
      <c r="AW585" s="264"/>
      <c r="AX585" s="264"/>
      <c r="AY585" s="264"/>
      <c r="AZ585" s="264"/>
      <c r="BA585" s="264"/>
      <c r="BB585" s="264"/>
      <c r="BC585" s="264"/>
      <c r="BD585" s="264"/>
    </row>
    <row r="586">
      <c r="A586" s="264"/>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c r="AA586" s="264"/>
      <c r="AB586" s="264"/>
      <c r="AC586" s="264"/>
      <c r="AD586" s="264"/>
      <c r="AE586" s="264"/>
      <c r="AF586" s="264"/>
      <c r="AG586" s="264"/>
      <c r="AH586" s="264"/>
      <c r="AI586" s="264"/>
      <c r="AJ586" s="264"/>
      <c r="AK586" s="264"/>
      <c r="AL586" s="264"/>
      <c r="AM586" s="264"/>
      <c r="AN586" s="264"/>
      <c r="AO586" s="264"/>
      <c r="AP586" s="264"/>
      <c r="AQ586" s="264"/>
      <c r="AR586" s="264"/>
      <c r="AS586" s="264"/>
      <c r="AT586" s="264"/>
      <c r="AU586" s="264"/>
      <c r="AV586" s="264"/>
      <c r="AW586" s="264"/>
      <c r="AX586" s="264"/>
      <c r="AY586" s="264"/>
      <c r="AZ586" s="264"/>
      <c r="BA586" s="264"/>
      <c r="BB586" s="264"/>
      <c r="BC586" s="264"/>
      <c r="BD586" s="264"/>
    </row>
    <row r="587">
      <c r="A587" s="264"/>
      <c r="B587" s="264"/>
      <c r="C587" s="264"/>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c r="AA587" s="264"/>
      <c r="AB587" s="264"/>
      <c r="AC587" s="264"/>
      <c r="AD587" s="264"/>
      <c r="AE587" s="264"/>
      <c r="AF587" s="264"/>
      <c r="AG587" s="264"/>
      <c r="AH587" s="264"/>
      <c r="AI587" s="264"/>
      <c r="AJ587" s="264"/>
      <c r="AK587" s="264"/>
      <c r="AL587" s="264"/>
      <c r="AM587" s="264"/>
      <c r="AN587" s="264"/>
      <c r="AO587" s="264"/>
      <c r="AP587" s="264"/>
      <c r="AQ587" s="264"/>
      <c r="AR587" s="264"/>
      <c r="AS587" s="264"/>
      <c r="AT587" s="264"/>
      <c r="AU587" s="264"/>
      <c r="AV587" s="264"/>
      <c r="AW587" s="264"/>
      <c r="AX587" s="264"/>
      <c r="AY587" s="264"/>
      <c r="AZ587" s="264"/>
      <c r="BA587" s="264"/>
      <c r="BB587" s="264"/>
      <c r="BC587" s="264"/>
      <c r="BD587" s="264"/>
    </row>
    <row r="588">
      <c r="A588" s="264"/>
      <c r="B588" s="264"/>
      <c r="C588" s="264"/>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c r="AA588" s="264"/>
      <c r="AB588" s="264"/>
      <c r="AC588" s="264"/>
      <c r="AD588" s="264"/>
      <c r="AE588" s="264"/>
      <c r="AF588" s="264"/>
      <c r="AG588" s="264"/>
      <c r="AH588" s="264"/>
      <c r="AI588" s="264"/>
      <c r="AJ588" s="264"/>
      <c r="AK588" s="264"/>
      <c r="AL588" s="264"/>
      <c r="AM588" s="264"/>
      <c r="AN588" s="264"/>
      <c r="AO588" s="264"/>
      <c r="AP588" s="264"/>
      <c r="AQ588" s="264"/>
      <c r="AR588" s="264"/>
      <c r="AS588" s="264"/>
      <c r="AT588" s="264"/>
      <c r="AU588" s="264"/>
      <c r="AV588" s="264"/>
      <c r="AW588" s="264"/>
      <c r="AX588" s="264"/>
      <c r="AY588" s="264"/>
      <c r="AZ588" s="264"/>
      <c r="BA588" s="264"/>
      <c r="BB588" s="264"/>
      <c r="BC588" s="264"/>
      <c r="BD588" s="264"/>
    </row>
    <row r="589">
      <c r="A589" s="264"/>
      <c r="B589" s="264"/>
      <c r="C589" s="264"/>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c r="AA589" s="264"/>
      <c r="AB589" s="264"/>
      <c r="AC589" s="264"/>
      <c r="AD589" s="264"/>
      <c r="AE589" s="264"/>
      <c r="AF589" s="264"/>
      <c r="AG589" s="264"/>
      <c r="AH589" s="264"/>
      <c r="AI589" s="264"/>
      <c r="AJ589" s="264"/>
      <c r="AK589" s="264"/>
      <c r="AL589" s="264"/>
      <c r="AM589" s="264"/>
      <c r="AN589" s="264"/>
      <c r="AO589" s="264"/>
      <c r="AP589" s="264"/>
      <c r="AQ589" s="264"/>
      <c r="AR589" s="264"/>
      <c r="AS589" s="264"/>
      <c r="AT589" s="264"/>
      <c r="AU589" s="264"/>
      <c r="AV589" s="264"/>
      <c r="AW589" s="264"/>
      <c r="AX589" s="264"/>
      <c r="AY589" s="264"/>
      <c r="AZ589" s="264"/>
      <c r="BA589" s="264"/>
      <c r="BB589" s="264"/>
      <c r="BC589" s="264"/>
      <c r="BD589" s="264"/>
    </row>
    <row r="590">
      <c r="A590" s="264"/>
      <c r="B590" s="264"/>
      <c r="C590" s="264"/>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c r="AA590" s="264"/>
      <c r="AB590" s="264"/>
      <c r="AC590" s="264"/>
      <c r="AD590" s="264"/>
      <c r="AE590" s="264"/>
      <c r="AF590" s="264"/>
      <c r="AG590" s="264"/>
      <c r="AH590" s="264"/>
      <c r="AI590" s="264"/>
      <c r="AJ590" s="264"/>
      <c r="AK590" s="264"/>
      <c r="AL590" s="264"/>
      <c r="AM590" s="264"/>
      <c r="AN590" s="264"/>
      <c r="AO590" s="264"/>
      <c r="AP590" s="264"/>
      <c r="AQ590" s="264"/>
      <c r="AR590" s="264"/>
      <c r="AS590" s="264"/>
      <c r="AT590" s="264"/>
      <c r="AU590" s="264"/>
      <c r="AV590" s="264"/>
      <c r="AW590" s="264"/>
      <c r="AX590" s="264"/>
      <c r="AY590" s="264"/>
      <c r="AZ590" s="264"/>
      <c r="BA590" s="264"/>
      <c r="BB590" s="264"/>
      <c r="BC590" s="264"/>
      <c r="BD590" s="264"/>
    </row>
    <row r="591">
      <c r="A591" s="264"/>
      <c r="B591" s="264"/>
      <c r="C591" s="264"/>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c r="AA591" s="264"/>
      <c r="AB591" s="264"/>
      <c r="AC591" s="264"/>
      <c r="AD591" s="264"/>
      <c r="AE591" s="264"/>
      <c r="AF591" s="264"/>
      <c r="AG591" s="264"/>
      <c r="AH591" s="264"/>
      <c r="AI591" s="264"/>
      <c r="AJ591" s="264"/>
      <c r="AK591" s="264"/>
      <c r="AL591" s="264"/>
      <c r="AM591" s="264"/>
      <c r="AN591" s="264"/>
      <c r="AO591" s="264"/>
      <c r="AP591" s="264"/>
      <c r="AQ591" s="264"/>
      <c r="AR591" s="264"/>
      <c r="AS591" s="264"/>
      <c r="AT591" s="264"/>
      <c r="AU591" s="264"/>
      <c r="AV591" s="264"/>
      <c r="AW591" s="264"/>
      <c r="AX591" s="264"/>
      <c r="AY591" s="264"/>
      <c r="AZ591" s="264"/>
      <c r="BA591" s="264"/>
      <c r="BB591" s="264"/>
      <c r="BC591" s="264"/>
      <c r="BD591" s="264"/>
    </row>
    <row r="592">
      <c r="A592" s="264"/>
      <c r="B592" s="264"/>
      <c r="C592" s="264"/>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c r="AA592" s="264"/>
      <c r="AB592" s="264"/>
      <c r="AC592" s="264"/>
      <c r="AD592" s="264"/>
      <c r="AE592" s="264"/>
      <c r="AF592" s="264"/>
      <c r="AG592" s="264"/>
      <c r="AH592" s="264"/>
      <c r="AI592" s="264"/>
      <c r="AJ592" s="264"/>
      <c r="AK592" s="264"/>
      <c r="AL592" s="264"/>
      <c r="AM592" s="264"/>
      <c r="AN592" s="264"/>
      <c r="AO592" s="264"/>
      <c r="AP592" s="264"/>
      <c r="AQ592" s="264"/>
      <c r="AR592" s="264"/>
      <c r="AS592" s="264"/>
      <c r="AT592" s="264"/>
      <c r="AU592" s="264"/>
      <c r="AV592" s="264"/>
      <c r="AW592" s="264"/>
      <c r="AX592" s="264"/>
      <c r="AY592" s="264"/>
      <c r="AZ592" s="264"/>
      <c r="BA592" s="264"/>
      <c r="BB592" s="264"/>
      <c r="BC592" s="264"/>
      <c r="BD592" s="264"/>
    </row>
    <row r="593">
      <c r="A593" s="264"/>
      <c r="B593" s="264"/>
      <c r="C593" s="264"/>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c r="AA593" s="264"/>
      <c r="AB593" s="264"/>
      <c r="AC593" s="264"/>
      <c r="AD593" s="264"/>
      <c r="AE593" s="264"/>
      <c r="AF593" s="264"/>
      <c r="AG593" s="264"/>
      <c r="AH593" s="264"/>
      <c r="AI593" s="264"/>
      <c r="AJ593" s="264"/>
      <c r="AK593" s="264"/>
      <c r="AL593" s="264"/>
      <c r="AM593" s="264"/>
      <c r="AN593" s="264"/>
      <c r="AO593" s="264"/>
      <c r="AP593" s="264"/>
      <c r="AQ593" s="264"/>
      <c r="AR593" s="264"/>
      <c r="AS593" s="264"/>
      <c r="AT593" s="264"/>
      <c r="AU593" s="264"/>
      <c r="AV593" s="264"/>
      <c r="AW593" s="264"/>
      <c r="AX593" s="264"/>
      <c r="AY593" s="264"/>
      <c r="AZ593" s="264"/>
      <c r="BA593" s="264"/>
      <c r="BB593" s="264"/>
      <c r="BC593" s="264"/>
      <c r="BD593" s="264"/>
    </row>
    <row r="594">
      <c r="A594" s="264"/>
      <c r="B594" s="264"/>
      <c r="C594" s="264"/>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c r="AA594" s="264"/>
      <c r="AB594" s="264"/>
      <c r="AC594" s="264"/>
      <c r="AD594" s="264"/>
      <c r="AE594" s="264"/>
      <c r="AF594" s="264"/>
      <c r="AG594" s="264"/>
      <c r="AH594" s="264"/>
      <c r="AI594" s="264"/>
      <c r="AJ594" s="264"/>
      <c r="AK594" s="264"/>
      <c r="AL594" s="264"/>
      <c r="AM594" s="264"/>
      <c r="AN594" s="264"/>
      <c r="AO594" s="264"/>
      <c r="AP594" s="264"/>
      <c r="AQ594" s="264"/>
      <c r="AR594" s="264"/>
      <c r="AS594" s="264"/>
      <c r="AT594" s="264"/>
      <c r="AU594" s="264"/>
      <c r="AV594" s="264"/>
      <c r="AW594" s="264"/>
      <c r="AX594" s="264"/>
      <c r="AY594" s="264"/>
      <c r="AZ594" s="264"/>
      <c r="BA594" s="264"/>
      <c r="BB594" s="264"/>
      <c r="BC594" s="264"/>
      <c r="BD594" s="264"/>
    </row>
    <row r="595">
      <c r="A595" s="264"/>
      <c r="B595" s="264"/>
      <c r="C595" s="264"/>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c r="AA595" s="264"/>
      <c r="AB595" s="264"/>
      <c r="AC595" s="264"/>
      <c r="AD595" s="264"/>
      <c r="AE595" s="264"/>
      <c r="AF595" s="264"/>
      <c r="AG595" s="264"/>
      <c r="AH595" s="264"/>
      <c r="AI595" s="264"/>
      <c r="AJ595" s="264"/>
      <c r="AK595" s="264"/>
      <c r="AL595" s="264"/>
      <c r="AM595" s="264"/>
      <c r="AN595" s="264"/>
      <c r="AO595" s="264"/>
      <c r="AP595" s="264"/>
      <c r="AQ595" s="264"/>
      <c r="AR595" s="264"/>
      <c r="AS595" s="264"/>
      <c r="AT595" s="264"/>
      <c r="AU595" s="264"/>
      <c r="AV595" s="264"/>
      <c r="AW595" s="264"/>
      <c r="AX595" s="264"/>
      <c r="AY595" s="264"/>
      <c r="AZ595" s="264"/>
      <c r="BA595" s="264"/>
      <c r="BB595" s="264"/>
      <c r="BC595" s="264"/>
      <c r="BD595" s="264"/>
    </row>
    <row r="596">
      <c r="A596" s="264"/>
      <c r="B596" s="264"/>
      <c r="C596" s="264"/>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c r="AA596" s="264"/>
      <c r="AB596" s="264"/>
      <c r="AC596" s="264"/>
      <c r="AD596" s="264"/>
      <c r="AE596" s="264"/>
      <c r="AF596" s="264"/>
      <c r="AG596" s="264"/>
      <c r="AH596" s="264"/>
      <c r="AI596" s="264"/>
      <c r="AJ596" s="264"/>
      <c r="AK596" s="264"/>
      <c r="AL596" s="264"/>
      <c r="AM596" s="264"/>
      <c r="AN596" s="264"/>
      <c r="AO596" s="264"/>
      <c r="AP596" s="264"/>
      <c r="AQ596" s="264"/>
      <c r="AR596" s="264"/>
      <c r="AS596" s="264"/>
      <c r="AT596" s="264"/>
      <c r="AU596" s="264"/>
      <c r="AV596" s="264"/>
      <c r="AW596" s="264"/>
      <c r="AX596" s="264"/>
      <c r="AY596" s="264"/>
      <c r="AZ596" s="264"/>
      <c r="BA596" s="264"/>
      <c r="BB596" s="264"/>
      <c r="BC596" s="264"/>
      <c r="BD596" s="264"/>
    </row>
    <row r="597">
      <c r="A597" s="264"/>
      <c r="B597" s="264"/>
      <c r="C597" s="264"/>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c r="AA597" s="264"/>
      <c r="AB597" s="264"/>
      <c r="AC597" s="264"/>
      <c r="AD597" s="264"/>
      <c r="AE597" s="264"/>
      <c r="AF597" s="264"/>
      <c r="AG597" s="264"/>
      <c r="AH597" s="264"/>
      <c r="AI597" s="264"/>
      <c r="AJ597" s="264"/>
      <c r="AK597" s="264"/>
      <c r="AL597" s="264"/>
      <c r="AM597" s="264"/>
      <c r="AN597" s="264"/>
      <c r="AO597" s="264"/>
      <c r="AP597" s="264"/>
      <c r="AQ597" s="264"/>
      <c r="AR597" s="264"/>
      <c r="AS597" s="264"/>
      <c r="AT597" s="264"/>
      <c r="AU597" s="264"/>
      <c r="AV597" s="264"/>
      <c r="AW597" s="264"/>
      <c r="AX597" s="264"/>
      <c r="AY597" s="264"/>
      <c r="AZ597" s="264"/>
      <c r="BA597" s="264"/>
      <c r="BB597" s="264"/>
      <c r="BC597" s="264"/>
      <c r="BD597" s="264"/>
    </row>
    <row r="598">
      <c r="A598" s="264"/>
      <c r="B598" s="264"/>
      <c r="C598" s="264"/>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c r="AA598" s="264"/>
      <c r="AB598" s="264"/>
      <c r="AC598" s="264"/>
      <c r="AD598" s="264"/>
      <c r="AE598" s="264"/>
      <c r="AF598" s="264"/>
      <c r="AG598" s="264"/>
      <c r="AH598" s="264"/>
      <c r="AI598" s="264"/>
      <c r="AJ598" s="264"/>
      <c r="AK598" s="264"/>
      <c r="AL598" s="264"/>
      <c r="AM598" s="264"/>
      <c r="AN598" s="264"/>
      <c r="AO598" s="264"/>
      <c r="AP598" s="264"/>
      <c r="AQ598" s="264"/>
      <c r="AR598" s="264"/>
      <c r="AS598" s="264"/>
      <c r="AT598" s="264"/>
      <c r="AU598" s="264"/>
      <c r="AV598" s="264"/>
      <c r="AW598" s="264"/>
      <c r="AX598" s="264"/>
      <c r="AY598" s="264"/>
      <c r="AZ598" s="264"/>
      <c r="BA598" s="264"/>
      <c r="BB598" s="264"/>
      <c r="BC598" s="264"/>
      <c r="BD598" s="264"/>
    </row>
    <row r="599">
      <c r="A599" s="264"/>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c r="AA599" s="264"/>
      <c r="AB599" s="264"/>
      <c r="AC599" s="264"/>
      <c r="AD599" s="264"/>
      <c r="AE599" s="264"/>
      <c r="AF599" s="264"/>
      <c r="AG599" s="264"/>
      <c r="AH599" s="264"/>
      <c r="AI599" s="264"/>
      <c r="AJ599" s="264"/>
      <c r="AK599" s="264"/>
      <c r="AL599" s="264"/>
      <c r="AM599" s="264"/>
      <c r="AN599" s="264"/>
      <c r="AO599" s="264"/>
      <c r="AP599" s="264"/>
      <c r="AQ599" s="264"/>
      <c r="AR599" s="264"/>
      <c r="AS599" s="264"/>
      <c r="AT599" s="264"/>
      <c r="AU599" s="264"/>
      <c r="AV599" s="264"/>
      <c r="AW599" s="264"/>
      <c r="AX599" s="264"/>
      <c r="AY599" s="264"/>
      <c r="AZ599" s="264"/>
      <c r="BA599" s="264"/>
      <c r="BB599" s="264"/>
      <c r="BC599" s="264"/>
      <c r="BD599" s="264"/>
    </row>
    <row r="600">
      <c r="A600" s="264"/>
      <c r="B600" s="264"/>
      <c r="C600" s="264"/>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c r="AA600" s="264"/>
      <c r="AB600" s="264"/>
      <c r="AC600" s="264"/>
      <c r="AD600" s="264"/>
      <c r="AE600" s="264"/>
      <c r="AF600" s="264"/>
      <c r="AG600" s="264"/>
      <c r="AH600" s="264"/>
      <c r="AI600" s="264"/>
      <c r="AJ600" s="264"/>
      <c r="AK600" s="264"/>
      <c r="AL600" s="264"/>
      <c r="AM600" s="264"/>
      <c r="AN600" s="264"/>
      <c r="AO600" s="264"/>
      <c r="AP600" s="264"/>
      <c r="AQ600" s="264"/>
      <c r="AR600" s="264"/>
      <c r="AS600" s="264"/>
      <c r="AT600" s="264"/>
      <c r="AU600" s="264"/>
      <c r="AV600" s="264"/>
      <c r="AW600" s="264"/>
      <c r="AX600" s="264"/>
      <c r="AY600" s="264"/>
      <c r="AZ600" s="264"/>
      <c r="BA600" s="264"/>
      <c r="BB600" s="264"/>
      <c r="BC600" s="264"/>
      <c r="BD600" s="264"/>
    </row>
    <row r="601">
      <c r="A601" s="264"/>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c r="AA601" s="264"/>
      <c r="AB601" s="264"/>
      <c r="AC601" s="264"/>
      <c r="AD601" s="264"/>
      <c r="AE601" s="264"/>
      <c r="AF601" s="264"/>
      <c r="AG601" s="264"/>
      <c r="AH601" s="264"/>
      <c r="AI601" s="264"/>
      <c r="AJ601" s="264"/>
      <c r="AK601" s="264"/>
      <c r="AL601" s="264"/>
      <c r="AM601" s="264"/>
      <c r="AN601" s="264"/>
      <c r="AO601" s="264"/>
      <c r="AP601" s="264"/>
      <c r="AQ601" s="264"/>
      <c r="AR601" s="264"/>
      <c r="AS601" s="264"/>
      <c r="AT601" s="264"/>
      <c r="AU601" s="264"/>
      <c r="AV601" s="264"/>
      <c r="AW601" s="264"/>
      <c r="AX601" s="264"/>
      <c r="AY601" s="264"/>
      <c r="AZ601" s="264"/>
      <c r="BA601" s="264"/>
      <c r="BB601" s="264"/>
      <c r="BC601" s="264"/>
      <c r="BD601" s="264"/>
    </row>
    <row r="602">
      <c r="A602" s="264"/>
      <c r="B602" s="264"/>
      <c r="C602" s="264"/>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c r="AA602" s="264"/>
      <c r="AB602" s="264"/>
      <c r="AC602" s="264"/>
      <c r="AD602" s="264"/>
      <c r="AE602" s="264"/>
      <c r="AF602" s="264"/>
      <c r="AG602" s="264"/>
      <c r="AH602" s="264"/>
      <c r="AI602" s="264"/>
      <c r="AJ602" s="264"/>
      <c r="AK602" s="264"/>
      <c r="AL602" s="264"/>
      <c r="AM602" s="264"/>
      <c r="AN602" s="264"/>
      <c r="AO602" s="264"/>
      <c r="AP602" s="264"/>
      <c r="AQ602" s="264"/>
      <c r="AR602" s="264"/>
      <c r="AS602" s="264"/>
      <c r="AT602" s="264"/>
      <c r="AU602" s="264"/>
      <c r="AV602" s="264"/>
      <c r="AW602" s="264"/>
      <c r="AX602" s="264"/>
      <c r="AY602" s="264"/>
      <c r="AZ602" s="264"/>
      <c r="BA602" s="264"/>
      <c r="BB602" s="264"/>
      <c r="BC602" s="264"/>
      <c r="BD602" s="264"/>
    </row>
    <row r="603">
      <c r="A603" s="264"/>
      <c r="B603" s="264"/>
      <c r="C603" s="264"/>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c r="AA603" s="264"/>
      <c r="AB603" s="264"/>
      <c r="AC603" s="264"/>
      <c r="AD603" s="264"/>
      <c r="AE603" s="264"/>
      <c r="AF603" s="264"/>
      <c r="AG603" s="264"/>
      <c r="AH603" s="264"/>
      <c r="AI603" s="264"/>
      <c r="AJ603" s="264"/>
      <c r="AK603" s="264"/>
      <c r="AL603" s="264"/>
      <c r="AM603" s="264"/>
      <c r="AN603" s="264"/>
      <c r="AO603" s="264"/>
      <c r="AP603" s="264"/>
      <c r="AQ603" s="264"/>
      <c r="AR603" s="264"/>
      <c r="AS603" s="264"/>
      <c r="AT603" s="264"/>
      <c r="AU603" s="264"/>
      <c r="AV603" s="264"/>
      <c r="AW603" s="264"/>
      <c r="AX603" s="264"/>
      <c r="AY603" s="264"/>
      <c r="AZ603" s="264"/>
      <c r="BA603" s="264"/>
      <c r="BB603" s="264"/>
      <c r="BC603" s="264"/>
      <c r="BD603" s="264"/>
    </row>
    <row r="604">
      <c r="A604" s="264"/>
      <c r="B604" s="264"/>
      <c r="C604" s="264"/>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c r="AA604" s="264"/>
      <c r="AB604" s="264"/>
      <c r="AC604" s="264"/>
      <c r="AD604" s="264"/>
      <c r="AE604" s="264"/>
      <c r="AF604" s="264"/>
      <c r="AG604" s="264"/>
      <c r="AH604" s="264"/>
      <c r="AI604" s="264"/>
      <c r="AJ604" s="264"/>
      <c r="AK604" s="264"/>
      <c r="AL604" s="264"/>
      <c r="AM604" s="264"/>
      <c r="AN604" s="264"/>
      <c r="AO604" s="264"/>
      <c r="AP604" s="264"/>
      <c r="AQ604" s="264"/>
      <c r="AR604" s="264"/>
      <c r="AS604" s="264"/>
      <c r="AT604" s="264"/>
      <c r="AU604" s="264"/>
      <c r="AV604" s="264"/>
      <c r="AW604" s="264"/>
      <c r="AX604" s="264"/>
      <c r="AY604" s="264"/>
      <c r="AZ604" s="264"/>
      <c r="BA604" s="264"/>
      <c r="BB604" s="264"/>
      <c r="BC604" s="264"/>
      <c r="BD604" s="264"/>
    </row>
    <row r="605">
      <c r="A605" s="264"/>
      <c r="B605" s="264"/>
      <c r="C605" s="264"/>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c r="AA605" s="264"/>
      <c r="AB605" s="264"/>
      <c r="AC605" s="264"/>
      <c r="AD605" s="264"/>
      <c r="AE605" s="264"/>
      <c r="AF605" s="264"/>
      <c r="AG605" s="264"/>
      <c r="AH605" s="264"/>
      <c r="AI605" s="264"/>
      <c r="AJ605" s="264"/>
      <c r="AK605" s="264"/>
      <c r="AL605" s="264"/>
      <c r="AM605" s="264"/>
      <c r="AN605" s="264"/>
      <c r="AO605" s="264"/>
      <c r="AP605" s="264"/>
      <c r="AQ605" s="264"/>
      <c r="AR605" s="264"/>
      <c r="AS605" s="264"/>
      <c r="AT605" s="264"/>
      <c r="AU605" s="264"/>
      <c r="AV605" s="264"/>
      <c r="AW605" s="264"/>
      <c r="AX605" s="264"/>
      <c r="AY605" s="264"/>
      <c r="AZ605" s="264"/>
      <c r="BA605" s="264"/>
      <c r="BB605" s="264"/>
      <c r="BC605" s="264"/>
      <c r="BD605" s="264"/>
    </row>
    <row r="606">
      <c r="A606" s="264"/>
      <c r="B606" s="264"/>
      <c r="C606" s="264"/>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c r="AA606" s="264"/>
      <c r="AB606" s="264"/>
      <c r="AC606" s="264"/>
      <c r="AD606" s="264"/>
      <c r="AE606" s="264"/>
      <c r="AF606" s="264"/>
      <c r="AG606" s="264"/>
      <c r="AH606" s="264"/>
      <c r="AI606" s="264"/>
      <c r="AJ606" s="264"/>
      <c r="AK606" s="264"/>
      <c r="AL606" s="264"/>
      <c r="AM606" s="264"/>
      <c r="AN606" s="264"/>
      <c r="AO606" s="264"/>
      <c r="AP606" s="264"/>
      <c r="AQ606" s="264"/>
      <c r="AR606" s="264"/>
      <c r="AS606" s="264"/>
      <c r="AT606" s="264"/>
      <c r="AU606" s="264"/>
      <c r="AV606" s="264"/>
      <c r="AW606" s="264"/>
      <c r="AX606" s="264"/>
      <c r="AY606" s="264"/>
      <c r="AZ606" s="264"/>
      <c r="BA606" s="264"/>
      <c r="BB606" s="264"/>
      <c r="BC606" s="264"/>
      <c r="BD606" s="264"/>
    </row>
    <row r="607">
      <c r="A607" s="264"/>
      <c r="B607" s="264"/>
      <c r="C607" s="264"/>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c r="AA607" s="264"/>
      <c r="AB607" s="264"/>
      <c r="AC607" s="264"/>
      <c r="AD607" s="264"/>
      <c r="AE607" s="264"/>
      <c r="AF607" s="264"/>
      <c r="AG607" s="264"/>
      <c r="AH607" s="264"/>
      <c r="AI607" s="264"/>
      <c r="AJ607" s="264"/>
      <c r="AK607" s="264"/>
      <c r="AL607" s="264"/>
      <c r="AM607" s="264"/>
      <c r="AN607" s="264"/>
      <c r="AO607" s="264"/>
      <c r="AP607" s="264"/>
      <c r="AQ607" s="264"/>
      <c r="AR607" s="264"/>
      <c r="AS607" s="264"/>
      <c r="AT607" s="264"/>
      <c r="AU607" s="264"/>
      <c r="AV607" s="264"/>
      <c r="AW607" s="264"/>
      <c r="AX607" s="264"/>
      <c r="AY607" s="264"/>
      <c r="AZ607" s="264"/>
      <c r="BA607" s="264"/>
      <c r="BB607" s="264"/>
      <c r="BC607" s="264"/>
      <c r="BD607" s="264"/>
    </row>
    <row r="608">
      <c r="A608" s="264"/>
      <c r="B608" s="264"/>
      <c r="C608" s="264"/>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c r="AA608" s="264"/>
      <c r="AB608" s="264"/>
      <c r="AC608" s="264"/>
      <c r="AD608" s="264"/>
      <c r="AE608" s="264"/>
      <c r="AF608" s="264"/>
      <c r="AG608" s="264"/>
      <c r="AH608" s="264"/>
      <c r="AI608" s="264"/>
      <c r="AJ608" s="264"/>
      <c r="AK608" s="264"/>
      <c r="AL608" s="264"/>
      <c r="AM608" s="264"/>
      <c r="AN608" s="264"/>
      <c r="AO608" s="264"/>
      <c r="AP608" s="264"/>
      <c r="AQ608" s="264"/>
      <c r="AR608" s="264"/>
      <c r="AS608" s="264"/>
      <c r="AT608" s="264"/>
      <c r="AU608" s="264"/>
      <c r="AV608" s="264"/>
      <c r="AW608" s="264"/>
      <c r="AX608" s="264"/>
      <c r="AY608" s="264"/>
      <c r="AZ608" s="264"/>
      <c r="BA608" s="264"/>
      <c r="BB608" s="264"/>
      <c r="BC608" s="264"/>
      <c r="BD608" s="264"/>
    </row>
    <row r="609">
      <c r="A609" s="264"/>
      <c r="B609" s="264"/>
      <c r="C609" s="264"/>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c r="AA609" s="264"/>
      <c r="AB609" s="264"/>
      <c r="AC609" s="264"/>
      <c r="AD609" s="264"/>
      <c r="AE609" s="264"/>
      <c r="AF609" s="264"/>
      <c r="AG609" s="264"/>
      <c r="AH609" s="264"/>
      <c r="AI609" s="264"/>
      <c r="AJ609" s="264"/>
      <c r="AK609" s="264"/>
      <c r="AL609" s="264"/>
      <c r="AM609" s="264"/>
      <c r="AN609" s="264"/>
      <c r="AO609" s="264"/>
      <c r="AP609" s="264"/>
      <c r="AQ609" s="264"/>
      <c r="AR609" s="264"/>
      <c r="AS609" s="264"/>
      <c r="AT609" s="264"/>
      <c r="AU609" s="264"/>
      <c r="AV609" s="264"/>
      <c r="AW609" s="264"/>
      <c r="AX609" s="264"/>
      <c r="AY609" s="264"/>
      <c r="AZ609" s="264"/>
      <c r="BA609" s="264"/>
      <c r="BB609" s="264"/>
      <c r="BC609" s="264"/>
      <c r="BD609" s="264"/>
    </row>
    <row r="610">
      <c r="A610" s="264"/>
      <c r="B610" s="264"/>
      <c r="C610" s="264"/>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c r="AA610" s="264"/>
      <c r="AB610" s="264"/>
      <c r="AC610" s="264"/>
      <c r="AD610" s="264"/>
      <c r="AE610" s="264"/>
      <c r="AF610" s="264"/>
      <c r="AG610" s="264"/>
      <c r="AH610" s="264"/>
      <c r="AI610" s="264"/>
      <c r="AJ610" s="264"/>
      <c r="AK610" s="264"/>
      <c r="AL610" s="264"/>
      <c r="AM610" s="264"/>
      <c r="AN610" s="264"/>
      <c r="AO610" s="264"/>
      <c r="AP610" s="264"/>
      <c r="AQ610" s="264"/>
      <c r="AR610" s="264"/>
      <c r="AS610" s="264"/>
      <c r="AT610" s="264"/>
      <c r="AU610" s="264"/>
      <c r="AV610" s="264"/>
      <c r="AW610" s="264"/>
      <c r="AX610" s="264"/>
      <c r="AY610" s="264"/>
      <c r="AZ610" s="264"/>
      <c r="BA610" s="264"/>
      <c r="BB610" s="264"/>
      <c r="BC610" s="264"/>
      <c r="BD610" s="264"/>
    </row>
    <row r="611">
      <c r="A611" s="264"/>
      <c r="B611" s="264"/>
      <c r="C611" s="264"/>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c r="AA611" s="264"/>
      <c r="AB611" s="264"/>
      <c r="AC611" s="264"/>
      <c r="AD611" s="264"/>
      <c r="AE611" s="264"/>
      <c r="AF611" s="264"/>
      <c r="AG611" s="264"/>
      <c r="AH611" s="264"/>
      <c r="AI611" s="264"/>
      <c r="AJ611" s="264"/>
      <c r="AK611" s="264"/>
      <c r="AL611" s="264"/>
      <c r="AM611" s="264"/>
      <c r="AN611" s="264"/>
      <c r="AO611" s="264"/>
      <c r="AP611" s="264"/>
      <c r="AQ611" s="264"/>
      <c r="AR611" s="264"/>
      <c r="AS611" s="264"/>
      <c r="AT611" s="264"/>
      <c r="AU611" s="264"/>
      <c r="AV611" s="264"/>
      <c r="AW611" s="264"/>
      <c r="AX611" s="264"/>
      <c r="AY611" s="264"/>
      <c r="AZ611" s="264"/>
      <c r="BA611" s="264"/>
      <c r="BB611" s="264"/>
      <c r="BC611" s="264"/>
      <c r="BD611" s="264"/>
    </row>
    <row r="612">
      <c r="A612" s="264"/>
      <c r="B612" s="264"/>
      <c r="C612" s="264"/>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c r="AA612" s="264"/>
      <c r="AB612" s="264"/>
      <c r="AC612" s="264"/>
      <c r="AD612" s="264"/>
      <c r="AE612" s="264"/>
      <c r="AF612" s="264"/>
      <c r="AG612" s="264"/>
      <c r="AH612" s="264"/>
      <c r="AI612" s="264"/>
      <c r="AJ612" s="264"/>
      <c r="AK612" s="264"/>
      <c r="AL612" s="264"/>
      <c r="AM612" s="264"/>
      <c r="AN612" s="264"/>
      <c r="AO612" s="264"/>
      <c r="AP612" s="264"/>
      <c r="AQ612" s="264"/>
      <c r="AR612" s="264"/>
      <c r="AS612" s="264"/>
      <c r="AT612" s="264"/>
      <c r="AU612" s="264"/>
      <c r="AV612" s="264"/>
      <c r="AW612" s="264"/>
      <c r="AX612" s="264"/>
      <c r="AY612" s="264"/>
      <c r="AZ612" s="264"/>
      <c r="BA612" s="264"/>
      <c r="BB612" s="264"/>
      <c r="BC612" s="264"/>
      <c r="BD612" s="264"/>
    </row>
    <row r="613">
      <c r="A613" s="264"/>
      <c r="B613" s="264"/>
      <c r="C613" s="264"/>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c r="AA613" s="264"/>
      <c r="AB613" s="264"/>
      <c r="AC613" s="264"/>
      <c r="AD613" s="264"/>
      <c r="AE613" s="264"/>
      <c r="AF613" s="264"/>
      <c r="AG613" s="264"/>
      <c r="AH613" s="264"/>
      <c r="AI613" s="264"/>
      <c r="AJ613" s="264"/>
      <c r="AK613" s="264"/>
      <c r="AL613" s="264"/>
      <c r="AM613" s="264"/>
      <c r="AN613" s="264"/>
      <c r="AO613" s="264"/>
      <c r="AP613" s="264"/>
      <c r="AQ613" s="264"/>
      <c r="AR613" s="264"/>
      <c r="AS613" s="264"/>
      <c r="AT613" s="264"/>
      <c r="AU613" s="264"/>
      <c r="AV613" s="264"/>
      <c r="AW613" s="264"/>
      <c r="AX613" s="264"/>
      <c r="AY613" s="264"/>
      <c r="AZ613" s="264"/>
      <c r="BA613" s="264"/>
      <c r="BB613" s="264"/>
      <c r="BC613" s="264"/>
      <c r="BD613" s="264"/>
    </row>
    <row r="614">
      <c r="A614" s="264"/>
      <c r="B614" s="264"/>
      <c r="C614" s="264"/>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c r="AA614" s="264"/>
      <c r="AB614" s="264"/>
      <c r="AC614" s="264"/>
      <c r="AD614" s="264"/>
      <c r="AE614" s="264"/>
      <c r="AF614" s="264"/>
      <c r="AG614" s="264"/>
      <c r="AH614" s="264"/>
      <c r="AI614" s="264"/>
      <c r="AJ614" s="264"/>
      <c r="AK614" s="264"/>
      <c r="AL614" s="264"/>
      <c r="AM614" s="264"/>
      <c r="AN614" s="264"/>
      <c r="AO614" s="264"/>
      <c r="AP614" s="264"/>
      <c r="AQ614" s="264"/>
      <c r="AR614" s="264"/>
      <c r="AS614" s="264"/>
      <c r="AT614" s="264"/>
      <c r="AU614" s="264"/>
      <c r="AV614" s="264"/>
      <c r="AW614" s="264"/>
      <c r="AX614" s="264"/>
      <c r="AY614" s="264"/>
      <c r="AZ614" s="264"/>
      <c r="BA614" s="264"/>
      <c r="BB614" s="264"/>
      <c r="BC614" s="264"/>
      <c r="BD614" s="264"/>
    </row>
    <row r="615">
      <c r="A615" s="264"/>
      <c r="B615" s="264"/>
      <c r="C615" s="264"/>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c r="AA615" s="264"/>
      <c r="AB615" s="264"/>
      <c r="AC615" s="264"/>
      <c r="AD615" s="264"/>
      <c r="AE615" s="264"/>
      <c r="AF615" s="264"/>
      <c r="AG615" s="264"/>
      <c r="AH615" s="264"/>
      <c r="AI615" s="264"/>
      <c r="AJ615" s="264"/>
      <c r="AK615" s="264"/>
      <c r="AL615" s="264"/>
      <c r="AM615" s="264"/>
      <c r="AN615" s="264"/>
      <c r="AO615" s="264"/>
      <c r="AP615" s="264"/>
      <c r="AQ615" s="264"/>
      <c r="AR615" s="264"/>
      <c r="AS615" s="264"/>
      <c r="AT615" s="264"/>
      <c r="AU615" s="264"/>
      <c r="AV615" s="264"/>
      <c r="AW615" s="264"/>
      <c r="AX615" s="264"/>
      <c r="AY615" s="264"/>
      <c r="AZ615" s="264"/>
      <c r="BA615" s="264"/>
      <c r="BB615" s="264"/>
      <c r="BC615" s="264"/>
      <c r="BD615" s="264"/>
    </row>
    <row r="616">
      <c r="A616" s="264"/>
      <c r="B616" s="264"/>
      <c r="C616" s="264"/>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c r="AA616" s="264"/>
      <c r="AB616" s="264"/>
      <c r="AC616" s="264"/>
      <c r="AD616" s="264"/>
      <c r="AE616" s="264"/>
      <c r="AF616" s="264"/>
      <c r="AG616" s="264"/>
      <c r="AH616" s="264"/>
      <c r="AI616" s="264"/>
      <c r="AJ616" s="264"/>
      <c r="AK616" s="264"/>
      <c r="AL616" s="264"/>
      <c r="AM616" s="264"/>
      <c r="AN616" s="264"/>
      <c r="AO616" s="264"/>
      <c r="AP616" s="264"/>
      <c r="AQ616" s="264"/>
      <c r="AR616" s="264"/>
      <c r="AS616" s="264"/>
      <c r="AT616" s="264"/>
      <c r="AU616" s="264"/>
      <c r="AV616" s="264"/>
      <c r="AW616" s="264"/>
      <c r="AX616" s="264"/>
      <c r="AY616" s="264"/>
      <c r="AZ616" s="264"/>
      <c r="BA616" s="264"/>
      <c r="BB616" s="264"/>
      <c r="BC616" s="264"/>
      <c r="BD616" s="264"/>
    </row>
    <row r="617">
      <c r="A617" s="264"/>
      <c r="B617" s="264"/>
      <c r="C617" s="264"/>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c r="AA617" s="264"/>
      <c r="AB617" s="264"/>
      <c r="AC617" s="264"/>
      <c r="AD617" s="264"/>
      <c r="AE617" s="264"/>
      <c r="AF617" s="264"/>
      <c r="AG617" s="264"/>
      <c r="AH617" s="264"/>
      <c r="AI617" s="264"/>
      <c r="AJ617" s="264"/>
      <c r="AK617" s="264"/>
      <c r="AL617" s="264"/>
      <c r="AM617" s="264"/>
      <c r="AN617" s="264"/>
      <c r="AO617" s="264"/>
      <c r="AP617" s="264"/>
      <c r="AQ617" s="264"/>
      <c r="AR617" s="264"/>
      <c r="AS617" s="264"/>
      <c r="AT617" s="264"/>
      <c r="AU617" s="264"/>
      <c r="AV617" s="264"/>
      <c r="AW617" s="264"/>
      <c r="AX617" s="264"/>
      <c r="AY617" s="264"/>
      <c r="AZ617" s="264"/>
      <c r="BA617" s="264"/>
      <c r="BB617" s="264"/>
      <c r="BC617" s="264"/>
      <c r="BD617" s="264"/>
    </row>
    <row r="618">
      <c r="A618" s="264"/>
      <c r="B618" s="264"/>
      <c r="C618" s="264"/>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c r="AA618" s="264"/>
      <c r="AB618" s="264"/>
      <c r="AC618" s="264"/>
      <c r="AD618" s="264"/>
      <c r="AE618" s="264"/>
      <c r="AF618" s="264"/>
      <c r="AG618" s="264"/>
      <c r="AH618" s="264"/>
      <c r="AI618" s="264"/>
      <c r="AJ618" s="264"/>
      <c r="AK618" s="264"/>
      <c r="AL618" s="264"/>
      <c r="AM618" s="264"/>
      <c r="AN618" s="264"/>
      <c r="AO618" s="264"/>
      <c r="AP618" s="264"/>
      <c r="AQ618" s="264"/>
      <c r="AR618" s="264"/>
      <c r="AS618" s="264"/>
      <c r="AT618" s="264"/>
      <c r="AU618" s="264"/>
      <c r="AV618" s="264"/>
      <c r="AW618" s="264"/>
      <c r="AX618" s="264"/>
      <c r="AY618" s="264"/>
      <c r="AZ618" s="264"/>
      <c r="BA618" s="264"/>
      <c r="BB618" s="264"/>
      <c r="BC618" s="264"/>
      <c r="BD618" s="264"/>
    </row>
    <row r="619">
      <c r="A619" s="264"/>
      <c r="B619" s="264"/>
      <c r="C619" s="264"/>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c r="AA619" s="264"/>
      <c r="AB619" s="264"/>
      <c r="AC619" s="264"/>
      <c r="AD619" s="264"/>
      <c r="AE619" s="264"/>
      <c r="AF619" s="264"/>
      <c r="AG619" s="264"/>
      <c r="AH619" s="264"/>
      <c r="AI619" s="264"/>
      <c r="AJ619" s="264"/>
      <c r="AK619" s="264"/>
      <c r="AL619" s="264"/>
      <c r="AM619" s="264"/>
      <c r="AN619" s="264"/>
      <c r="AO619" s="264"/>
      <c r="AP619" s="264"/>
      <c r="AQ619" s="264"/>
      <c r="AR619" s="264"/>
      <c r="AS619" s="264"/>
      <c r="AT619" s="264"/>
      <c r="AU619" s="264"/>
      <c r="AV619" s="264"/>
      <c r="AW619" s="264"/>
      <c r="AX619" s="264"/>
      <c r="AY619" s="264"/>
      <c r="AZ619" s="264"/>
      <c r="BA619" s="264"/>
      <c r="BB619" s="264"/>
      <c r="BC619" s="264"/>
      <c r="BD619" s="264"/>
    </row>
    <row r="620">
      <c r="A620" s="264"/>
      <c r="B620" s="264"/>
      <c r="C620" s="264"/>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c r="AA620" s="264"/>
      <c r="AB620" s="264"/>
      <c r="AC620" s="264"/>
      <c r="AD620" s="264"/>
      <c r="AE620" s="264"/>
      <c r="AF620" s="264"/>
      <c r="AG620" s="264"/>
      <c r="AH620" s="264"/>
      <c r="AI620" s="264"/>
      <c r="AJ620" s="264"/>
      <c r="AK620" s="264"/>
      <c r="AL620" s="264"/>
      <c r="AM620" s="264"/>
      <c r="AN620" s="264"/>
      <c r="AO620" s="264"/>
      <c r="AP620" s="264"/>
      <c r="AQ620" s="264"/>
      <c r="AR620" s="264"/>
      <c r="AS620" s="264"/>
      <c r="AT620" s="264"/>
      <c r="AU620" s="264"/>
      <c r="AV620" s="264"/>
      <c r="AW620" s="264"/>
      <c r="AX620" s="264"/>
      <c r="AY620" s="264"/>
      <c r="AZ620" s="264"/>
      <c r="BA620" s="264"/>
      <c r="BB620" s="264"/>
      <c r="BC620" s="264"/>
      <c r="BD620" s="264"/>
    </row>
    <row r="621">
      <c r="A621" s="264"/>
      <c r="B621" s="264"/>
      <c r="C621" s="264"/>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c r="AA621" s="264"/>
      <c r="AB621" s="264"/>
      <c r="AC621" s="264"/>
      <c r="AD621" s="264"/>
      <c r="AE621" s="264"/>
      <c r="AF621" s="264"/>
      <c r="AG621" s="264"/>
      <c r="AH621" s="264"/>
      <c r="AI621" s="264"/>
      <c r="AJ621" s="264"/>
      <c r="AK621" s="264"/>
      <c r="AL621" s="264"/>
      <c r="AM621" s="264"/>
      <c r="AN621" s="264"/>
      <c r="AO621" s="264"/>
      <c r="AP621" s="264"/>
      <c r="AQ621" s="264"/>
      <c r="AR621" s="264"/>
      <c r="AS621" s="264"/>
      <c r="AT621" s="264"/>
      <c r="AU621" s="264"/>
      <c r="AV621" s="264"/>
      <c r="AW621" s="264"/>
      <c r="AX621" s="264"/>
      <c r="AY621" s="264"/>
      <c r="AZ621" s="264"/>
      <c r="BA621" s="264"/>
      <c r="BB621" s="264"/>
      <c r="BC621" s="264"/>
      <c r="BD621" s="264"/>
    </row>
    <row r="622">
      <c r="A622" s="264"/>
      <c r="B622" s="264"/>
      <c r="C622" s="264"/>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c r="AA622" s="264"/>
      <c r="AB622" s="264"/>
      <c r="AC622" s="264"/>
      <c r="AD622" s="264"/>
      <c r="AE622" s="264"/>
      <c r="AF622" s="264"/>
      <c r="AG622" s="264"/>
      <c r="AH622" s="264"/>
      <c r="AI622" s="264"/>
      <c r="AJ622" s="264"/>
      <c r="AK622" s="264"/>
      <c r="AL622" s="264"/>
      <c r="AM622" s="264"/>
      <c r="AN622" s="264"/>
      <c r="AO622" s="264"/>
      <c r="AP622" s="264"/>
      <c r="AQ622" s="264"/>
      <c r="AR622" s="264"/>
      <c r="AS622" s="264"/>
      <c r="AT622" s="264"/>
      <c r="AU622" s="264"/>
      <c r="AV622" s="264"/>
      <c r="AW622" s="264"/>
      <c r="AX622" s="264"/>
      <c r="AY622" s="264"/>
      <c r="AZ622" s="264"/>
      <c r="BA622" s="264"/>
      <c r="BB622" s="264"/>
      <c r="BC622" s="264"/>
      <c r="BD622" s="264"/>
    </row>
    <row r="623">
      <c r="A623" s="264"/>
      <c r="B623" s="264"/>
      <c r="C623" s="264"/>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c r="AA623" s="264"/>
      <c r="AB623" s="264"/>
      <c r="AC623" s="264"/>
      <c r="AD623" s="264"/>
      <c r="AE623" s="264"/>
      <c r="AF623" s="264"/>
      <c r="AG623" s="264"/>
      <c r="AH623" s="264"/>
      <c r="AI623" s="264"/>
      <c r="AJ623" s="264"/>
      <c r="AK623" s="264"/>
      <c r="AL623" s="264"/>
      <c r="AM623" s="264"/>
      <c r="AN623" s="264"/>
      <c r="AO623" s="264"/>
      <c r="AP623" s="264"/>
      <c r="AQ623" s="264"/>
      <c r="AR623" s="264"/>
      <c r="AS623" s="264"/>
      <c r="AT623" s="264"/>
      <c r="AU623" s="264"/>
      <c r="AV623" s="264"/>
      <c r="AW623" s="264"/>
      <c r="AX623" s="264"/>
      <c r="AY623" s="264"/>
      <c r="AZ623" s="264"/>
      <c r="BA623" s="264"/>
      <c r="BB623" s="264"/>
      <c r="BC623" s="264"/>
      <c r="BD623" s="264"/>
    </row>
    <row r="624">
      <c r="A624" s="264"/>
      <c r="B624" s="264"/>
      <c r="C624" s="264"/>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c r="AA624" s="264"/>
      <c r="AB624" s="264"/>
      <c r="AC624" s="264"/>
      <c r="AD624" s="264"/>
      <c r="AE624" s="264"/>
      <c r="AF624" s="264"/>
      <c r="AG624" s="264"/>
      <c r="AH624" s="264"/>
      <c r="AI624" s="264"/>
      <c r="AJ624" s="264"/>
      <c r="AK624" s="264"/>
      <c r="AL624" s="264"/>
      <c r="AM624" s="264"/>
      <c r="AN624" s="264"/>
      <c r="AO624" s="264"/>
      <c r="AP624" s="264"/>
      <c r="AQ624" s="264"/>
      <c r="AR624" s="264"/>
      <c r="AS624" s="264"/>
      <c r="AT624" s="264"/>
      <c r="AU624" s="264"/>
      <c r="AV624" s="264"/>
      <c r="AW624" s="264"/>
      <c r="AX624" s="264"/>
      <c r="AY624" s="264"/>
      <c r="AZ624" s="264"/>
      <c r="BA624" s="264"/>
      <c r="BB624" s="264"/>
      <c r="BC624" s="264"/>
      <c r="BD624" s="264"/>
    </row>
    <row r="625">
      <c r="A625" s="264"/>
      <c r="B625" s="264"/>
      <c r="C625" s="264"/>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c r="AA625" s="264"/>
      <c r="AB625" s="264"/>
      <c r="AC625" s="264"/>
      <c r="AD625" s="264"/>
      <c r="AE625" s="264"/>
      <c r="AF625" s="264"/>
      <c r="AG625" s="264"/>
      <c r="AH625" s="264"/>
      <c r="AI625" s="264"/>
      <c r="AJ625" s="264"/>
      <c r="AK625" s="264"/>
      <c r="AL625" s="264"/>
      <c r="AM625" s="264"/>
      <c r="AN625" s="264"/>
      <c r="AO625" s="264"/>
      <c r="AP625" s="264"/>
      <c r="AQ625" s="264"/>
      <c r="AR625" s="264"/>
      <c r="AS625" s="264"/>
      <c r="AT625" s="264"/>
      <c r="AU625" s="264"/>
      <c r="AV625" s="264"/>
      <c r="AW625" s="264"/>
      <c r="AX625" s="264"/>
      <c r="AY625" s="264"/>
      <c r="AZ625" s="264"/>
      <c r="BA625" s="264"/>
      <c r="BB625" s="264"/>
      <c r="BC625" s="264"/>
      <c r="BD625" s="264"/>
    </row>
    <row r="626">
      <c r="A626" s="264"/>
      <c r="B626" s="264"/>
      <c r="C626" s="264"/>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c r="AA626" s="264"/>
      <c r="AB626" s="264"/>
      <c r="AC626" s="264"/>
      <c r="AD626" s="264"/>
      <c r="AE626" s="264"/>
      <c r="AF626" s="264"/>
      <c r="AG626" s="264"/>
      <c r="AH626" s="264"/>
      <c r="AI626" s="264"/>
      <c r="AJ626" s="264"/>
      <c r="AK626" s="264"/>
      <c r="AL626" s="264"/>
      <c r="AM626" s="264"/>
      <c r="AN626" s="264"/>
      <c r="AO626" s="264"/>
      <c r="AP626" s="264"/>
      <c r="AQ626" s="264"/>
      <c r="AR626" s="264"/>
      <c r="AS626" s="264"/>
      <c r="AT626" s="264"/>
      <c r="AU626" s="264"/>
      <c r="AV626" s="264"/>
      <c r="AW626" s="264"/>
      <c r="AX626" s="264"/>
      <c r="AY626" s="264"/>
      <c r="AZ626" s="264"/>
      <c r="BA626" s="264"/>
      <c r="BB626" s="264"/>
      <c r="BC626" s="264"/>
      <c r="BD626" s="264"/>
    </row>
    <row r="627">
      <c r="A627" s="264"/>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4"/>
      <c r="AL627" s="264"/>
      <c r="AM627" s="264"/>
      <c r="AN627" s="264"/>
      <c r="AO627" s="264"/>
      <c r="AP627" s="264"/>
      <c r="AQ627" s="264"/>
      <c r="AR627" s="264"/>
      <c r="AS627" s="264"/>
      <c r="AT627" s="264"/>
      <c r="AU627" s="264"/>
      <c r="AV627" s="264"/>
      <c r="AW627" s="264"/>
      <c r="AX627" s="264"/>
      <c r="AY627" s="264"/>
      <c r="AZ627" s="264"/>
      <c r="BA627" s="264"/>
      <c r="BB627" s="264"/>
      <c r="BC627" s="264"/>
      <c r="BD627" s="264"/>
    </row>
    <row r="628">
      <c r="A628" s="264"/>
      <c r="B628" s="264"/>
      <c r="C628" s="264"/>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c r="AA628" s="264"/>
      <c r="AB628" s="264"/>
      <c r="AC628" s="264"/>
      <c r="AD628" s="264"/>
      <c r="AE628" s="264"/>
      <c r="AF628" s="264"/>
      <c r="AG628" s="264"/>
      <c r="AH628" s="264"/>
      <c r="AI628" s="264"/>
      <c r="AJ628" s="264"/>
      <c r="AK628" s="264"/>
      <c r="AL628" s="264"/>
      <c r="AM628" s="264"/>
      <c r="AN628" s="264"/>
      <c r="AO628" s="264"/>
      <c r="AP628" s="264"/>
      <c r="AQ628" s="264"/>
      <c r="AR628" s="264"/>
      <c r="AS628" s="264"/>
      <c r="AT628" s="264"/>
      <c r="AU628" s="264"/>
      <c r="AV628" s="264"/>
      <c r="AW628" s="264"/>
      <c r="AX628" s="264"/>
      <c r="AY628" s="264"/>
      <c r="AZ628" s="264"/>
      <c r="BA628" s="264"/>
      <c r="BB628" s="264"/>
      <c r="BC628" s="264"/>
      <c r="BD628" s="264"/>
    </row>
    <row r="629">
      <c r="A629" s="264"/>
      <c r="B629" s="264"/>
      <c r="C629" s="264"/>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c r="AA629" s="264"/>
      <c r="AB629" s="264"/>
      <c r="AC629" s="264"/>
      <c r="AD629" s="264"/>
      <c r="AE629" s="264"/>
      <c r="AF629" s="264"/>
      <c r="AG629" s="264"/>
      <c r="AH629" s="264"/>
      <c r="AI629" s="264"/>
      <c r="AJ629" s="264"/>
      <c r="AK629" s="264"/>
      <c r="AL629" s="264"/>
      <c r="AM629" s="264"/>
      <c r="AN629" s="264"/>
      <c r="AO629" s="264"/>
      <c r="AP629" s="264"/>
      <c r="AQ629" s="264"/>
      <c r="AR629" s="264"/>
      <c r="AS629" s="264"/>
      <c r="AT629" s="264"/>
      <c r="AU629" s="264"/>
      <c r="AV629" s="264"/>
      <c r="AW629" s="264"/>
      <c r="AX629" s="264"/>
      <c r="AY629" s="264"/>
      <c r="AZ629" s="264"/>
      <c r="BA629" s="264"/>
      <c r="BB629" s="264"/>
      <c r="BC629" s="264"/>
      <c r="BD629" s="264"/>
    </row>
    <row r="630">
      <c r="A630" s="264"/>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c r="AA630" s="264"/>
      <c r="AB630" s="264"/>
      <c r="AC630" s="264"/>
      <c r="AD630" s="264"/>
      <c r="AE630" s="264"/>
      <c r="AF630" s="264"/>
      <c r="AG630" s="264"/>
      <c r="AH630" s="264"/>
      <c r="AI630" s="264"/>
      <c r="AJ630" s="264"/>
      <c r="AK630" s="264"/>
      <c r="AL630" s="264"/>
      <c r="AM630" s="264"/>
      <c r="AN630" s="264"/>
      <c r="AO630" s="264"/>
      <c r="AP630" s="264"/>
      <c r="AQ630" s="264"/>
      <c r="AR630" s="264"/>
      <c r="AS630" s="264"/>
      <c r="AT630" s="264"/>
      <c r="AU630" s="264"/>
      <c r="AV630" s="264"/>
      <c r="AW630" s="264"/>
      <c r="AX630" s="264"/>
      <c r="AY630" s="264"/>
      <c r="AZ630" s="264"/>
      <c r="BA630" s="264"/>
      <c r="BB630" s="264"/>
      <c r="BC630" s="264"/>
      <c r="BD630" s="264"/>
    </row>
    <row r="631">
      <c r="A631" s="264"/>
      <c r="B631" s="264"/>
      <c r="C631" s="264"/>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c r="AA631" s="264"/>
      <c r="AB631" s="264"/>
      <c r="AC631" s="264"/>
      <c r="AD631" s="264"/>
      <c r="AE631" s="264"/>
      <c r="AF631" s="264"/>
      <c r="AG631" s="264"/>
      <c r="AH631" s="264"/>
      <c r="AI631" s="264"/>
      <c r="AJ631" s="264"/>
      <c r="AK631" s="264"/>
      <c r="AL631" s="264"/>
      <c r="AM631" s="264"/>
      <c r="AN631" s="264"/>
      <c r="AO631" s="264"/>
      <c r="AP631" s="264"/>
      <c r="AQ631" s="264"/>
      <c r="AR631" s="264"/>
      <c r="AS631" s="264"/>
      <c r="AT631" s="264"/>
      <c r="AU631" s="264"/>
      <c r="AV631" s="264"/>
      <c r="AW631" s="264"/>
      <c r="AX631" s="264"/>
      <c r="AY631" s="264"/>
      <c r="AZ631" s="264"/>
      <c r="BA631" s="264"/>
      <c r="BB631" s="264"/>
      <c r="BC631" s="264"/>
      <c r="BD631" s="264"/>
    </row>
    <row r="632">
      <c r="A632" s="264"/>
      <c r="B632" s="264"/>
      <c r="C632" s="264"/>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c r="AA632" s="264"/>
      <c r="AB632" s="264"/>
      <c r="AC632" s="264"/>
      <c r="AD632" s="264"/>
      <c r="AE632" s="264"/>
      <c r="AF632" s="264"/>
      <c r="AG632" s="264"/>
      <c r="AH632" s="264"/>
      <c r="AI632" s="264"/>
      <c r="AJ632" s="264"/>
      <c r="AK632" s="264"/>
      <c r="AL632" s="264"/>
      <c r="AM632" s="264"/>
      <c r="AN632" s="264"/>
      <c r="AO632" s="264"/>
      <c r="AP632" s="264"/>
      <c r="AQ632" s="264"/>
      <c r="AR632" s="264"/>
      <c r="AS632" s="264"/>
      <c r="AT632" s="264"/>
      <c r="AU632" s="264"/>
      <c r="AV632" s="264"/>
      <c r="AW632" s="264"/>
      <c r="AX632" s="264"/>
      <c r="AY632" s="264"/>
      <c r="AZ632" s="264"/>
      <c r="BA632" s="264"/>
      <c r="BB632" s="264"/>
      <c r="BC632" s="264"/>
      <c r="BD632" s="264"/>
    </row>
    <row r="633">
      <c r="A633" s="264"/>
      <c r="B633" s="264"/>
      <c r="C633" s="264"/>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c r="AA633" s="264"/>
      <c r="AB633" s="264"/>
      <c r="AC633" s="264"/>
      <c r="AD633" s="264"/>
      <c r="AE633" s="264"/>
      <c r="AF633" s="264"/>
      <c r="AG633" s="264"/>
      <c r="AH633" s="264"/>
      <c r="AI633" s="264"/>
      <c r="AJ633" s="264"/>
      <c r="AK633" s="264"/>
      <c r="AL633" s="264"/>
      <c r="AM633" s="264"/>
      <c r="AN633" s="264"/>
      <c r="AO633" s="264"/>
      <c r="AP633" s="264"/>
      <c r="AQ633" s="264"/>
      <c r="AR633" s="264"/>
      <c r="AS633" s="264"/>
      <c r="AT633" s="264"/>
      <c r="AU633" s="264"/>
      <c r="AV633" s="264"/>
      <c r="AW633" s="264"/>
      <c r="AX633" s="264"/>
      <c r="AY633" s="264"/>
      <c r="AZ633" s="264"/>
      <c r="BA633" s="264"/>
      <c r="BB633" s="264"/>
      <c r="BC633" s="264"/>
      <c r="BD633" s="264"/>
    </row>
    <row r="634">
      <c r="A634" s="264"/>
      <c r="B634" s="264"/>
      <c r="C634" s="264"/>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c r="AA634" s="264"/>
      <c r="AB634" s="264"/>
      <c r="AC634" s="264"/>
      <c r="AD634" s="264"/>
      <c r="AE634" s="264"/>
      <c r="AF634" s="264"/>
      <c r="AG634" s="264"/>
      <c r="AH634" s="264"/>
      <c r="AI634" s="264"/>
      <c r="AJ634" s="264"/>
      <c r="AK634" s="264"/>
      <c r="AL634" s="264"/>
      <c r="AM634" s="264"/>
      <c r="AN634" s="264"/>
      <c r="AO634" s="264"/>
      <c r="AP634" s="264"/>
      <c r="AQ634" s="264"/>
      <c r="AR634" s="264"/>
      <c r="AS634" s="264"/>
      <c r="AT634" s="264"/>
      <c r="AU634" s="264"/>
      <c r="AV634" s="264"/>
      <c r="AW634" s="264"/>
      <c r="AX634" s="264"/>
      <c r="AY634" s="264"/>
      <c r="AZ634" s="264"/>
      <c r="BA634" s="264"/>
      <c r="BB634" s="264"/>
      <c r="BC634" s="264"/>
      <c r="BD634" s="264"/>
    </row>
    <row r="635">
      <c r="A635" s="264"/>
      <c r="B635" s="264"/>
      <c r="C635" s="264"/>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c r="AA635" s="264"/>
      <c r="AB635" s="264"/>
      <c r="AC635" s="264"/>
      <c r="AD635" s="264"/>
      <c r="AE635" s="264"/>
      <c r="AF635" s="264"/>
      <c r="AG635" s="264"/>
      <c r="AH635" s="264"/>
      <c r="AI635" s="264"/>
      <c r="AJ635" s="264"/>
      <c r="AK635" s="264"/>
      <c r="AL635" s="264"/>
      <c r="AM635" s="264"/>
      <c r="AN635" s="264"/>
      <c r="AO635" s="264"/>
      <c r="AP635" s="264"/>
      <c r="AQ635" s="264"/>
      <c r="AR635" s="264"/>
      <c r="AS635" s="264"/>
      <c r="AT635" s="264"/>
      <c r="AU635" s="264"/>
      <c r="AV635" s="264"/>
      <c r="AW635" s="264"/>
      <c r="AX635" s="264"/>
      <c r="AY635" s="264"/>
      <c r="AZ635" s="264"/>
      <c r="BA635" s="264"/>
      <c r="BB635" s="264"/>
      <c r="BC635" s="264"/>
      <c r="BD635" s="264"/>
    </row>
    <row r="636">
      <c r="A636" s="264"/>
      <c r="B636" s="264"/>
      <c r="C636" s="264"/>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c r="AA636" s="264"/>
      <c r="AB636" s="264"/>
      <c r="AC636" s="264"/>
      <c r="AD636" s="264"/>
      <c r="AE636" s="264"/>
      <c r="AF636" s="264"/>
      <c r="AG636" s="264"/>
      <c r="AH636" s="264"/>
      <c r="AI636" s="264"/>
      <c r="AJ636" s="264"/>
      <c r="AK636" s="264"/>
      <c r="AL636" s="264"/>
      <c r="AM636" s="264"/>
      <c r="AN636" s="264"/>
      <c r="AO636" s="264"/>
      <c r="AP636" s="264"/>
      <c r="AQ636" s="264"/>
      <c r="AR636" s="264"/>
      <c r="AS636" s="264"/>
      <c r="AT636" s="264"/>
      <c r="AU636" s="264"/>
      <c r="AV636" s="264"/>
      <c r="AW636" s="264"/>
      <c r="AX636" s="264"/>
      <c r="AY636" s="264"/>
      <c r="AZ636" s="264"/>
      <c r="BA636" s="264"/>
      <c r="BB636" s="264"/>
      <c r="BC636" s="264"/>
      <c r="BD636" s="264"/>
    </row>
    <row r="637">
      <c r="A637" s="264"/>
      <c r="B637" s="264"/>
      <c r="C637" s="264"/>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c r="AA637" s="264"/>
      <c r="AB637" s="264"/>
      <c r="AC637" s="264"/>
      <c r="AD637" s="264"/>
      <c r="AE637" s="264"/>
      <c r="AF637" s="264"/>
      <c r="AG637" s="264"/>
      <c r="AH637" s="264"/>
      <c r="AI637" s="264"/>
      <c r="AJ637" s="264"/>
      <c r="AK637" s="264"/>
      <c r="AL637" s="264"/>
      <c r="AM637" s="264"/>
      <c r="AN637" s="264"/>
      <c r="AO637" s="264"/>
      <c r="AP637" s="264"/>
      <c r="AQ637" s="264"/>
      <c r="AR637" s="264"/>
      <c r="AS637" s="264"/>
      <c r="AT637" s="264"/>
      <c r="AU637" s="264"/>
      <c r="AV637" s="264"/>
      <c r="AW637" s="264"/>
      <c r="AX637" s="264"/>
      <c r="AY637" s="264"/>
      <c r="AZ637" s="264"/>
      <c r="BA637" s="264"/>
      <c r="BB637" s="264"/>
      <c r="BC637" s="264"/>
      <c r="BD637" s="264"/>
    </row>
    <row r="638">
      <c r="A638" s="264"/>
      <c r="B638" s="264"/>
      <c r="C638" s="264"/>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c r="AA638" s="264"/>
      <c r="AB638" s="264"/>
      <c r="AC638" s="264"/>
      <c r="AD638" s="264"/>
      <c r="AE638" s="264"/>
      <c r="AF638" s="264"/>
      <c r="AG638" s="264"/>
      <c r="AH638" s="264"/>
      <c r="AI638" s="264"/>
      <c r="AJ638" s="264"/>
      <c r="AK638" s="264"/>
      <c r="AL638" s="264"/>
      <c r="AM638" s="264"/>
      <c r="AN638" s="264"/>
      <c r="AO638" s="264"/>
      <c r="AP638" s="264"/>
      <c r="AQ638" s="264"/>
      <c r="AR638" s="264"/>
      <c r="AS638" s="264"/>
      <c r="AT638" s="264"/>
      <c r="AU638" s="264"/>
      <c r="AV638" s="264"/>
      <c r="AW638" s="264"/>
      <c r="AX638" s="264"/>
      <c r="AY638" s="264"/>
      <c r="AZ638" s="264"/>
      <c r="BA638" s="264"/>
      <c r="BB638" s="264"/>
      <c r="BC638" s="264"/>
      <c r="BD638" s="264"/>
    </row>
    <row r="639">
      <c r="A639" s="264"/>
      <c r="B639" s="264"/>
      <c r="C639" s="264"/>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c r="AA639" s="264"/>
      <c r="AB639" s="264"/>
      <c r="AC639" s="264"/>
      <c r="AD639" s="264"/>
      <c r="AE639" s="264"/>
      <c r="AF639" s="264"/>
      <c r="AG639" s="264"/>
      <c r="AH639" s="264"/>
      <c r="AI639" s="264"/>
      <c r="AJ639" s="264"/>
      <c r="AK639" s="264"/>
      <c r="AL639" s="264"/>
      <c r="AM639" s="264"/>
      <c r="AN639" s="264"/>
      <c r="AO639" s="264"/>
      <c r="AP639" s="264"/>
      <c r="AQ639" s="264"/>
      <c r="AR639" s="264"/>
      <c r="AS639" s="264"/>
      <c r="AT639" s="264"/>
      <c r="AU639" s="264"/>
      <c r="AV639" s="264"/>
      <c r="AW639" s="264"/>
      <c r="AX639" s="264"/>
      <c r="AY639" s="264"/>
      <c r="AZ639" s="264"/>
      <c r="BA639" s="264"/>
      <c r="BB639" s="264"/>
      <c r="BC639" s="264"/>
      <c r="BD639" s="264"/>
    </row>
    <row r="640">
      <c r="A640" s="264"/>
      <c r="B640" s="264"/>
      <c r="C640" s="264"/>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c r="AA640" s="264"/>
      <c r="AB640" s="264"/>
      <c r="AC640" s="264"/>
      <c r="AD640" s="264"/>
      <c r="AE640" s="264"/>
      <c r="AF640" s="264"/>
      <c r="AG640" s="264"/>
      <c r="AH640" s="264"/>
      <c r="AI640" s="264"/>
      <c r="AJ640" s="264"/>
      <c r="AK640" s="264"/>
      <c r="AL640" s="264"/>
      <c r="AM640" s="264"/>
      <c r="AN640" s="264"/>
      <c r="AO640" s="264"/>
      <c r="AP640" s="264"/>
      <c r="AQ640" s="264"/>
      <c r="AR640" s="264"/>
      <c r="AS640" s="264"/>
      <c r="AT640" s="264"/>
      <c r="AU640" s="264"/>
      <c r="AV640" s="264"/>
      <c r="AW640" s="264"/>
      <c r="AX640" s="264"/>
      <c r="AY640" s="264"/>
      <c r="AZ640" s="264"/>
      <c r="BA640" s="264"/>
      <c r="BB640" s="264"/>
      <c r="BC640" s="264"/>
      <c r="BD640" s="264"/>
    </row>
    <row r="641">
      <c r="A641" s="264"/>
      <c r="B641" s="264"/>
      <c r="C641" s="264"/>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c r="AA641" s="264"/>
      <c r="AB641" s="264"/>
      <c r="AC641" s="264"/>
      <c r="AD641" s="264"/>
      <c r="AE641" s="264"/>
      <c r="AF641" s="264"/>
      <c r="AG641" s="264"/>
      <c r="AH641" s="264"/>
      <c r="AI641" s="264"/>
      <c r="AJ641" s="264"/>
      <c r="AK641" s="264"/>
      <c r="AL641" s="264"/>
      <c r="AM641" s="264"/>
      <c r="AN641" s="264"/>
      <c r="AO641" s="264"/>
      <c r="AP641" s="264"/>
      <c r="AQ641" s="264"/>
      <c r="AR641" s="264"/>
      <c r="AS641" s="264"/>
      <c r="AT641" s="264"/>
      <c r="AU641" s="264"/>
      <c r="AV641" s="264"/>
      <c r="AW641" s="264"/>
      <c r="AX641" s="264"/>
      <c r="AY641" s="264"/>
      <c r="AZ641" s="264"/>
      <c r="BA641" s="264"/>
      <c r="BB641" s="264"/>
      <c r="BC641" s="264"/>
      <c r="BD641" s="264"/>
    </row>
    <row r="642">
      <c r="A642" s="264"/>
      <c r="B642" s="264"/>
      <c r="C642" s="264"/>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c r="AA642" s="264"/>
      <c r="AB642" s="264"/>
      <c r="AC642" s="264"/>
      <c r="AD642" s="264"/>
      <c r="AE642" s="264"/>
      <c r="AF642" s="264"/>
      <c r="AG642" s="264"/>
      <c r="AH642" s="264"/>
      <c r="AI642" s="264"/>
      <c r="AJ642" s="264"/>
      <c r="AK642" s="264"/>
      <c r="AL642" s="264"/>
      <c r="AM642" s="264"/>
      <c r="AN642" s="264"/>
      <c r="AO642" s="264"/>
      <c r="AP642" s="264"/>
      <c r="AQ642" s="264"/>
      <c r="AR642" s="264"/>
      <c r="AS642" s="264"/>
      <c r="AT642" s="264"/>
      <c r="AU642" s="264"/>
      <c r="AV642" s="264"/>
      <c r="AW642" s="264"/>
      <c r="AX642" s="264"/>
      <c r="AY642" s="264"/>
      <c r="AZ642" s="264"/>
      <c r="BA642" s="264"/>
      <c r="BB642" s="264"/>
      <c r="BC642" s="264"/>
      <c r="BD642" s="264"/>
    </row>
    <row r="643">
      <c r="A643" s="264"/>
      <c r="B643" s="264"/>
      <c r="C643" s="264"/>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c r="AA643" s="264"/>
      <c r="AB643" s="264"/>
      <c r="AC643" s="264"/>
      <c r="AD643" s="264"/>
      <c r="AE643" s="264"/>
      <c r="AF643" s="264"/>
      <c r="AG643" s="264"/>
      <c r="AH643" s="264"/>
      <c r="AI643" s="264"/>
      <c r="AJ643" s="264"/>
      <c r="AK643" s="264"/>
      <c r="AL643" s="264"/>
      <c r="AM643" s="264"/>
      <c r="AN643" s="264"/>
      <c r="AO643" s="264"/>
      <c r="AP643" s="264"/>
      <c r="AQ643" s="264"/>
      <c r="AR643" s="264"/>
      <c r="AS643" s="264"/>
      <c r="AT643" s="264"/>
      <c r="AU643" s="264"/>
      <c r="AV643" s="264"/>
      <c r="AW643" s="264"/>
      <c r="AX643" s="264"/>
      <c r="AY643" s="264"/>
      <c r="AZ643" s="264"/>
      <c r="BA643" s="264"/>
      <c r="BB643" s="264"/>
      <c r="BC643" s="264"/>
      <c r="BD643" s="264"/>
    </row>
    <row r="644">
      <c r="A644" s="264"/>
      <c r="B644" s="264"/>
      <c r="C644" s="264"/>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c r="AA644" s="264"/>
      <c r="AB644" s="264"/>
      <c r="AC644" s="264"/>
      <c r="AD644" s="264"/>
      <c r="AE644" s="264"/>
      <c r="AF644" s="264"/>
      <c r="AG644" s="264"/>
      <c r="AH644" s="264"/>
      <c r="AI644" s="264"/>
      <c r="AJ644" s="264"/>
      <c r="AK644" s="264"/>
      <c r="AL644" s="264"/>
      <c r="AM644" s="264"/>
      <c r="AN644" s="264"/>
      <c r="AO644" s="264"/>
      <c r="AP644" s="264"/>
      <c r="AQ644" s="264"/>
      <c r="AR644" s="264"/>
      <c r="AS644" s="264"/>
      <c r="AT644" s="264"/>
      <c r="AU644" s="264"/>
      <c r="AV644" s="264"/>
      <c r="AW644" s="264"/>
      <c r="AX644" s="264"/>
      <c r="AY644" s="264"/>
      <c r="AZ644" s="264"/>
      <c r="BA644" s="264"/>
      <c r="BB644" s="264"/>
      <c r="BC644" s="264"/>
      <c r="BD644" s="264"/>
    </row>
    <row r="645">
      <c r="A645" s="264"/>
      <c r="B645" s="264"/>
      <c r="C645" s="264"/>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c r="AA645" s="264"/>
      <c r="AB645" s="264"/>
      <c r="AC645" s="264"/>
      <c r="AD645" s="264"/>
      <c r="AE645" s="264"/>
      <c r="AF645" s="264"/>
      <c r="AG645" s="264"/>
      <c r="AH645" s="264"/>
      <c r="AI645" s="264"/>
      <c r="AJ645" s="264"/>
      <c r="AK645" s="264"/>
      <c r="AL645" s="264"/>
      <c r="AM645" s="264"/>
      <c r="AN645" s="264"/>
      <c r="AO645" s="264"/>
      <c r="AP645" s="264"/>
      <c r="AQ645" s="264"/>
      <c r="AR645" s="264"/>
      <c r="AS645" s="264"/>
      <c r="AT645" s="264"/>
      <c r="AU645" s="264"/>
      <c r="AV645" s="264"/>
      <c r="AW645" s="264"/>
      <c r="AX645" s="264"/>
      <c r="AY645" s="264"/>
      <c r="AZ645" s="264"/>
      <c r="BA645" s="264"/>
      <c r="BB645" s="264"/>
      <c r="BC645" s="264"/>
      <c r="BD645" s="264"/>
    </row>
    <row r="646">
      <c r="A646" s="264"/>
      <c r="B646" s="264"/>
      <c r="C646" s="264"/>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c r="AA646" s="264"/>
      <c r="AB646" s="264"/>
      <c r="AC646" s="264"/>
      <c r="AD646" s="264"/>
      <c r="AE646" s="264"/>
      <c r="AF646" s="264"/>
      <c r="AG646" s="264"/>
      <c r="AH646" s="264"/>
      <c r="AI646" s="264"/>
      <c r="AJ646" s="264"/>
      <c r="AK646" s="264"/>
      <c r="AL646" s="264"/>
      <c r="AM646" s="264"/>
      <c r="AN646" s="264"/>
      <c r="AO646" s="264"/>
      <c r="AP646" s="264"/>
      <c r="AQ646" s="264"/>
      <c r="AR646" s="264"/>
      <c r="AS646" s="264"/>
      <c r="AT646" s="264"/>
      <c r="AU646" s="264"/>
      <c r="AV646" s="264"/>
      <c r="AW646" s="264"/>
      <c r="AX646" s="264"/>
      <c r="AY646" s="264"/>
      <c r="AZ646" s="264"/>
      <c r="BA646" s="264"/>
      <c r="BB646" s="264"/>
      <c r="BC646" s="264"/>
      <c r="BD646" s="264"/>
    </row>
    <row r="647">
      <c r="A647" s="264"/>
      <c r="B647" s="264"/>
      <c r="C647" s="264"/>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c r="AA647" s="264"/>
      <c r="AB647" s="264"/>
      <c r="AC647" s="264"/>
      <c r="AD647" s="264"/>
      <c r="AE647" s="264"/>
      <c r="AF647" s="264"/>
      <c r="AG647" s="264"/>
      <c r="AH647" s="264"/>
      <c r="AI647" s="264"/>
      <c r="AJ647" s="264"/>
      <c r="AK647" s="264"/>
      <c r="AL647" s="264"/>
      <c r="AM647" s="264"/>
      <c r="AN647" s="264"/>
      <c r="AO647" s="264"/>
      <c r="AP647" s="264"/>
      <c r="AQ647" s="264"/>
      <c r="AR647" s="264"/>
      <c r="AS647" s="264"/>
      <c r="AT647" s="264"/>
      <c r="AU647" s="264"/>
      <c r="AV647" s="264"/>
      <c r="AW647" s="264"/>
      <c r="AX647" s="264"/>
      <c r="AY647" s="264"/>
      <c r="AZ647" s="264"/>
      <c r="BA647" s="264"/>
      <c r="BB647" s="264"/>
      <c r="BC647" s="264"/>
      <c r="BD647" s="264"/>
    </row>
    <row r="648">
      <c r="A648" s="264"/>
      <c r="B648" s="264"/>
      <c r="C648" s="264"/>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c r="AA648" s="264"/>
      <c r="AB648" s="264"/>
      <c r="AC648" s="264"/>
      <c r="AD648" s="264"/>
      <c r="AE648" s="264"/>
      <c r="AF648" s="264"/>
      <c r="AG648" s="264"/>
      <c r="AH648" s="264"/>
      <c r="AI648" s="264"/>
      <c r="AJ648" s="264"/>
      <c r="AK648" s="264"/>
      <c r="AL648" s="264"/>
      <c r="AM648" s="264"/>
      <c r="AN648" s="264"/>
      <c r="AO648" s="264"/>
      <c r="AP648" s="264"/>
      <c r="AQ648" s="264"/>
      <c r="AR648" s="264"/>
      <c r="AS648" s="264"/>
      <c r="AT648" s="264"/>
      <c r="AU648" s="264"/>
      <c r="AV648" s="264"/>
      <c r="AW648" s="264"/>
      <c r="AX648" s="264"/>
      <c r="AY648" s="264"/>
      <c r="AZ648" s="264"/>
      <c r="BA648" s="264"/>
      <c r="BB648" s="264"/>
      <c r="BC648" s="264"/>
      <c r="BD648" s="264"/>
    </row>
    <row r="649">
      <c r="A649" s="264"/>
      <c r="B649" s="264"/>
      <c r="C649" s="264"/>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c r="AA649" s="264"/>
      <c r="AB649" s="264"/>
      <c r="AC649" s="264"/>
      <c r="AD649" s="264"/>
      <c r="AE649" s="264"/>
      <c r="AF649" s="264"/>
      <c r="AG649" s="264"/>
      <c r="AH649" s="264"/>
      <c r="AI649" s="264"/>
      <c r="AJ649" s="264"/>
      <c r="AK649" s="264"/>
      <c r="AL649" s="264"/>
      <c r="AM649" s="264"/>
      <c r="AN649" s="264"/>
      <c r="AO649" s="264"/>
      <c r="AP649" s="264"/>
      <c r="AQ649" s="264"/>
      <c r="AR649" s="264"/>
      <c r="AS649" s="264"/>
      <c r="AT649" s="264"/>
      <c r="AU649" s="264"/>
      <c r="AV649" s="264"/>
      <c r="AW649" s="264"/>
      <c r="AX649" s="264"/>
      <c r="AY649" s="264"/>
      <c r="AZ649" s="264"/>
      <c r="BA649" s="264"/>
      <c r="BB649" s="264"/>
      <c r="BC649" s="264"/>
      <c r="BD649" s="264"/>
    </row>
    <row r="650">
      <c r="A650" s="264"/>
      <c r="B650" s="264"/>
      <c r="C650" s="264"/>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c r="AA650" s="264"/>
      <c r="AB650" s="264"/>
      <c r="AC650" s="264"/>
      <c r="AD650" s="264"/>
      <c r="AE650" s="264"/>
      <c r="AF650" s="264"/>
      <c r="AG650" s="264"/>
      <c r="AH650" s="264"/>
      <c r="AI650" s="264"/>
      <c r="AJ650" s="264"/>
      <c r="AK650" s="264"/>
      <c r="AL650" s="264"/>
      <c r="AM650" s="264"/>
      <c r="AN650" s="264"/>
      <c r="AO650" s="264"/>
      <c r="AP650" s="264"/>
      <c r="AQ650" s="264"/>
      <c r="AR650" s="264"/>
      <c r="AS650" s="264"/>
      <c r="AT650" s="264"/>
      <c r="AU650" s="264"/>
      <c r="AV650" s="264"/>
      <c r="AW650" s="264"/>
      <c r="AX650" s="264"/>
      <c r="AY650" s="264"/>
      <c r="AZ650" s="264"/>
      <c r="BA650" s="264"/>
      <c r="BB650" s="264"/>
      <c r="BC650" s="264"/>
      <c r="BD650" s="264"/>
    </row>
    <row r="651">
      <c r="A651" s="264"/>
      <c r="B651" s="264"/>
      <c r="C651" s="264"/>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c r="AA651" s="264"/>
      <c r="AB651" s="264"/>
      <c r="AC651" s="264"/>
      <c r="AD651" s="264"/>
      <c r="AE651" s="264"/>
      <c r="AF651" s="264"/>
      <c r="AG651" s="264"/>
      <c r="AH651" s="264"/>
      <c r="AI651" s="264"/>
      <c r="AJ651" s="264"/>
      <c r="AK651" s="264"/>
      <c r="AL651" s="264"/>
      <c r="AM651" s="264"/>
      <c r="AN651" s="264"/>
      <c r="AO651" s="264"/>
      <c r="AP651" s="264"/>
      <c r="AQ651" s="264"/>
      <c r="AR651" s="264"/>
      <c r="AS651" s="264"/>
      <c r="AT651" s="264"/>
      <c r="AU651" s="264"/>
      <c r="AV651" s="264"/>
      <c r="AW651" s="264"/>
      <c r="AX651" s="264"/>
      <c r="AY651" s="264"/>
      <c r="AZ651" s="264"/>
      <c r="BA651" s="264"/>
      <c r="BB651" s="264"/>
      <c r="BC651" s="264"/>
      <c r="BD651" s="264"/>
    </row>
    <row r="652">
      <c r="A652" s="264"/>
      <c r="B652" s="264"/>
      <c r="C652" s="264"/>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c r="AA652" s="264"/>
      <c r="AB652" s="264"/>
      <c r="AC652" s="264"/>
      <c r="AD652" s="264"/>
      <c r="AE652" s="264"/>
      <c r="AF652" s="264"/>
      <c r="AG652" s="264"/>
      <c r="AH652" s="264"/>
      <c r="AI652" s="264"/>
      <c r="AJ652" s="264"/>
      <c r="AK652" s="264"/>
      <c r="AL652" s="264"/>
      <c r="AM652" s="264"/>
      <c r="AN652" s="264"/>
      <c r="AO652" s="264"/>
      <c r="AP652" s="264"/>
      <c r="AQ652" s="264"/>
      <c r="AR652" s="264"/>
      <c r="AS652" s="264"/>
      <c r="AT652" s="264"/>
      <c r="AU652" s="264"/>
      <c r="AV652" s="264"/>
      <c r="AW652" s="264"/>
      <c r="AX652" s="264"/>
      <c r="AY652" s="264"/>
      <c r="AZ652" s="264"/>
      <c r="BA652" s="264"/>
      <c r="BB652" s="264"/>
      <c r="BC652" s="264"/>
      <c r="BD652" s="264"/>
    </row>
    <row r="653">
      <c r="A653" s="264"/>
      <c r="B653" s="264"/>
      <c r="C653" s="264"/>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c r="AA653" s="264"/>
      <c r="AB653" s="264"/>
      <c r="AC653" s="264"/>
      <c r="AD653" s="264"/>
      <c r="AE653" s="264"/>
      <c r="AF653" s="264"/>
      <c r="AG653" s="264"/>
      <c r="AH653" s="264"/>
      <c r="AI653" s="264"/>
      <c r="AJ653" s="264"/>
      <c r="AK653" s="264"/>
      <c r="AL653" s="264"/>
      <c r="AM653" s="264"/>
      <c r="AN653" s="264"/>
      <c r="AO653" s="264"/>
      <c r="AP653" s="264"/>
      <c r="AQ653" s="264"/>
      <c r="AR653" s="264"/>
      <c r="AS653" s="264"/>
      <c r="AT653" s="264"/>
      <c r="AU653" s="264"/>
      <c r="AV653" s="264"/>
      <c r="AW653" s="264"/>
      <c r="AX653" s="264"/>
      <c r="AY653" s="264"/>
      <c r="AZ653" s="264"/>
      <c r="BA653" s="264"/>
      <c r="BB653" s="264"/>
      <c r="BC653" s="264"/>
      <c r="BD653" s="264"/>
    </row>
    <row r="654">
      <c r="A654" s="264"/>
      <c r="B654" s="264"/>
      <c r="C654" s="264"/>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c r="AA654" s="264"/>
      <c r="AB654" s="264"/>
      <c r="AC654" s="264"/>
      <c r="AD654" s="264"/>
      <c r="AE654" s="264"/>
      <c r="AF654" s="264"/>
      <c r="AG654" s="264"/>
      <c r="AH654" s="264"/>
      <c r="AI654" s="264"/>
      <c r="AJ654" s="264"/>
      <c r="AK654" s="264"/>
      <c r="AL654" s="264"/>
      <c r="AM654" s="264"/>
      <c r="AN654" s="264"/>
      <c r="AO654" s="264"/>
      <c r="AP654" s="264"/>
      <c r="AQ654" s="264"/>
      <c r="AR654" s="264"/>
      <c r="AS654" s="264"/>
      <c r="AT654" s="264"/>
      <c r="AU654" s="264"/>
      <c r="AV654" s="264"/>
      <c r="AW654" s="264"/>
      <c r="AX654" s="264"/>
      <c r="AY654" s="264"/>
      <c r="AZ654" s="264"/>
      <c r="BA654" s="264"/>
      <c r="BB654" s="264"/>
      <c r="BC654" s="264"/>
      <c r="BD654" s="264"/>
    </row>
    <row r="655">
      <c r="A655" s="264"/>
      <c r="B655" s="264"/>
      <c r="C655" s="264"/>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c r="AA655" s="264"/>
      <c r="AB655" s="264"/>
      <c r="AC655" s="264"/>
      <c r="AD655" s="264"/>
      <c r="AE655" s="264"/>
      <c r="AF655" s="264"/>
      <c r="AG655" s="264"/>
      <c r="AH655" s="264"/>
      <c r="AI655" s="264"/>
      <c r="AJ655" s="264"/>
      <c r="AK655" s="264"/>
      <c r="AL655" s="264"/>
      <c r="AM655" s="264"/>
      <c r="AN655" s="264"/>
      <c r="AO655" s="264"/>
      <c r="AP655" s="264"/>
      <c r="AQ655" s="264"/>
      <c r="AR655" s="264"/>
      <c r="AS655" s="264"/>
      <c r="AT655" s="264"/>
      <c r="AU655" s="264"/>
      <c r="AV655" s="264"/>
      <c r="AW655" s="264"/>
      <c r="AX655" s="264"/>
      <c r="AY655" s="264"/>
      <c r="AZ655" s="264"/>
      <c r="BA655" s="264"/>
      <c r="BB655" s="264"/>
      <c r="BC655" s="264"/>
      <c r="BD655" s="264"/>
    </row>
    <row r="656">
      <c r="A656" s="264"/>
      <c r="B656" s="264"/>
      <c r="C656" s="264"/>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c r="AA656" s="264"/>
      <c r="AB656" s="264"/>
      <c r="AC656" s="264"/>
      <c r="AD656" s="264"/>
      <c r="AE656" s="264"/>
      <c r="AF656" s="264"/>
      <c r="AG656" s="264"/>
      <c r="AH656" s="264"/>
      <c r="AI656" s="264"/>
      <c r="AJ656" s="264"/>
      <c r="AK656" s="264"/>
      <c r="AL656" s="264"/>
      <c r="AM656" s="264"/>
      <c r="AN656" s="264"/>
      <c r="AO656" s="264"/>
      <c r="AP656" s="264"/>
      <c r="AQ656" s="264"/>
      <c r="AR656" s="264"/>
      <c r="AS656" s="264"/>
      <c r="AT656" s="264"/>
      <c r="AU656" s="264"/>
      <c r="AV656" s="264"/>
      <c r="AW656" s="264"/>
      <c r="AX656" s="264"/>
      <c r="AY656" s="264"/>
      <c r="AZ656" s="264"/>
      <c r="BA656" s="264"/>
      <c r="BB656" s="264"/>
      <c r="BC656" s="264"/>
      <c r="BD656" s="264"/>
    </row>
    <row r="657">
      <c r="A657" s="264"/>
      <c r="B657" s="264"/>
      <c r="C657" s="264"/>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c r="AA657" s="264"/>
      <c r="AB657" s="264"/>
      <c r="AC657" s="264"/>
      <c r="AD657" s="264"/>
      <c r="AE657" s="264"/>
      <c r="AF657" s="264"/>
      <c r="AG657" s="264"/>
      <c r="AH657" s="264"/>
      <c r="AI657" s="264"/>
      <c r="AJ657" s="264"/>
      <c r="AK657" s="264"/>
      <c r="AL657" s="264"/>
      <c r="AM657" s="264"/>
      <c r="AN657" s="264"/>
      <c r="AO657" s="264"/>
      <c r="AP657" s="264"/>
      <c r="AQ657" s="264"/>
      <c r="AR657" s="264"/>
      <c r="AS657" s="264"/>
      <c r="AT657" s="264"/>
      <c r="AU657" s="264"/>
      <c r="AV657" s="264"/>
      <c r="AW657" s="264"/>
      <c r="AX657" s="264"/>
      <c r="AY657" s="264"/>
      <c r="AZ657" s="264"/>
      <c r="BA657" s="264"/>
      <c r="BB657" s="264"/>
      <c r="BC657" s="264"/>
      <c r="BD657" s="264"/>
    </row>
    <row r="658">
      <c r="A658" s="264"/>
      <c r="B658" s="264"/>
      <c r="C658" s="264"/>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c r="AA658" s="264"/>
      <c r="AB658" s="264"/>
      <c r="AC658" s="264"/>
      <c r="AD658" s="264"/>
      <c r="AE658" s="264"/>
      <c r="AF658" s="264"/>
      <c r="AG658" s="264"/>
      <c r="AH658" s="264"/>
      <c r="AI658" s="264"/>
      <c r="AJ658" s="264"/>
      <c r="AK658" s="264"/>
      <c r="AL658" s="264"/>
      <c r="AM658" s="264"/>
      <c r="AN658" s="264"/>
      <c r="AO658" s="264"/>
      <c r="AP658" s="264"/>
      <c r="AQ658" s="264"/>
      <c r="AR658" s="264"/>
      <c r="AS658" s="264"/>
      <c r="AT658" s="264"/>
      <c r="AU658" s="264"/>
      <c r="AV658" s="264"/>
      <c r="AW658" s="264"/>
      <c r="AX658" s="264"/>
      <c r="AY658" s="264"/>
      <c r="AZ658" s="264"/>
      <c r="BA658" s="264"/>
      <c r="BB658" s="264"/>
      <c r="BC658" s="264"/>
      <c r="BD658" s="264"/>
    </row>
    <row r="659">
      <c r="A659" s="264"/>
      <c r="B659" s="264"/>
      <c r="C659" s="264"/>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c r="AA659" s="264"/>
      <c r="AB659" s="264"/>
      <c r="AC659" s="264"/>
      <c r="AD659" s="264"/>
      <c r="AE659" s="264"/>
      <c r="AF659" s="264"/>
      <c r="AG659" s="264"/>
      <c r="AH659" s="264"/>
      <c r="AI659" s="264"/>
      <c r="AJ659" s="264"/>
      <c r="AK659" s="264"/>
      <c r="AL659" s="264"/>
      <c r="AM659" s="264"/>
      <c r="AN659" s="264"/>
      <c r="AO659" s="264"/>
      <c r="AP659" s="264"/>
      <c r="AQ659" s="264"/>
      <c r="AR659" s="264"/>
      <c r="AS659" s="264"/>
      <c r="AT659" s="264"/>
      <c r="AU659" s="264"/>
      <c r="AV659" s="264"/>
      <c r="AW659" s="264"/>
      <c r="AX659" s="264"/>
      <c r="AY659" s="264"/>
      <c r="AZ659" s="264"/>
      <c r="BA659" s="264"/>
      <c r="BB659" s="264"/>
      <c r="BC659" s="264"/>
      <c r="BD659" s="264"/>
    </row>
    <row r="660">
      <c r="A660" s="264"/>
      <c r="B660" s="264"/>
      <c r="C660" s="264"/>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c r="AA660" s="264"/>
      <c r="AB660" s="264"/>
      <c r="AC660" s="264"/>
      <c r="AD660" s="264"/>
      <c r="AE660" s="264"/>
      <c r="AF660" s="264"/>
      <c r="AG660" s="264"/>
      <c r="AH660" s="264"/>
      <c r="AI660" s="264"/>
      <c r="AJ660" s="264"/>
      <c r="AK660" s="264"/>
      <c r="AL660" s="264"/>
      <c r="AM660" s="264"/>
      <c r="AN660" s="264"/>
      <c r="AO660" s="264"/>
      <c r="AP660" s="264"/>
      <c r="AQ660" s="264"/>
      <c r="AR660" s="264"/>
      <c r="AS660" s="264"/>
      <c r="AT660" s="264"/>
      <c r="AU660" s="264"/>
      <c r="AV660" s="264"/>
      <c r="AW660" s="264"/>
      <c r="AX660" s="264"/>
      <c r="AY660" s="264"/>
      <c r="AZ660" s="264"/>
      <c r="BA660" s="264"/>
      <c r="BB660" s="264"/>
      <c r="BC660" s="264"/>
      <c r="BD660" s="264"/>
    </row>
    <row r="661">
      <c r="A661" s="264"/>
      <c r="B661" s="264"/>
      <c r="C661" s="264"/>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c r="AA661" s="264"/>
      <c r="AB661" s="264"/>
      <c r="AC661" s="264"/>
      <c r="AD661" s="264"/>
      <c r="AE661" s="264"/>
      <c r="AF661" s="264"/>
      <c r="AG661" s="264"/>
      <c r="AH661" s="264"/>
      <c r="AI661" s="264"/>
      <c r="AJ661" s="264"/>
      <c r="AK661" s="264"/>
      <c r="AL661" s="264"/>
      <c r="AM661" s="264"/>
      <c r="AN661" s="264"/>
      <c r="AO661" s="264"/>
      <c r="AP661" s="264"/>
      <c r="AQ661" s="264"/>
      <c r="AR661" s="264"/>
      <c r="AS661" s="264"/>
      <c r="AT661" s="264"/>
      <c r="AU661" s="264"/>
      <c r="AV661" s="264"/>
      <c r="AW661" s="264"/>
      <c r="AX661" s="264"/>
      <c r="AY661" s="264"/>
      <c r="AZ661" s="264"/>
      <c r="BA661" s="264"/>
      <c r="BB661" s="264"/>
      <c r="BC661" s="264"/>
      <c r="BD661" s="264"/>
    </row>
    <row r="662">
      <c r="A662" s="264"/>
      <c r="B662" s="264"/>
      <c r="C662" s="264"/>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c r="AA662" s="264"/>
      <c r="AB662" s="264"/>
      <c r="AC662" s="264"/>
      <c r="AD662" s="264"/>
      <c r="AE662" s="264"/>
      <c r="AF662" s="264"/>
      <c r="AG662" s="264"/>
      <c r="AH662" s="264"/>
      <c r="AI662" s="264"/>
      <c r="AJ662" s="264"/>
      <c r="AK662" s="264"/>
      <c r="AL662" s="264"/>
      <c r="AM662" s="264"/>
      <c r="AN662" s="264"/>
      <c r="AO662" s="264"/>
      <c r="AP662" s="264"/>
      <c r="AQ662" s="264"/>
      <c r="AR662" s="264"/>
      <c r="AS662" s="264"/>
      <c r="AT662" s="264"/>
      <c r="AU662" s="264"/>
      <c r="AV662" s="264"/>
      <c r="AW662" s="264"/>
      <c r="AX662" s="264"/>
      <c r="AY662" s="264"/>
      <c r="AZ662" s="264"/>
      <c r="BA662" s="264"/>
      <c r="BB662" s="264"/>
      <c r="BC662" s="264"/>
      <c r="BD662" s="264"/>
    </row>
    <row r="663">
      <c r="A663" s="264"/>
      <c r="B663" s="264"/>
      <c r="C663" s="264"/>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c r="AA663" s="264"/>
      <c r="AB663" s="264"/>
      <c r="AC663" s="264"/>
      <c r="AD663" s="264"/>
      <c r="AE663" s="264"/>
      <c r="AF663" s="264"/>
      <c r="AG663" s="264"/>
      <c r="AH663" s="264"/>
      <c r="AI663" s="264"/>
      <c r="AJ663" s="264"/>
      <c r="AK663" s="264"/>
      <c r="AL663" s="264"/>
      <c r="AM663" s="264"/>
      <c r="AN663" s="264"/>
      <c r="AO663" s="264"/>
      <c r="AP663" s="264"/>
      <c r="AQ663" s="264"/>
      <c r="AR663" s="264"/>
      <c r="AS663" s="264"/>
      <c r="AT663" s="264"/>
      <c r="AU663" s="264"/>
      <c r="AV663" s="264"/>
      <c r="AW663" s="264"/>
      <c r="AX663" s="264"/>
      <c r="AY663" s="264"/>
      <c r="AZ663" s="264"/>
      <c r="BA663" s="264"/>
      <c r="BB663" s="264"/>
      <c r="BC663" s="264"/>
      <c r="BD663" s="264"/>
    </row>
    <row r="664">
      <c r="A664" s="264"/>
      <c r="B664" s="264"/>
      <c r="C664" s="264"/>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c r="AA664" s="264"/>
      <c r="AB664" s="264"/>
      <c r="AC664" s="264"/>
      <c r="AD664" s="264"/>
      <c r="AE664" s="264"/>
      <c r="AF664" s="264"/>
      <c r="AG664" s="264"/>
      <c r="AH664" s="264"/>
      <c r="AI664" s="264"/>
      <c r="AJ664" s="264"/>
      <c r="AK664" s="264"/>
      <c r="AL664" s="264"/>
      <c r="AM664" s="264"/>
      <c r="AN664" s="264"/>
      <c r="AO664" s="264"/>
      <c r="AP664" s="264"/>
      <c r="AQ664" s="264"/>
      <c r="AR664" s="264"/>
      <c r="AS664" s="264"/>
      <c r="AT664" s="264"/>
      <c r="AU664" s="264"/>
      <c r="AV664" s="264"/>
      <c r="AW664" s="264"/>
      <c r="AX664" s="264"/>
      <c r="AY664" s="264"/>
      <c r="AZ664" s="264"/>
      <c r="BA664" s="264"/>
      <c r="BB664" s="264"/>
      <c r="BC664" s="264"/>
      <c r="BD664" s="264"/>
    </row>
    <row r="665">
      <c r="A665" s="264"/>
      <c r="B665" s="264"/>
      <c r="C665" s="264"/>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c r="AA665" s="264"/>
      <c r="AB665" s="264"/>
      <c r="AC665" s="264"/>
      <c r="AD665" s="264"/>
      <c r="AE665" s="264"/>
      <c r="AF665" s="264"/>
      <c r="AG665" s="264"/>
      <c r="AH665" s="264"/>
      <c r="AI665" s="264"/>
      <c r="AJ665" s="264"/>
      <c r="AK665" s="264"/>
      <c r="AL665" s="264"/>
      <c r="AM665" s="264"/>
      <c r="AN665" s="264"/>
      <c r="AO665" s="264"/>
      <c r="AP665" s="264"/>
      <c r="AQ665" s="264"/>
      <c r="AR665" s="264"/>
      <c r="AS665" s="264"/>
      <c r="AT665" s="264"/>
      <c r="AU665" s="264"/>
      <c r="AV665" s="264"/>
      <c r="AW665" s="264"/>
      <c r="AX665" s="264"/>
      <c r="AY665" s="264"/>
      <c r="AZ665" s="264"/>
      <c r="BA665" s="264"/>
      <c r="BB665" s="264"/>
      <c r="BC665" s="264"/>
      <c r="BD665" s="264"/>
    </row>
    <row r="666">
      <c r="A666" s="264"/>
      <c r="B666" s="264"/>
      <c r="C666" s="264"/>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c r="AA666" s="264"/>
      <c r="AB666" s="264"/>
      <c r="AC666" s="264"/>
      <c r="AD666" s="264"/>
      <c r="AE666" s="264"/>
      <c r="AF666" s="264"/>
      <c r="AG666" s="264"/>
      <c r="AH666" s="264"/>
      <c r="AI666" s="264"/>
      <c r="AJ666" s="264"/>
      <c r="AK666" s="264"/>
      <c r="AL666" s="264"/>
      <c r="AM666" s="264"/>
      <c r="AN666" s="264"/>
      <c r="AO666" s="264"/>
      <c r="AP666" s="264"/>
      <c r="AQ666" s="264"/>
      <c r="AR666" s="264"/>
      <c r="AS666" s="264"/>
      <c r="AT666" s="264"/>
      <c r="AU666" s="264"/>
      <c r="AV666" s="264"/>
      <c r="AW666" s="264"/>
      <c r="AX666" s="264"/>
      <c r="AY666" s="264"/>
      <c r="AZ666" s="264"/>
      <c r="BA666" s="264"/>
      <c r="BB666" s="264"/>
      <c r="BC666" s="264"/>
      <c r="BD666" s="264"/>
    </row>
    <row r="667">
      <c r="A667" s="264"/>
      <c r="B667" s="264"/>
      <c r="C667" s="264"/>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c r="AA667" s="264"/>
      <c r="AB667" s="264"/>
      <c r="AC667" s="264"/>
      <c r="AD667" s="264"/>
      <c r="AE667" s="264"/>
      <c r="AF667" s="264"/>
      <c r="AG667" s="264"/>
      <c r="AH667" s="264"/>
      <c r="AI667" s="264"/>
      <c r="AJ667" s="264"/>
      <c r="AK667" s="264"/>
      <c r="AL667" s="264"/>
      <c r="AM667" s="264"/>
      <c r="AN667" s="264"/>
      <c r="AO667" s="264"/>
      <c r="AP667" s="264"/>
      <c r="AQ667" s="264"/>
      <c r="AR667" s="264"/>
      <c r="AS667" s="264"/>
      <c r="AT667" s="264"/>
      <c r="AU667" s="264"/>
      <c r="AV667" s="264"/>
      <c r="AW667" s="264"/>
      <c r="AX667" s="264"/>
      <c r="AY667" s="264"/>
      <c r="AZ667" s="264"/>
      <c r="BA667" s="264"/>
      <c r="BB667" s="264"/>
      <c r="BC667" s="264"/>
      <c r="BD667" s="264"/>
    </row>
    <row r="668">
      <c r="A668" s="264"/>
      <c r="B668" s="264"/>
      <c r="C668" s="264"/>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c r="AA668" s="264"/>
      <c r="AB668" s="264"/>
      <c r="AC668" s="264"/>
      <c r="AD668" s="264"/>
      <c r="AE668" s="264"/>
      <c r="AF668" s="264"/>
      <c r="AG668" s="264"/>
      <c r="AH668" s="264"/>
      <c r="AI668" s="264"/>
      <c r="AJ668" s="264"/>
      <c r="AK668" s="264"/>
      <c r="AL668" s="264"/>
      <c r="AM668" s="264"/>
      <c r="AN668" s="264"/>
      <c r="AO668" s="264"/>
      <c r="AP668" s="264"/>
      <c r="AQ668" s="264"/>
      <c r="AR668" s="264"/>
      <c r="AS668" s="264"/>
      <c r="AT668" s="264"/>
      <c r="AU668" s="264"/>
      <c r="AV668" s="264"/>
      <c r="AW668" s="264"/>
      <c r="AX668" s="264"/>
      <c r="AY668" s="264"/>
      <c r="AZ668" s="264"/>
      <c r="BA668" s="264"/>
      <c r="BB668" s="264"/>
      <c r="BC668" s="264"/>
      <c r="BD668" s="264"/>
    </row>
    <row r="669">
      <c r="A669" s="264"/>
      <c r="B669" s="264"/>
      <c r="C669" s="264"/>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c r="AA669" s="264"/>
      <c r="AB669" s="264"/>
      <c r="AC669" s="264"/>
      <c r="AD669" s="264"/>
      <c r="AE669" s="264"/>
      <c r="AF669" s="264"/>
      <c r="AG669" s="264"/>
      <c r="AH669" s="264"/>
      <c r="AI669" s="264"/>
      <c r="AJ669" s="264"/>
      <c r="AK669" s="264"/>
      <c r="AL669" s="264"/>
      <c r="AM669" s="264"/>
      <c r="AN669" s="264"/>
      <c r="AO669" s="264"/>
      <c r="AP669" s="264"/>
      <c r="AQ669" s="264"/>
      <c r="AR669" s="264"/>
      <c r="AS669" s="264"/>
      <c r="AT669" s="264"/>
      <c r="AU669" s="264"/>
      <c r="AV669" s="264"/>
      <c r="AW669" s="264"/>
      <c r="AX669" s="264"/>
      <c r="AY669" s="264"/>
      <c r="AZ669" s="264"/>
      <c r="BA669" s="264"/>
      <c r="BB669" s="264"/>
      <c r="BC669" s="264"/>
      <c r="BD669" s="264"/>
    </row>
    <row r="670">
      <c r="A670" s="264"/>
      <c r="B670" s="264"/>
      <c r="C670" s="264"/>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c r="AA670" s="264"/>
      <c r="AB670" s="264"/>
      <c r="AC670" s="264"/>
      <c r="AD670" s="264"/>
      <c r="AE670" s="264"/>
      <c r="AF670" s="264"/>
      <c r="AG670" s="264"/>
      <c r="AH670" s="264"/>
      <c r="AI670" s="264"/>
      <c r="AJ670" s="264"/>
      <c r="AK670" s="264"/>
      <c r="AL670" s="264"/>
      <c r="AM670" s="264"/>
      <c r="AN670" s="264"/>
      <c r="AO670" s="264"/>
      <c r="AP670" s="264"/>
      <c r="AQ670" s="264"/>
      <c r="AR670" s="264"/>
      <c r="AS670" s="264"/>
      <c r="AT670" s="264"/>
      <c r="AU670" s="264"/>
      <c r="AV670" s="264"/>
      <c r="AW670" s="264"/>
      <c r="AX670" s="264"/>
      <c r="AY670" s="264"/>
      <c r="AZ670" s="264"/>
      <c r="BA670" s="264"/>
      <c r="BB670" s="264"/>
      <c r="BC670" s="264"/>
      <c r="BD670" s="264"/>
    </row>
    <row r="671">
      <c r="A671" s="264"/>
      <c r="B671" s="264"/>
      <c r="C671" s="264"/>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c r="AA671" s="264"/>
      <c r="AB671" s="264"/>
      <c r="AC671" s="264"/>
      <c r="AD671" s="264"/>
      <c r="AE671" s="264"/>
      <c r="AF671" s="264"/>
      <c r="AG671" s="264"/>
      <c r="AH671" s="264"/>
      <c r="AI671" s="264"/>
      <c r="AJ671" s="264"/>
      <c r="AK671" s="264"/>
      <c r="AL671" s="264"/>
      <c r="AM671" s="264"/>
      <c r="AN671" s="264"/>
      <c r="AO671" s="264"/>
      <c r="AP671" s="264"/>
      <c r="AQ671" s="264"/>
      <c r="AR671" s="264"/>
      <c r="AS671" s="264"/>
      <c r="AT671" s="264"/>
      <c r="AU671" s="264"/>
      <c r="AV671" s="264"/>
      <c r="AW671" s="264"/>
      <c r="AX671" s="264"/>
      <c r="AY671" s="264"/>
      <c r="AZ671" s="264"/>
      <c r="BA671" s="264"/>
      <c r="BB671" s="264"/>
      <c r="BC671" s="264"/>
      <c r="BD671" s="264"/>
    </row>
    <row r="672">
      <c r="A672" s="264"/>
      <c r="B672" s="264"/>
      <c r="C672" s="264"/>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c r="AA672" s="264"/>
      <c r="AB672" s="264"/>
      <c r="AC672" s="264"/>
      <c r="AD672" s="264"/>
      <c r="AE672" s="264"/>
      <c r="AF672" s="264"/>
      <c r="AG672" s="264"/>
      <c r="AH672" s="264"/>
      <c r="AI672" s="264"/>
      <c r="AJ672" s="264"/>
      <c r="AK672" s="264"/>
      <c r="AL672" s="264"/>
      <c r="AM672" s="264"/>
      <c r="AN672" s="264"/>
      <c r="AO672" s="264"/>
      <c r="AP672" s="264"/>
      <c r="AQ672" s="264"/>
      <c r="AR672" s="264"/>
      <c r="AS672" s="264"/>
      <c r="AT672" s="264"/>
      <c r="AU672" s="264"/>
      <c r="AV672" s="264"/>
      <c r="AW672" s="264"/>
      <c r="AX672" s="264"/>
      <c r="AY672" s="264"/>
      <c r="AZ672" s="264"/>
      <c r="BA672" s="264"/>
      <c r="BB672" s="264"/>
      <c r="BC672" s="264"/>
      <c r="BD672" s="264"/>
    </row>
    <row r="673">
      <c r="A673" s="264"/>
      <c r="B673" s="264"/>
      <c r="C673" s="264"/>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c r="AA673" s="264"/>
      <c r="AB673" s="264"/>
      <c r="AC673" s="264"/>
      <c r="AD673" s="264"/>
      <c r="AE673" s="264"/>
      <c r="AF673" s="264"/>
      <c r="AG673" s="264"/>
      <c r="AH673" s="264"/>
      <c r="AI673" s="264"/>
      <c r="AJ673" s="264"/>
      <c r="AK673" s="264"/>
      <c r="AL673" s="264"/>
      <c r="AM673" s="264"/>
      <c r="AN673" s="264"/>
      <c r="AO673" s="264"/>
      <c r="AP673" s="264"/>
      <c r="AQ673" s="264"/>
      <c r="AR673" s="264"/>
      <c r="AS673" s="264"/>
      <c r="AT673" s="264"/>
      <c r="AU673" s="264"/>
      <c r="AV673" s="264"/>
      <c r="AW673" s="264"/>
      <c r="AX673" s="264"/>
      <c r="AY673" s="264"/>
      <c r="AZ673" s="264"/>
      <c r="BA673" s="264"/>
      <c r="BB673" s="264"/>
      <c r="BC673" s="264"/>
      <c r="BD673" s="264"/>
    </row>
    <row r="674">
      <c r="A674" s="264"/>
      <c r="B674" s="264"/>
      <c r="C674" s="264"/>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c r="AA674" s="264"/>
      <c r="AB674" s="264"/>
      <c r="AC674" s="264"/>
      <c r="AD674" s="264"/>
      <c r="AE674" s="264"/>
      <c r="AF674" s="264"/>
      <c r="AG674" s="264"/>
      <c r="AH674" s="264"/>
      <c r="AI674" s="264"/>
      <c r="AJ674" s="264"/>
      <c r="AK674" s="264"/>
      <c r="AL674" s="264"/>
      <c r="AM674" s="264"/>
      <c r="AN674" s="264"/>
      <c r="AO674" s="264"/>
      <c r="AP674" s="264"/>
      <c r="AQ674" s="264"/>
      <c r="AR674" s="264"/>
      <c r="AS674" s="264"/>
      <c r="AT674" s="264"/>
      <c r="AU674" s="264"/>
      <c r="AV674" s="264"/>
      <c r="AW674" s="264"/>
      <c r="AX674" s="264"/>
      <c r="AY674" s="264"/>
      <c r="AZ674" s="264"/>
      <c r="BA674" s="264"/>
      <c r="BB674" s="264"/>
      <c r="BC674" s="264"/>
      <c r="BD674" s="264"/>
    </row>
    <row r="675">
      <c r="A675" s="264"/>
      <c r="B675" s="264"/>
      <c r="C675" s="264"/>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c r="AA675" s="264"/>
      <c r="AB675" s="264"/>
      <c r="AC675" s="264"/>
      <c r="AD675" s="264"/>
      <c r="AE675" s="264"/>
      <c r="AF675" s="264"/>
      <c r="AG675" s="264"/>
      <c r="AH675" s="264"/>
      <c r="AI675" s="264"/>
      <c r="AJ675" s="264"/>
      <c r="AK675" s="264"/>
      <c r="AL675" s="264"/>
      <c r="AM675" s="264"/>
      <c r="AN675" s="264"/>
      <c r="AO675" s="264"/>
      <c r="AP675" s="264"/>
      <c r="AQ675" s="264"/>
      <c r="AR675" s="264"/>
      <c r="AS675" s="264"/>
      <c r="AT675" s="264"/>
      <c r="AU675" s="264"/>
      <c r="AV675" s="264"/>
      <c r="AW675" s="264"/>
      <c r="AX675" s="264"/>
      <c r="AY675" s="264"/>
      <c r="AZ675" s="264"/>
      <c r="BA675" s="264"/>
      <c r="BB675" s="264"/>
      <c r="BC675" s="264"/>
      <c r="BD675" s="264"/>
    </row>
    <row r="676">
      <c r="A676" s="264"/>
      <c r="B676" s="264"/>
      <c r="C676" s="264"/>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c r="AA676" s="264"/>
      <c r="AB676" s="264"/>
      <c r="AC676" s="264"/>
      <c r="AD676" s="264"/>
      <c r="AE676" s="264"/>
      <c r="AF676" s="264"/>
      <c r="AG676" s="264"/>
      <c r="AH676" s="264"/>
      <c r="AI676" s="264"/>
      <c r="AJ676" s="264"/>
      <c r="AK676" s="264"/>
      <c r="AL676" s="264"/>
      <c r="AM676" s="264"/>
      <c r="AN676" s="264"/>
      <c r="AO676" s="264"/>
      <c r="AP676" s="264"/>
      <c r="AQ676" s="264"/>
      <c r="AR676" s="264"/>
      <c r="AS676" s="264"/>
      <c r="AT676" s="264"/>
      <c r="AU676" s="264"/>
      <c r="AV676" s="264"/>
      <c r="AW676" s="264"/>
      <c r="AX676" s="264"/>
      <c r="AY676" s="264"/>
      <c r="AZ676" s="264"/>
      <c r="BA676" s="264"/>
      <c r="BB676" s="264"/>
      <c r="BC676" s="264"/>
      <c r="BD676" s="264"/>
    </row>
    <row r="677">
      <c r="A677" s="264"/>
      <c r="B677" s="264"/>
      <c r="C677" s="264"/>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c r="AA677" s="264"/>
      <c r="AB677" s="264"/>
      <c r="AC677" s="264"/>
      <c r="AD677" s="264"/>
      <c r="AE677" s="264"/>
      <c r="AF677" s="264"/>
      <c r="AG677" s="264"/>
      <c r="AH677" s="264"/>
      <c r="AI677" s="264"/>
      <c r="AJ677" s="264"/>
      <c r="AK677" s="264"/>
      <c r="AL677" s="264"/>
      <c r="AM677" s="264"/>
      <c r="AN677" s="264"/>
      <c r="AO677" s="264"/>
      <c r="AP677" s="264"/>
      <c r="AQ677" s="264"/>
      <c r="AR677" s="264"/>
      <c r="AS677" s="264"/>
      <c r="AT677" s="264"/>
      <c r="AU677" s="264"/>
      <c r="AV677" s="264"/>
      <c r="AW677" s="264"/>
      <c r="AX677" s="264"/>
      <c r="AY677" s="264"/>
      <c r="AZ677" s="264"/>
      <c r="BA677" s="264"/>
      <c r="BB677" s="264"/>
      <c r="BC677" s="264"/>
      <c r="BD677" s="264"/>
    </row>
    <row r="678">
      <c r="A678" s="264"/>
      <c r="B678" s="264"/>
      <c r="C678" s="264"/>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c r="AA678" s="264"/>
      <c r="AB678" s="264"/>
      <c r="AC678" s="264"/>
      <c r="AD678" s="264"/>
      <c r="AE678" s="264"/>
      <c r="AF678" s="264"/>
      <c r="AG678" s="264"/>
      <c r="AH678" s="264"/>
      <c r="AI678" s="264"/>
      <c r="AJ678" s="264"/>
      <c r="AK678" s="264"/>
      <c r="AL678" s="264"/>
      <c r="AM678" s="264"/>
      <c r="AN678" s="264"/>
      <c r="AO678" s="264"/>
      <c r="AP678" s="264"/>
      <c r="AQ678" s="264"/>
      <c r="AR678" s="264"/>
      <c r="AS678" s="264"/>
      <c r="AT678" s="264"/>
      <c r="AU678" s="264"/>
      <c r="AV678" s="264"/>
      <c r="AW678" s="264"/>
      <c r="AX678" s="264"/>
      <c r="AY678" s="264"/>
      <c r="AZ678" s="264"/>
      <c r="BA678" s="264"/>
      <c r="BB678" s="264"/>
      <c r="BC678" s="264"/>
      <c r="BD678" s="264"/>
    </row>
    <row r="679">
      <c r="A679" s="264"/>
      <c r="B679" s="264"/>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c r="AA679" s="264"/>
      <c r="AB679" s="264"/>
      <c r="AC679" s="264"/>
      <c r="AD679" s="264"/>
      <c r="AE679" s="264"/>
      <c r="AF679" s="264"/>
      <c r="AG679" s="264"/>
      <c r="AH679" s="264"/>
      <c r="AI679" s="264"/>
      <c r="AJ679" s="264"/>
      <c r="AK679" s="264"/>
      <c r="AL679" s="264"/>
      <c r="AM679" s="264"/>
      <c r="AN679" s="264"/>
      <c r="AO679" s="264"/>
      <c r="AP679" s="264"/>
      <c r="AQ679" s="264"/>
      <c r="AR679" s="264"/>
      <c r="AS679" s="264"/>
      <c r="AT679" s="264"/>
      <c r="AU679" s="264"/>
      <c r="AV679" s="264"/>
      <c r="AW679" s="264"/>
      <c r="AX679" s="264"/>
      <c r="AY679" s="264"/>
      <c r="AZ679" s="264"/>
      <c r="BA679" s="264"/>
      <c r="BB679" s="264"/>
      <c r="BC679" s="264"/>
      <c r="BD679" s="264"/>
    </row>
    <row r="680">
      <c r="A680" s="264"/>
      <c r="B680" s="264"/>
      <c r="C680" s="264"/>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c r="AA680" s="264"/>
      <c r="AB680" s="264"/>
      <c r="AC680" s="264"/>
      <c r="AD680" s="264"/>
      <c r="AE680" s="264"/>
      <c r="AF680" s="264"/>
      <c r="AG680" s="264"/>
      <c r="AH680" s="264"/>
      <c r="AI680" s="264"/>
      <c r="AJ680" s="264"/>
      <c r="AK680" s="264"/>
      <c r="AL680" s="264"/>
      <c r="AM680" s="264"/>
      <c r="AN680" s="264"/>
      <c r="AO680" s="264"/>
      <c r="AP680" s="264"/>
      <c r="AQ680" s="264"/>
      <c r="AR680" s="264"/>
      <c r="AS680" s="264"/>
      <c r="AT680" s="264"/>
      <c r="AU680" s="264"/>
      <c r="AV680" s="264"/>
      <c r="AW680" s="264"/>
      <c r="AX680" s="264"/>
      <c r="AY680" s="264"/>
      <c r="AZ680" s="264"/>
      <c r="BA680" s="264"/>
      <c r="BB680" s="264"/>
      <c r="BC680" s="264"/>
      <c r="BD680" s="264"/>
    </row>
    <row r="681">
      <c r="A681" s="264"/>
      <c r="B681" s="264"/>
      <c r="C681" s="264"/>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c r="AA681" s="264"/>
      <c r="AB681" s="264"/>
      <c r="AC681" s="264"/>
      <c r="AD681" s="264"/>
      <c r="AE681" s="264"/>
      <c r="AF681" s="264"/>
      <c r="AG681" s="264"/>
      <c r="AH681" s="264"/>
      <c r="AI681" s="264"/>
      <c r="AJ681" s="264"/>
      <c r="AK681" s="264"/>
      <c r="AL681" s="264"/>
      <c r="AM681" s="264"/>
      <c r="AN681" s="264"/>
      <c r="AO681" s="264"/>
      <c r="AP681" s="264"/>
      <c r="AQ681" s="264"/>
      <c r="AR681" s="264"/>
      <c r="AS681" s="264"/>
      <c r="AT681" s="264"/>
      <c r="AU681" s="264"/>
      <c r="AV681" s="264"/>
      <c r="AW681" s="264"/>
      <c r="AX681" s="264"/>
      <c r="AY681" s="264"/>
      <c r="AZ681" s="264"/>
      <c r="BA681" s="264"/>
      <c r="BB681" s="264"/>
      <c r="BC681" s="264"/>
      <c r="BD681" s="264"/>
    </row>
    <row r="682">
      <c r="A682" s="264"/>
      <c r="B682" s="264"/>
      <c r="C682" s="264"/>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c r="AA682" s="264"/>
      <c r="AB682" s="264"/>
      <c r="AC682" s="264"/>
      <c r="AD682" s="264"/>
      <c r="AE682" s="264"/>
      <c r="AF682" s="264"/>
      <c r="AG682" s="264"/>
      <c r="AH682" s="264"/>
      <c r="AI682" s="264"/>
      <c r="AJ682" s="264"/>
      <c r="AK682" s="264"/>
      <c r="AL682" s="264"/>
      <c r="AM682" s="264"/>
      <c r="AN682" s="264"/>
      <c r="AO682" s="264"/>
      <c r="AP682" s="264"/>
      <c r="AQ682" s="264"/>
      <c r="AR682" s="264"/>
      <c r="AS682" s="264"/>
      <c r="AT682" s="264"/>
      <c r="AU682" s="264"/>
      <c r="AV682" s="264"/>
      <c r="AW682" s="264"/>
      <c r="AX682" s="264"/>
      <c r="AY682" s="264"/>
      <c r="AZ682" s="264"/>
      <c r="BA682" s="264"/>
      <c r="BB682" s="264"/>
      <c r="BC682" s="264"/>
      <c r="BD682" s="264"/>
    </row>
    <row r="683">
      <c r="A683" s="264"/>
      <c r="B683" s="264"/>
      <c r="C683" s="264"/>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c r="AA683" s="264"/>
      <c r="AB683" s="264"/>
      <c r="AC683" s="264"/>
      <c r="AD683" s="264"/>
      <c r="AE683" s="264"/>
      <c r="AF683" s="264"/>
      <c r="AG683" s="264"/>
      <c r="AH683" s="264"/>
      <c r="AI683" s="264"/>
      <c r="AJ683" s="264"/>
      <c r="AK683" s="264"/>
      <c r="AL683" s="264"/>
      <c r="AM683" s="264"/>
      <c r="AN683" s="264"/>
      <c r="AO683" s="264"/>
      <c r="AP683" s="264"/>
      <c r="AQ683" s="264"/>
      <c r="AR683" s="264"/>
      <c r="AS683" s="264"/>
      <c r="AT683" s="264"/>
      <c r="AU683" s="264"/>
      <c r="AV683" s="264"/>
      <c r="AW683" s="264"/>
      <c r="AX683" s="264"/>
      <c r="AY683" s="264"/>
      <c r="AZ683" s="264"/>
      <c r="BA683" s="264"/>
      <c r="BB683" s="264"/>
      <c r="BC683" s="264"/>
      <c r="BD683" s="264"/>
    </row>
    <row r="684">
      <c r="A684" s="264"/>
      <c r="B684" s="264"/>
      <c r="C684" s="264"/>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c r="AA684" s="264"/>
      <c r="AB684" s="264"/>
      <c r="AC684" s="264"/>
      <c r="AD684" s="264"/>
      <c r="AE684" s="264"/>
      <c r="AF684" s="264"/>
      <c r="AG684" s="264"/>
      <c r="AH684" s="264"/>
      <c r="AI684" s="264"/>
      <c r="AJ684" s="264"/>
      <c r="AK684" s="264"/>
      <c r="AL684" s="264"/>
      <c r="AM684" s="264"/>
      <c r="AN684" s="264"/>
      <c r="AO684" s="264"/>
      <c r="AP684" s="264"/>
      <c r="AQ684" s="264"/>
      <c r="AR684" s="264"/>
      <c r="AS684" s="264"/>
      <c r="AT684" s="264"/>
      <c r="AU684" s="264"/>
      <c r="AV684" s="264"/>
      <c r="AW684" s="264"/>
      <c r="AX684" s="264"/>
      <c r="AY684" s="264"/>
      <c r="AZ684" s="264"/>
      <c r="BA684" s="264"/>
      <c r="BB684" s="264"/>
      <c r="BC684" s="264"/>
      <c r="BD684" s="264"/>
    </row>
    <row r="685">
      <c r="A685" s="264"/>
      <c r="B685" s="264"/>
      <c r="C685" s="264"/>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c r="AA685" s="264"/>
      <c r="AB685" s="264"/>
      <c r="AC685" s="264"/>
      <c r="AD685" s="264"/>
      <c r="AE685" s="264"/>
      <c r="AF685" s="264"/>
      <c r="AG685" s="264"/>
      <c r="AH685" s="264"/>
      <c r="AI685" s="264"/>
      <c r="AJ685" s="264"/>
      <c r="AK685" s="264"/>
      <c r="AL685" s="264"/>
      <c r="AM685" s="264"/>
      <c r="AN685" s="264"/>
      <c r="AO685" s="264"/>
      <c r="AP685" s="264"/>
      <c r="AQ685" s="264"/>
      <c r="AR685" s="264"/>
      <c r="AS685" s="264"/>
      <c r="AT685" s="264"/>
      <c r="AU685" s="264"/>
      <c r="AV685" s="264"/>
      <c r="AW685" s="264"/>
      <c r="AX685" s="264"/>
      <c r="AY685" s="264"/>
      <c r="AZ685" s="264"/>
      <c r="BA685" s="264"/>
      <c r="BB685" s="264"/>
      <c r="BC685" s="264"/>
      <c r="BD685" s="264"/>
    </row>
    <row r="686">
      <c r="A686" s="264"/>
      <c r="B686" s="264"/>
      <c r="C686" s="264"/>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c r="AA686" s="264"/>
      <c r="AB686" s="264"/>
      <c r="AC686" s="264"/>
      <c r="AD686" s="264"/>
      <c r="AE686" s="264"/>
      <c r="AF686" s="264"/>
      <c r="AG686" s="264"/>
      <c r="AH686" s="264"/>
      <c r="AI686" s="264"/>
      <c r="AJ686" s="264"/>
      <c r="AK686" s="264"/>
      <c r="AL686" s="264"/>
      <c r="AM686" s="264"/>
      <c r="AN686" s="264"/>
      <c r="AO686" s="264"/>
      <c r="AP686" s="264"/>
      <c r="AQ686" s="264"/>
      <c r="AR686" s="264"/>
      <c r="AS686" s="264"/>
      <c r="AT686" s="264"/>
      <c r="AU686" s="264"/>
      <c r="AV686" s="264"/>
      <c r="AW686" s="264"/>
      <c r="AX686" s="264"/>
      <c r="AY686" s="264"/>
      <c r="AZ686" s="264"/>
      <c r="BA686" s="264"/>
      <c r="BB686" s="264"/>
      <c r="BC686" s="264"/>
      <c r="BD686" s="264"/>
    </row>
    <row r="687">
      <c r="A687" s="264"/>
      <c r="B687" s="264"/>
      <c r="C687" s="264"/>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c r="AA687" s="264"/>
      <c r="AB687" s="264"/>
      <c r="AC687" s="264"/>
      <c r="AD687" s="264"/>
      <c r="AE687" s="264"/>
      <c r="AF687" s="264"/>
      <c r="AG687" s="264"/>
      <c r="AH687" s="264"/>
      <c r="AI687" s="264"/>
      <c r="AJ687" s="264"/>
      <c r="AK687" s="264"/>
      <c r="AL687" s="264"/>
      <c r="AM687" s="264"/>
      <c r="AN687" s="264"/>
      <c r="AO687" s="264"/>
      <c r="AP687" s="264"/>
      <c r="AQ687" s="264"/>
      <c r="AR687" s="264"/>
      <c r="AS687" s="264"/>
      <c r="AT687" s="264"/>
      <c r="AU687" s="264"/>
      <c r="AV687" s="264"/>
      <c r="AW687" s="264"/>
      <c r="AX687" s="264"/>
      <c r="AY687" s="264"/>
      <c r="AZ687" s="264"/>
      <c r="BA687" s="264"/>
      <c r="BB687" s="264"/>
      <c r="BC687" s="264"/>
      <c r="BD687" s="264"/>
    </row>
    <row r="688">
      <c r="A688" s="264"/>
      <c r="B688" s="264"/>
      <c r="C688" s="264"/>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c r="AA688" s="264"/>
      <c r="AB688" s="264"/>
      <c r="AC688" s="264"/>
      <c r="AD688" s="264"/>
      <c r="AE688" s="264"/>
      <c r="AF688" s="264"/>
      <c r="AG688" s="264"/>
      <c r="AH688" s="264"/>
      <c r="AI688" s="264"/>
      <c r="AJ688" s="264"/>
      <c r="AK688" s="264"/>
      <c r="AL688" s="264"/>
      <c r="AM688" s="264"/>
      <c r="AN688" s="264"/>
      <c r="AO688" s="264"/>
      <c r="AP688" s="264"/>
      <c r="AQ688" s="264"/>
      <c r="AR688" s="264"/>
      <c r="AS688" s="264"/>
      <c r="AT688" s="264"/>
      <c r="AU688" s="264"/>
      <c r="AV688" s="264"/>
      <c r="AW688" s="264"/>
      <c r="AX688" s="264"/>
      <c r="AY688" s="264"/>
      <c r="AZ688" s="264"/>
      <c r="BA688" s="264"/>
      <c r="BB688" s="264"/>
      <c r="BC688" s="264"/>
      <c r="BD688" s="264"/>
    </row>
    <row r="689">
      <c r="A689" s="264"/>
      <c r="B689" s="264"/>
      <c r="C689" s="264"/>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c r="AA689" s="264"/>
      <c r="AB689" s="264"/>
      <c r="AC689" s="264"/>
      <c r="AD689" s="264"/>
      <c r="AE689" s="264"/>
      <c r="AF689" s="264"/>
      <c r="AG689" s="264"/>
      <c r="AH689" s="264"/>
      <c r="AI689" s="264"/>
      <c r="AJ689" s="264"/>
      <c r="AK689" s="264"/>
      <c r="AL689" s="264"/>
      <c r="AM689" s="264"/>
      <c r="AN689" s="264"/>
      <c r="AO689" s="264"/>
      <c r="AP689" s="264"/>
      <c r="AQ689" s="264"/>
      <c r="AR689" s="264"/>
      <c r="AS689" s="264"/>
      <c r="AT689" s="264"/>
      <c r="AU689" s="264"/>
      <c r="AV689" s="264"/>
      <c r="AW689" s="264"/>
      <c r="AX689" s="264"/>
      <c r="AY689" s="264"/>
      <c r="AZ689" s="264"/>
      <c r="BA689" s="264"/>
      <c r="BB689" s="264"/>
      <c r="BC689" s="264"/>
      <c r="BD689" s="264"/>
    </row>
    <row r="690">
      <c r="A690" s="264"/>
      <c r="B690" s="264"/>
      <c r="C690" s="264"/>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c r="AA690" s="264"/>
      <c r="AB690" s="264"/>
      <c r="AC690" s="264"/>
      <c r="AD690" s="264"/>
      <c r="AE690" s="264"/>
      <c r="AF690" s="264"/>
      <c r="AG690" s="264"/>
      <c r="AH690" s="264"/>
      <c r="AI690" s="264"/>
      <c r="AJ690" s="264"/>
      <c r="AK690" s="264"/>
      <c r="AL690" s="264"/>
      <c r="AM690" s="264"/>
      <c r="AN690" s="264"/>
      <c r="AO690" s="264"/>
      <c r="AP690" s="264"/>
      <c r="AQ690" s="264"/>
      <c r="AR690" s="264"/>
      <c r="AS690" s="264"/>
      <c r="AT690" s="264"/>
      <c r="AU690" s="264"/>
      <c r="AV690" s="264"/>
      <c r="AW690" s="264"/>
      <c r="AX690" s="264"/>
      <c r="AY690" s="264"/>
      <c r="AZ690" s="264"/>
      <c r="BA690" s="264"/>
      <c r="BB690" s="264"/>
      <c r="BC690" s="264"/>
      <c r="BD690" s="264"/>
    </row>
    <row r="691">
      <c r="A691" s="264"/>
      <c r="B691" s="264"/>
      <c r="C691" s="264"/>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c r="AA691" s="264"/>
      <c r="AB691" s="264"/>
      <c r="AC691" s="264"/>
      <c r="AD691" s="264"/>
      <c r="AE691" s="264"/>
      <c r="AF691" s="264"/>
      <c r="AG691" s="264"/>
      <c r="AH691" s="264"/>
      <c r="AI691" s="264"/>
      <c r="AJ691" s="264"/>
      <c r="AK691" s="264"/>
      <c r="AL691" s="264"/>
      <c r="AM691" s="264"/>
      <c r="AN691" s="264"/>
      <c r="AO691" s="264"/>
      <c r="AP691" s="264"/>
      <c r="AQ691" s="264"/>
      <c r="AR691" s="264"/>
      <c r="AS691" s="264"/>
      <c r="AT691" s="264"/>
      <c r="AU691" s="264"/>
      <c r="AV691" s="264"/>
      <c r="AW691" s="264"/>
      <c r="AX691" s="264"/>
      <c r="AY691" s="264"/>
      <c r="AZ691" s="264"/>
      <c r="BA691" s="264"/>
      <c r="BB691" s="264"/>
      <c r="BC691" s="264"/>
      <c r="BD691" s="264"/>
    </row>
    <row r="692">
      <c r="A692" s="264"/>
      <c r="B692" s="264"/>
      <c r="C692" s="264"/>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c r="AA692" s="264"/>
      <c r="AB692" s="264"/>
      <c r="AC692" s="264"/>
      <c r="AD692" s="264"/>
      <c r="AE692" s="264"/>
      <c r="AF692" s="264"/>
      <c r="AG692" s="264"/>
      <c r="AH692" s="264"/>
      <c r="AI692" s="264"/>
      <c r="AJ692" s="264"/>
      <c r="AK692" s="264"/>
      <c r="AL692" s="264"/>
      <c r="AM692" s="264"/>
      <c r="AN692" s="264"/>
      <c r="AO692" s="264"/>
      <c r="AP692" s="264"/>
      <c r="AQ692" s="264"/>
      <c r="AR692" s="264"/>
      <c r="AS692" s="264"/>
      <c r="AT692" s="264"/>
      <c r="AU692" s="264"/>
      <c r="AV692" s="264"/>
      <c r="AW692" s="264"/>
      <c r="AX692" s="264"/>
      <c r="AY692" s="264"/>
      <c r="AZ692" s="264"/>
      <c r="BA692" s="264"/>
      <c r="BB692" s="264"/>
      <c r="BC692" s="264"/>
      <c r="BD692" s="264"/>
    </row>
    <row r="693">
      <c r="A693" s="264"/>
      <c r="B693" s="264"/>
      <c r="C693" s="264"/>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c r="AA693" s="264"/>
      <c r="AB693" s="264"/>
      <c r="AC693" s="264"/>
      <c r="AD693" s="264"/>
      <c r="AE693" s="264"/>
      <c r="AF693" s="264"/>
      <c r="AG693" s="264"/>
      <c r="AH693" s="264"/>
      <c r="AI693" s="264"/>
      <c r="AJ693" s="264"/>
      <c r="AK693" s="264"/>
      <c r="AL693" s="264"/>
      <c r="AM693" s="264"/>
      <c r="AN693" s="264"/>
      <c r="AO693" s="264"/>
      <c r="AP693" s="264"/>
      <c r="AQ693" s="264"/>
      <c r="AR693" s="264"/>
      <c r="AS693" s="264"/>
      <c r="AT693" s="264"/>
      <c r="AU693" s="264"/>
      <c r="AV693" s="264"/>
      <c r="AW693" s="264"/>
      <c r="AX693" s="264"/>
      <c r="AY693" s="264"/>
      <c r="AZ693" s="264"/>
      <c r="BA693" s="264"/>
      <c r="BB693" s="264"/>
      <c r="BC693" s="264"/>
      <c r="BD693" s="264"/>
    </row>
    <row r="694">
      <c r="A694" s="264"/>
      <c r="B694" s="264"/>
      <c r="C694" s="264"/>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c r="AA694" s="264"/>
      <c r="AB694" s="264"/>
      <c r="AC694" s="264"/>
      <c r="AD694" s="264"/>
      <c r="AE694" s="264"/>
      <c r="AF694" s="264"/>
      <c r="AG694" s="264"/>
      <c r="AH694" s="264"/>
      <c r="AI694" s="264"/>
      <c r="AJ694" s="264"/>
      <c r="AK694" s="264"/>
      <c r="AL694" s="264"/>
      <c r="AM694" s="264"/>
      <c r="AN694" s="264"/>
      <c r="AO694" s="264"/>
      <c r="AP694" s="264"/>
      <c r="AQ694" s="264"/>
      <c r="AR694" s="264"/>
      <c r="AS694" s="264"/>
      <c r="AT694" s="264"/>
      <c r="AU694" s="264"/>
      <c r="AV694" s="264"/>
      <c r="AW694" s="264"/>
      <c r="AX694" s="264"/>
      <c r="AY694" s="264"/>
      <c r="AZ694" s="264"/>
      <c r="BA694" s="264"/>
      <c r="BB694" s="264"/>
      <c r="BC694" s="264"/>
      <c r="BD694" s="264"/>
    </row>
    <row r="695">
      <c r="A695" s="264"/>
      <c r="B695" s="264"/>
      <c r="C695" s="264"/>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c r="AA695" s="264"/>
      <c r="AB695" s="264"/>
      <c r="AC695" s="264"/>
      <c r="AD695" s="264"/>
      <c r="AE695" s="264"/>
      <c r="AF695" s="264"/>
      <c r="AG695" s="264"/>
      <c r="AH695" s="264"/>
      <c r="AI695" s="264"/>
      <c r="AJ695" s="264"/>
      <c r="AK695" s="264"/>
      <c r="AL695" s="264"/>
      <c r="AM695" s="264"/>
      <c r="AN695" s="264"/>
      <c r="AO695" s="264"/>
      <c r="AP695" s="264"/>
      <c r="AQ695" s="264"/>
      <c r="AR695" s="264"/>
      <c r="AS695" s="264"/>
      <c r="AT695" s="264"/>
      <c r="AU695" s="264"/>
      <c r="AV695" s="264"/>
      <c r="AW695" s="264"/>
      <c r="AX695" s="264"/>
      <c r="AY695" s="264"/>
      <c r="AZ695" s="264"/>
      <c r="BA695" s="264"/>
      <c r="BB695" s="264"/>
      <c r="BC695" s="264"/>
      <c r="BD695" s="264"/>
    </row>
    <row r="696">
      <c r="A696" s="264"/>
      <c r="B696" s="264"/>
      <c r="C696" s="264"/>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c r="AA696" s="264"/>
      <c r="AB696" s="264"/>
      <c r="AC696" s="264"/>
      <c r="AD696" s="264"/>
      <c r="AE696" s="264"/>
      <c r="AF696" s="264"/>
      <c r="AG696" s="264"/>
      <c r="AH696" s="264"/>
      <c r="AI696" s="264"/>
      <c r="AJ696" s="264"/>
      <c r="AK696" s="264"/>
      <c r="AL696" s="264"/>
      <c r="AM696" s="264"/>
      <c r="AN696" s="264"/>
      <c r="AO696" s="264"/>
      <c r="AP696" s="264"/>
      <c r="AQ696" s="264"/>
      <c r="AR696" s="264"/>
      <c r="AS696" s="264"/>
      <c r="AT696" s="264"/>
      <c r="AU696" s="264"/>
      <c r="AV696" s="264"/>
      <c r="AW696" s="264"/>
      <c r="AX696" s="264"/>
      <c r="AY696" s="264"/>
      <c r="AZ696" s="264"/>
      <c r="BA696" s="264"/>
      <c r="BB696" s="264"/>
      <c r="BC696" s="264"/>
      <c r="BD696" s="264"/>
    </row>
    <row r="697">
      <c r="A697" s="264"/>
      <c r="B697" s="264"/>
      <c r="C697" s="264"/>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c r="AA697" s="264"/>
      <c r="AB697" s="264"/>
      <c r="AC697" s="264"/>
      <c r="AD697" s="264"/>
      <c r="AE697" s="264"/>
      <c r="AF697" s="264"/>
      <c r="AG697" s="264"/>
      <c r="AH697" s="264"/>
      <c r="AI697" s="264"/>
      <c r="AJ697" s="264"/>
      <c r="AK697" s="264"/>
      <c r="AL697" s="264"/>
      <c r="AM697" s="264"/>
      <c r="AN697" s="264"/>
      <c r="AO697" s="264"/>
      <c r="AP697" s="264"/>
      <c r="AQ697" s="264"/>
      <c r="AR697" s="264"/>
      <c r="AS697" s="264"/>
      <c r="AT697" s="264"/>
      <c r="AU697" s="264"/>
      <c r="AV697" s="264"/>
      <c r="AW697" s="264"/>
      <c r="AX697" s="264"/>
      <c r="AY697" s="264"/>
      <c r="AZ697" s="264"/>
      <c r="BA697" s="264"/>
      <c r="BB697" s="264"/>
      <c r="BC697" s="264"/>
      <c r="BD697" s="264"/>
    </row>
    <row r="698">
      <c r="A698" s="264"/>
      <c r="B698" s="264"/>
      <c r="C698" s="264"/>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c r="AA698" s="264"/>
      <c r="AB698" s="264"/>
      <c r="AC698" s="264"/>
      <c r="AD698" s="264"/>
      <c r="AE698" s="264"/>
      <c r="AF698" s="264"/>
      <c r="AG698" s="264"/>
      <c r="AH698" s="264"/>
      <c r="AI698" s="264"/>
      <c r="AJ698" s="264"/>
      <c r="AK698" s="264"/>
      <c r="AL698" s="264"/>
      <c r="AM698" s="264"/>
      <c r="AN698" s="264"/>
      <c r="AO698" s="264"/>
      <c r="AP698" s="264"/>
      <c r="AQ698" s="264"/>
      <c r="AR698" s="264"/>
      <c r="AS698" s="264"/>
      <c r="AT698" s="264"/>
      <c r="AU698" s="264"/>
      <c r="AV698" s="264"/>
      <c r="AW698" s="264"/>
      <c r="AX698" s="264"/>
      <c r="AY698" s="264"/>
      <c r="AZ698" s="264"/>
      <c r="BA698" s="264"/>
      <c r="BB698" s="264"/>
      <c r="BC698" s="264"/>
      <c r="BD698" s="264"/>
    </row>
    <row r="699">
      <c r="A699" s="264"/>
      <c r="B699" s="264"/>
      <c r="C699" s="264"/>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4"/>
      <c r="AY699" s="264"/>
      <c r="AZ699" s="264"/>
      <c r="BA699" s="264"/>
      <c r="BB699" s="264"/>
      <c r="BC699" s="264"/>
      <c r="BD699" s="264"/>
    </row>
    <row r="700">
      <c r="A700" s="264"/>
      <c r="B700" s="264"/>
      <c r="C700" s="264"/>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c r="AA700" s="264"/>
      <c r="AB700" s="264"/>
      <c r="AC700" s="264"/>
      <c r="AD700" s="264"/>
      <c r="AE700" s="264"/>
      <c r="AF700" s="264"/>
      <c r="AG700" s="264"/>
      <c r="AH700" s="264"/>
      <c r="AI700" s="264"/>
      <c r="AJ700" s="264"/>
      <c r="AK700" s="264"/>
      <c r="AL700" s="264"/>
      <c r="AM700" s="264"/>
      <c r="AN700" s="264"/>
      <c r="AO700" s="264"/>
      <c r="AP700" s="264"/>
      <c r="AQ700" s="264"/>
      <c r="AR700" s="264"/>
      <c r="AS700" s="264"/>
      <c r="AT700" s="264"/>
      <c r="AU700" s="264"/>
      <c r="AV700" s="264"/>
      <c r="AW700" s="264"/>
      <c r="AX700" s="264"/>
      <c r="AY700" s="264"/>
      <c r="AZ700" s="264"/>
      <c r="BA700" s="264"/>
      <c r="BB700" s="264"/>
      <c r="BC700" s="264"/>
      <c r="BD700" s="264"/>
    </row>
    <row r="701">
      <c r="A701" s="264"/>
      <c r="B701" s="264"/>
      <c r="C701" s="264"/>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c r="AA701" s="264"/>
      <c r="AB701" s="264"/>
      <c r="AC701" s="264"/>
      <c r="AD701" s="264"/>
      <c r="AE701" s="264"/>
      <c r="AF701" s="264"/>
      <c r="AG701" s="264"/>
      <c r="AH701" s="264"/>
      <c r="AI701" s="264"/>
      <c r="AJ701" s="264"/>
      <c r="AK701" s="264"/>
      <c r="AL701" s="264"/>
      <c r="AM701" s="264"/>
      <c r="AN701" s="264"/>
      <c r="AO701" s="264"/>
      <c r="AP701" s="264"/>
      <c r="AQ701" s="264"/>
      <c r="AR701" s="264"/>
      <c r="AS701" s="264"/>
      <c r="AT701" s="264"/>
      <c r="AU701" s="264"/>
      <c r="AV701" s="264"/>
      <c r="AW701" s="264"/>
      <c r="AX701" s="264"/>
      <c r="AY701" s="264"/>
      <c r="AZ701" s="264"/>
      <c r="BA701" s="264"/>
      <c r="BB701" s="264"/>
      <c r="BC701" s="264"/>
      <c r="BD701" s="264"/>
    </row>
    <row r="702">
      <c r="A702" s="264"/>
      <c r="B702" s="264"/>
      <c r="C702" s="264"/>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c r="AA702" s="264"/>
      <c r="AB702" s="264"/>
      <c r="AC702" s="264"/>
      <c r="AD702" s="264"/>
      <c r="AE702" s="264"/>
      <c r="AF702" s="264"/>
      <c r="AG702" s="264"/>
      <c r="AH702" s="264"/>
      <c r="AI702" s="264"/>
      <c r="AJ702" s="264"/>
      <c r="AK702" s="264"/>
      <c r="AL702" s="264"/>
      <c r="AM702" s="264"/>
      <c r="AN702" s="264"/>
      <c r="AO702" s="264"/>
      <c r="AP702" s="264"/>
      <c r="AQ702" s="264"/>
      <c r="AR702" s="264"/>
      <c r="AS702" s="264"/>
      <c r="AT702" s="264"/>
      <c r="AU702" s="264"/>
      <c r="AV702" s="264"/>
      <c r="AW702" s="264"/>
      <c r="AX702" s="264"/>
      <c r="AY702" s="264"/>
      <c r="AZ702" s="264"/>
      <c r="BA702" s="264"/>
      <c r="BB702" s="264"/>
      <c r="BC702" s="264"/>
      <c r="BD702" s="264"/>
    </row>
    <row r="703">
      <c r="A703" s="264"/>
      <c r="B703" s="264"/>
      <c r="C703" s="264"/>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c r="AA703" s="264"/>
      <c r="AB703" s="264"/>
      <c r="AC703" s="264"/>
      <c r="AD703" s="264"/>
      <c r="AE703" s="264"/>
      <c r="AF703" s="264"/>
      <c r="AG703" s="264"/>
      <c r="AH703" s="264"/>
      <c r="AI703" s="264"/>
      <c r="AJ703" s="264"/>
      <c r="AK703" s="264"/>
      <c r="AL703" s="264"/>
      <c r="AM703" s="264"/>
      <c r="AN703" s="264"/>
      <c r="AO703" s="264"/>
      <c r="AP703" s="264"/>
      <c r="AQ703" s="264"/>
      <c r="AR703" s="264"/>
      <c r="AS703" s="264"/>
      <c r="AT703" s="264"/>
      <c r="AU703" s="264"/>
      <c r="AV703" s="264"/>
      <c r="AW703" s="264"/>
      <c r="AX703" s="264"/>
      <c r="AY703" s="264"/>
      <c r="AZ703" s="264"/>
      <c r="BA703" s="264"/>
      <c r="BB703" s="264"/>
      <c r="BC703" s="264"/>
      <c r="BD703" s="264"/>
    </row>
    <row r="704">
      <c r="A704" s="264"/>
      <c r="B704" s="264"/>
      <c r="C704" s="264"/>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c r="AA704" s="264"/>
      <c r="AB704" s="264"/>
      <c r="AC704" s="264"/>
      <c r="AD704" s="264"/>
      <c r="AE704" s="264"/>
      <c r="AF704" s="264"/>
      <c r="AG704" s="264"/>
      <c r="AH704" s="264"/>
      <c r="AI704" s="264"/>
      <c r="AJ704" s="264"/>
      <c r="AK704" s="264"/>
      <c r="AL704" s="264"/>
      <c r="AM704" s="264"/>
      <c r="AN704" s="264"/>
      <c r="AO704" s="264"/>
      <c r="AP704" s="264"/>
      <c r="AQ704" s="264"/>
      <c r="AR704" s="264"/>
      <c r="AS704" s="264"/>
      <c r="AT704" s="264"/>
      <c r="AU704" s="264"/>
      <c r="AV704" s="264"/>
      <c r="AW704" s="264"/>
      <c r="AX704" s="264"/>
      <c r="AY704" s="264"/>
      <c r="AZ704" s="264"/>
      <c r="BA704" s="264"/>
      <c r="BB704" s="264"/>
      <c r="BC704" s="264"/>
      <c r="BD704" s="264"/>
    </row>
    <row r="705">
      <c r="A705" s="264"/>
      <c r="B705" s="264"/>
      <c r="C705" s="264"/>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c r="AA705" s="264"/>
      <c r="AB705" s="264"/>
      <c r="AC705" s="264"/>
      <c r="AD705" s="264"/>
      <c r="AE705" s="264"/>
      <c r="AF705" s="264"/>
      <c r="AG705" s="264"/>
      <c r="AH705" s="264"/>
      <c r="AI705" s="264"/>
      <c r="AJ705" s="264"/>
      <c r="AK705" s="264"/>
      <c r="AL705" s="264"/>
      <c r="AM705" s="264"/>
      <c r="AN705" s="264"/>
      <c r="AO705" s="264"/>
      <c r="AP705" s="264"/>
      <c r="AQ705" s="264"/>
      <c r="AR705" s="264"/>
      <c r="AS705" s="264"/>
      <c r="AT705" s="264"/>
      <c r="AU705" s="264"/>
      <c r="AV705" s="264"/>
      <c r="AW705" s="264"/>
      <c r="AX705" s="264"/>
      <c r="AY705" s="264"/>
      <c r="AZ705" s="264"/>
      <c r="BA705" s="264"/>
      <c r="BB705" s="264"/>
      <c r="BC705" s="264"/>
      <c r="BD705" s="264"/>
    </row>
    <row r="706">
      <c r="A706" s="264"/>
      <c r="B706" s="264"/>
      <c r="C706" s="264"/>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c r="AA706" s="264"/>
      <c r="AB706" s="264"/>
      <c r="AC706" s="264"/>
      <c r="AD706" s="264"/>
      <c r="AE706" s="264"/>
      <c r="AF706" s="264"/>
      <c r="AG706" s="264"/>
      <c r="AH706" s="264"/>
      <c r="AI706" s="264"/>
      <c r="AJ706" s="264"/>
      <c r="AK706" s="264"/>
      <c r="AL706" s="264"/>
      <c r="AM706" s="264"/>
      <c r="AN706" s="264"/>
      <c r="AO706" s="264"/>
      <c r="AP706" s="264"/>
      <c r="AQ706" s="264"/>
      <c r="AR706" s="264"/>
      <c r="AS706" s="264"/>
      <c r="AT706" s="264"/>
      <c r="AU706" s="264"/>
      <c r="AV706" s="264"/>
      <c r="AW706" s="264"/>
      <c r="AX706" s="264"/>
      <c r="AY706" s="264"/>
      <c r="AZ706" s="264"/>
      <c r="BA706" s="264"/>
      <c r="BB706" s="264"/>
      <c r="BC706" s="264"/>
      <c r="BD706" s="264"/>
    </row>
    <row r="707">
      <c r="A707" s="264"/>
      <c r="B707" s="264"/>
      <c r="C707" s="264"/>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c r="AA707" s="264"/>
      <c r="AB707" s="264"/>
      <c r="AC707" s="264"/>
      <c r="AD707" s="264"/>
      <c r="AE707" s="264"/>
      <c r="AF707" s="264"/>
      <c r="AG707" s="264"/>
      <c r="AH707" s="264"/>
      <c r="AI707" s="264"/>
      <c r="AJ707" s="264"/>
      <c r="AK707" s="264"/>
      <c r="AL707" s="264"/>
      <c r="AM707" s="264"/>
      <c r="AN707" s="264"/>
      <c r="AO707" s="264"/>
      <c r="AP707" s="264"/>
      <c r="AQ707" s="264"/>
      <c r="AR707" s="264"/>
      <c r="AS707" s="264"/>
      <c r="AT707" s="264"/>
      <c r="AU707" s="264"/>
      <c r="AV707" s="264"/>
      <c r="AW707" s="264"/>
      <c r="AX707" s="264"/>
      <c r="AY707" s="264"/>
      <c r="AZ707" s="264"/>
      <c r="BA707" s="264"/>
      <c r="BB707" s="264"/>
      <c r="BC707" s="264"/>
      <c r="BD707" s="264"/>
    </row>
    <row r="708">
      <c r="A708" s="264"/>
      <c r="B708" s="264"/>
      <c r="C708" s="264"/>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c r="AA708" s="264"/>
      <c r="AB708" s="264"/>
      <c r="AC708" s="264"/>
      <c r="AD708" s="264"/>
      <c r="AE708" s="264"/>
      <c r="AF708" s="264"/>
      <c r="AG708" s="264"/>
      <c r="AH708" s="264"/>
      <c r="AI708" s="264"/>
      <c r="AJ708" s="264"/>
      <c r="AK708" s="264"/>
      <c r="AL708" s="264"/>
      <c r="AM708" s="264"/>
      <c r="AN708" s="264"/>
      <c r="AO708" s="264"/>
      <c r="AP708" s="264"/>
      <c r="AQ708" s="264"/>
      <c r="AR708" s="264"/>
      <c r="AS708" s="264"/>
      <c r="AT708" s="264"/>
      <c r="AU708" s="264"/>
      <c r="AV708" s="264"/>
      <c r="AW708" s="264"/>
      <c r="AX708" s="264"/>
      <c r="AY708" s="264"/>
      <c r="AZ708" s="264"/>
      <c r="BA708" s="264"/>
      <c r="BB708" s="264"/>
      <c r="BC708" s="264"/>
      <c r="BD708" s="264"/>
    </row>
    <row r="709">
      <c r="A709" s="264"/>
      <c r="B709" s="264"/>
      <c r="C709" s="264"/>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c r="AA709" s="264"/>
      <c r="AB709" s="264"/>
      <c r="AC709" s="264"/>
      <c r="AD709" s="264"/>
      <c r="AE709" s="264"/>
      <c r="AF709" s="264"/>
      <c r="AG709" s="264"/>
      <c r="AH709" s="264"/>
      <c r="AI709" s="264"/>
      <c r="AJ709" s="264"/>
      <c r="AK709" s="264"/>
      <c r="AL709" s="264"/>
      <c r="AM709" s="264"/>
      <c r="AN709" s="264"/>
      <c r="AO709" s="264"/>
      <c r="AP709" s="264"/>
      <c r="AQ709" s="264"/>
      <c r="AR709" s="264"/>
      <c r="AS709" s="264"/>
      <c r="AT709" s="264"/>
      <c r="AU709" s="264"/>
      <c r="AV709" s="264"/>
      <c r="AW709" s="264"/>
      <c r="AX709" s="264"/>
      <c r="AY709" s="264"/>
      <c r="AZ709" s="264"/>
      <c r="BA709" s="264"/>
      <c r="BB709" s="264"/>
      <c r="BC709" s="264"/>
      <c r="BD709" s="264"/>
    </row>
    <row r="710">
      <c r="A710" s="264"/>
      <c r="B710" s="264"/>
      <c r="C710" s="264"/>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c r="AA710" s="264"/>
      <c r="AB710" s="264"/>
      <c r="AC710" s="264"/>
      <c r="AD710" s="264"/>
      <c r="AE710" s="264"/>
      <c r="AF710" s="264"/>
      <c r="AG710" s="264"/>
      <c r="AH710" s="264"/>
      <c r="AI710" s="264"/>
      <c r="AJ710" s="264"/>
      <c r="AK710" s="264"/>
      <c r="AL710" s="264"/>
      <c r="AM710" s="264"/>
      <c r="AN710" s="264"/>
      <c r="AO710" s="264"/>
      <c r="AP710" s="264"/>
      <c r="AQ710" s="264"/>
      <c r="AR710" s="264"/>
      <c r="AS710" s="264"/>
      <c r="AT710" s="264"/>
      <c r="AU710" s="264"/>
      <c r="AV710" s="264"/>
      <c r="AW710" s="264"/>
      <c r="AX710" s="264"/>
      <c r="AY710" s="264"/>
      <c r="AZ710" s="264"/>
      <c r="BA710" s="264"/>
      <c r="BB710" s="264"/>
      <c r="BC710" s="264"/>
      <c r="BD710" s="264"/>
    </row>
    <row r="711">
      <c r="A711" s="264"/>
      <c r="B711" s="264"/>
      <c r="C711" s="264"/>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c r="AA711" s="264"/>
      <c r="AB711" s="264"/>
      <c r="AC711" s="264"/>
      <c r="AD711" s="264"/>
      <c r="AE711" s="264"/>
      <c r="AF711" s="264"/>
      <c r="AG711" s="264"/>
      <c r="AH711" s="264"/>
      <c r="AI711" s="264"/>
      <c r="AJ711" s="264"/>
      <c r="AK711" s="264"/>
      <c r="AL711" s="264"/>
      <c r="AM711" s="264"/>
      <c r="AN711" s="264"/>
      <c r="AO711" s="264"/>
      <c r="AP711" s="264"/>
      <c r="AQ711" s="264"/>
      <c r="AR711" s="264"/>
      <c r="AS711" s="264"/>
      <c r="AT711" s="264"/>
      <c r="AU711" s="264"/>
      <c r="AV711" s="264"/>
      <c r="AW711" s="264"/>
      <c r="AX711" s="264"/>
      <c r="AY711" s="264"/>
      <c r="AZ711" s="264"/>
      <c r="BA711" s="264"/>
      <c r="BB711" s="264"/>
      <c r="BC711" s="264"/>
      <c r="BD711" s="264"/>
    </row>
    <row r="712">
      <c r="A712" s="264"/>
      <c r="B712" s="264"/>
      <c r="C712" s="264"/>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c r="AA712" s="264"/>
      <c r="AB712" s="264"/>
      <c r="AC712" s="264"/>
      <c r="AD712" s="264"/>
      <c r="AE712" s="264"/>
      <c r="AF712" s="264"/>
      <c r="AG712" s="264"/>
      <c r="AH712" s="264"/>
      <c r="AI712" s="264"/>
      <c r="AJ712" s="264"/>
      <c r="AK712" s="264"/>
      <c r="AL712" s="264"/>
      <c r="AM712" s="264"/>
      <c r="AN712" s="264"/>
      <c r="AO712" s="264"/>
      <c r="AP712" s="264"/>
      <c r="AQ712" s="264"/>
      <c r="AR712" s="264"/>
      <c r="AS712" s="264"/>
      <c r="AT712" s="264"/>
      <c r="AU712" s="264"/>
      <c r="AV712" s="264"/>
      <c r="AW712" s="264"/>
      <c r="AX712" s="264"/>
      <c r="AY712" s="264"/>
      <c r="AZ712" s="264"/>
      <c r="BA712" s="264"/>
      <c r="BB712" s="264"/>
      <c r="BC712" s="264"/>
      <c r="BD712" s="264"/>
    </row>
    <row r="713">
      <c r="A713" s="264"/>
      <c r="B713" s="264"/>
      <c r="C713" s="264"/>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c r="AA713" s="264"/>
      <c r="AB713" s="264"/>
      <c r="AC713" s="264"/>
      <c r="AD713" s="264"/>
      <c r="AE713" s="264"/>
      <c r="AF713" s="264"/>
      <c r="AG713" s="264"/>
      <c r="AH713" s="264"/>
      <c r="AI713" s="264"/>
      <c r="AJ713" s="264"/>
      <c r="AK713" s="264"/>
      <c r="AL713" s="264"/>
      <c r="AM713" s="264"/>
      <c r="AN713" s="264"/>
      <c r="AO713" s="264"/>
      <c r="AP713" s="264"/>
      <c r="AQ713" s="264"/>
      <c r="AR713" s="264"/>
      <c r="AS713" s="264"/>
      <c r="AT713" s="264"/>
      <c r="AU713" s="264"/>
      <c r="AV713" s="264"/>
      <c r="AW713" s="264"/>
      <c r="AX713" s="264"/>
      <c r="AY713" s="264"/>
      <c r="AZ713" s="264"/>
      <c r="BA713" s="264"/>
      <c r="BB713" s="264"/>
      <c r="BC713" s="264"/>
      <c r="BD713" s="264"/>
    </row>
    <row r="714">
      <c r="A714" s="264"/>
      <c r="B714" s="264"/>
      <c r="C714" s="264"/>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c r="AA714" s="264"/>
      <c r="AB714" s="264"/>
      <c r="AC714" s="264"/>
      <c r="AD714" s="264"/>
      <c r="AE714" s="264"/>
      <c r="AF714" s="264"/>
      <c r="AG714" s="264"/>
      <c r="AH714" s="264"/>
      <c r="AI714" s="264"/>
      <c r="AJ714" s="264"/>
      <c r="AK714" s="264"/>
      <c r="AL714" s="264"/>
      <c r="AM714" s="264"/>
      <c r="AN714" s="264"/>
      <c r="AO714" s="264"/>
      <c r="AP714" s="264"/>
      <c r="AQ714" s="264"/>
      <c r="AR714" s="264"/>
      <c r="AS714" s="264"/>
      <c r="AT714" s="264"/>
      <c r="AU714" s="264"/>
      <c r="AV714" s="264"/>
      <c r="AW714" s="264"/>
      <c r="AX714" s="264"/>
      <c r="AY714" s="264"/>
      <c r="AZ714" s="264"/>
      <c r="BA714" s="264"/>
      <c r="BB714" s="264"/>
      <c r="BC714" s="264"/>
      <c r="BD714" s="264"/>
    </row>
    <row r="715">
      <c r="A715" s="264"/>
      <c r="B715" s="264"/>
      <c r="C715" s="264"/>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c r="AA715" s="264"/>
      <c r="AB715" s="264"/>
      <c r="AC715" s="264"/>
      <c r="AD715" s="264"/>
      <c r="AE715" s="264"/>
      <c r="AF715" s="264"/>
      <c r="AG715" s="264"/>
      <c r="AH715" s="264"/>
      <c r="AI715" s="264"/>
      <c r="AJ715" s="264"/>
      <c r="AK715" s="264"/>
      <c r="AL715" s="264"/>
      <c r="AM715" s="264"/>
      <c r="AN715" s="264"/>
      <c r="AO715" s="264"/>
      <c r="AP715" s="264"/>
      <c r="AQ715" s="264"/>
      <c r="AR715" s="264"/>
      <c r="AS715" s="264"/>
      <c r="AT715" s="264"/>
      <c r="AU715" s="264"/>
      <c r="AV715" s="264"/>
      <c r="AW715" s="264"/>
      <c r="AX715" s="264"/>
      <c r="AY715" s="264"/>
      <c r="AZ715" s="264"/>
      <c r="BA715" s="264"/>
      <c r="BB715" s="264"/>
      <c r="BC715" s="264"/>
      <c r="BD715" s="264"/>
    </row>
    <row r="716">
      <c r="A716" s="264"/>
      <c r="B716" s="264"/>
      <c r="C716" s="264"/>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c r="AA716" s="264"/>
      <c r="AB716" s="264"/>
      <c r="AC716" s="264"/>
      <c r="AD716" s="264"/>
      <c r="AE716" s="264"/>
      <c r="AF716" s="264"/>
      <c r="AG716" s="264"/>
      <c r="AH716" s="264"/>
      <c r="AI716" s="264"/>
      <c r="AJ716" s="264"/>
      <c r="AK716" s="264"/>
      <c r="AL716" s="264"/>
      <c r="AM716" s="264"/>
      <c r="AN716" s="264"/>
      <c r="AO716" s="264"/>
      <c r="AP716" s="264"/>
      <c r="AQ716" s="264"/>
      <c r="AR716" s="264"/>
      <c r="AS716" s="264"/>
      <c r="AT716" s="264"/>
      <c r="AU716" s="264"/>
      <c r="AV716" s="264"/>
      <c r="AW716" s="264"/>
      <c r="AX716" s="264"/>
      <c r="AY716" s="264"/>
      <c r="AZ716" s="264"/>
      <c r="BA716" s="264"/>
      <c r="BB716" s="264"/>
      <c r="BC716" s="264"/>
      <c r="BD716" s="264"/>
    </row>
    <row r="717">
      <c r="A717" s="264"/>
      <c r="B717" s="264"/>
      <c r="C717" s="264"/>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c r="AA717" s="264"/>
      <c r="AB717" s="264"/>
      <c r="AC717" s="264"/>
      <c r="AD717" s="264"/>
      <c r="AE717" s="264"/>
      <c r="AF717" s="264"/>
      <c r="AG717" s="264"/>
      <c r="AH717" s="264"/>
      <c r="AI717" s="264"/>
      <c r="AJ717" s="264"/>
      <c r="AK717" s="264"/>
      <c r="AL717" s="264"/>
      <c r="AM717" s="264"/>
      <c r="AN717" s="264"/>
      <c r="AO717" s="264"/>
      <c r="AP717" s="264"/>
      <c r="AQ717" s="264"/>
      <c r="AR717" s="264"/>
      <c r="AS717" s="264"/>
      <c r="AT717" s="264"/>
      <c r="AU717" s="264"/>
      <c r="AV717" s="264"/>
      <c r="AW717" s="264"/>
      <c r="AX717" s="264"/>
      <c r="AY717" s="264"/>
      <c r="AZ717" s="264"/>
      <c r="BA717" s="264"/>
      <c r="BB717" s="264"/>
      <c r="BC717" s="264"/>
      <c r="BD717" s="264"/>
    </row>
    <row r="718">
      <c r="A718" s="264"/>
      <c r="B718" s="264"/>
      <c r="C718" s="264"/>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c r="AA718" s="264"/>
      <c r="AB718" s="264"/>
      <c r="AC718" s="264"/>
      <c r="AD718" s="264"/>
      <c r="AE718" s="264"/>
      <c r="AF718" s="264"/>
      <c r="AG718" s="264"/>
      <c r="AH718" s="264"/>
      <c r="AI718" s="264"/>
      <c r="AJ718" s="264"/>
      <c r="AK718" s="264"/>
      <c r="AL718" s="264"/>
      <c r="AM718" s="264"/>
      <c r="AN718" s="264"/>
      <c r="AO718" s="264"/>
      <c r="AP718" s="264"/>
      <c r="AQ718" s="264"/>
      <c r="AR718" s="264"/>
      <c r="AS718" s="264"/>
      <c r="AT718" s="264"/>
      <c r="AU718" s="264"/>
      <c r="AV718" s="264"/>
      <c r="AW718" s="264"/>
      <c r="AX718" s="264"/>
      <c r="AY718" s="264"/>
      <c r="AZ718" s="264"/>
      <c r="BA718" s="264"/>
      <c r="BB718" s="264"/>
      <c r="BC718" s="264"/>
      <c r="BD718" s="264"/>
    </row>
    <row r="719">
      <c r="A719" s="264"/>
      <c r="B719" s="264"/>
      <c r="C719" s="264"/>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c r="AA719" s="264"/>
      <c r="AB719" s="264"/>
      <c r="AC719" s="264"/>
      <c r="AD719" s="264"/>
      <c r="AE719" s="264"/>
      <c r="AF719" s="264"/>
      <c r="AG719" s="264"/>
      <c r="AH719" s="264"/>
      <c r="AI719" s="264"/>
      <c r="AJ719" s="264"/>
      <c r="AK719" s="264"/>
      <c r="AL719" s="264"/>
      <c r="AM719" s="264"/>
      <c r="AN719" s="264"/>
      <c r="AO719" s="264"/>
      <c r="AP719" s="264"/>
      <c r="AQ719" s="264"/>
      <c r="AR719" s="264"/>
      <c r="AS719" s="264"/>
      <c r="AT719" s="264"/>
      <c r="AU719" s="264"/>
      <c r="AV719" s="264"/>
      <c r="AW719" s="264"/>
      <c r="AX719" s="264"/>
      <c r="AY719" s="264"/>
      <c r="AZ719" s="264"/>
      <c r="BA719" s="264"/>
      <c r="BB719" s="264"/>
      <c r="BC719" s="264"/>
      <c r="BD719" s="264"/>
    </row>
    <row r="720">
      <c r="A720" s="264"/>
      <c r="B720" s="264"/>
      <c r="C720" s="264"/>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c r="AA720" s="264"/>
      <c r="AB720" s="264"/>
      <c r="AC720" s="264"/>
      <c r="AD720" s="264"/>
      <c r="AE720" s="264"/>
      <c r="AF720" s="264"/>
      <c r="AG720" s="264"/>
      <c r="AH720" s="264"/>
      <c r="AI720" s="264"/>
      <c r="AJ720" s="264"/>
      <c r="AK720" s="264"/>
      <c r="AL720" s="264"/>
      <c r="AM720" s="264"/>
      <c r="AN720" s="264"/>
      <c r="AO720" s="264"/>
      <c r="AP720" s="264"/>
      <c r="AQ720" s="264"/>
      <c r="AR720" s="264"/>
      <c r="AS720" s="264"/>
      <c r="AT720" s="264"/>
      <c r="AU720" s="264"/>
      <c r="AV720" s="264"/>
      <c r="AW720" s="264"/>
      <c r="AX720" s="264"/>
      <c r="AY720" s="264"/>
      <c r="AZ720" s="264"/>
      <c r="BA720" s="264"/>
      <c r="BB720" s="264"/>
      <c r="BC720" s="264"/>
      <c r="BD720" s="264"/>
    </row>
    <row r="721">
      <c r="A721" s="264"/>
      <c r="B721" s="264"/>
      <c r="C721" s="264"/>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c r="AA721" s="264"/>
      <c r="AB721" s="264"/>
      <c r="AC721" s="264"/>
      <c r="AD721" s="264"/>
      <c r="AE721" s="264"/>
      <c r="AF721" s="264"/>
      <c r="AG721" s="264"/>
      <c r="AH721" s="264"/>
      <c r="AI721" s="264"/>
      <c r="AJ721" s="264"/>
      <c r="AK721" s="264"/>
      <c r="AL721" s="264"/>
      <c r="AM721" s="264"/>
      <c r="AN721" s="264"/>
      <c r="AO721" s="264"/>
      <c r="AP721" s="264"/>
      <c r="AQ721" s="264"/>
      <c r="AR721" s="264"/>
      <c r="AS721" s="264"/>
      <c r="AT721" s="264"/>
      <c r="AU721" s="264"/>
      <c r="AV721" s="264"/>
      <c r="AW721" s="264"/>
      <c r="AX721" s="264"/>
      <c r="AY721" s="264"/>
      <c r="AZ721" s="264"/>
      <c r="BA721" s="264"/>
      <c r="BB721" s="264"/>
      <c r="BC721" s="264"/>
      <c r="BD721" s="264"/>
    </row>
    <row r="722">
      <c r="A722" s="264"/>
      <c r="B722" s="264"/>
      <c r="C722" s="264"/>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c r="AA722" s="264"/>
      <c r="AB722" s="264"/>
      <c r="AC722" s="264"/>
      <c r="AD722" s="264"/>
      <c r="AE722" s="264"/>
      <c r="AF722" s="264"/>
      <c r="AG722" s="264"/>
      <c r="AH722" s="264"/>
      <c r="AI722" s="264"/>
      <c r="AJ722" s="264"/>
      <c r="AK722" s="264"/>
      <c r="AL722" s="264"/>
      <c r="AM722" s="264"/>
      <c r="AN722" s="264"/>
      <c r="AO722" s="264"/>
      <c r="AP722" s="264"/>
      <c r="AQ722" s="264"/>
      <c r="AR722" s="264"/>
      <c r="AS722" s="264"/>
      <c r="AT722" s="264"/>
      <c r="AU722" s="264"/>
      <c r="AV722" s="264"/>
      <c r="AW722" s="264"/>
      <c r="AX722" s="264"/>
      <c r="AY722" s="264"/>
      <c r="AZ722" s="264"/>
      <c r="BA722" s="264"/>
      <c r="BB722" s="264"/>
      <c r="BC722" s="264"/>
      <c r="BD722" s="264"/>
    </row>
    <row r="723">
      <c r="A723" s="264"/>
      <c r="B723" s="264"/>
      <c r="C723" s="264"/>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c r="AA723" s="264"/>
      <c r="AB723" s="264"/>
      <c r="AC723" s="264"/>
      <c r="AD723" s="264"/>
      <c r="AE723" s="264"/>
      <c r="AF723" s="264"/>
      <c r="AG723" s="264"/>
      <c r="AH723" s="264"/>
      <c r="AI723" s="264"/>
      <c r="AJ723" s="264"/>
      <c r="AK723" s="264"/>
      <c r="AL723" s="264"/>
      <c r="AM723" s="264"/>
      <c r="AN723" s="264"/>
      <c r="AO723" s="264"/>
      <c r="AP723" s="264"/>
      <c r="AQ723" s="264"/>
      <c r="AR723" s="264"/>
      <c r="AS723" s="264"/>
      <c r="AT723" s="264"/>
      <c r="AU723" s="264"/>
      <c r="AV723" s="264"/>
      <c r="AW723" s="264"/>
      <c r="AX723" s="264"/>
      <c r="AY723" s="264"/>
      <c r="AZ723" s="264"/>
      <c r="BA723" s="264"/>
      <c r="BB723" s="264"/>
      <c r="BC723" s="264"/>
      <c r="BD723" s="264"/>
    </row>
    <row r="724">
      <c r="A724" s="264"/>
      <c r="B724" s="264"/>
      <c r="C724" s="264"/>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c r="AA724" s="264"/>
      <c r="AB724" s="264"/>
      <c r="AC724" s="264"/>
      <c r="AD724" s="264"/>
      <c r="AE724" s="264"/>
      <c r="AF724" s="264"/>
      <c r="AG724" s="264"/>
      <c r="AH724" s="264"/>
      <c r="AI724" s="264"/>
      <c r="AJ724" s="264"/>
      <c r="AK724" s="264"/>
      <c r="AL724" s="264"/>
      <c r="AM724" s="264"/>
      <c r="AN724" s="264"/>
      <c r="AO724" s="264"/>
      <c r="AP724" s="264"/>
      <c r="AQ724" s="264"/>
      <c r="AR724" s="264"/>
      <c r="AS724" s="264"/>
      <c r="AT724" s="264"/>
      <c r="AU724" s="264"/>
      <c r="AV724" s="264"/>
      <c r="AW724" s="264"/>
      <c r="AX724" s="264"/>
      <c r="AY724" s="264"/>
      <c r="AZ724" s="264"/>
      <c r="BA724" s="264"/>
      <c r="BB724" s="264"/>
      <c r="BC724" s="264"/>
      <c r="BD724" s="264"/>
    </row>
    <row r="725">
      <c r="A725" s="264"/>
      <c r="B725" s="264"/>
      <c r="C725" s="264"/>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c r="AA725" s="264"/>
      <c r="AB725" s="264"/>
      <c r="AC725" s="264"/>
      <c r="AD725" s="264"/>
      <c r="AE725" s="264"/>
      <c r="AF725" s="264"/>
      <c r="AG725" s="264"/>
      <c r="AH725" s="264"/>
      <c r="AI725" s="264"/>
      <c r="AJ725" s="264"/>
      <c r="AK725" s="264"/>
      <c r="AL725" s="264"/>
      <c r="AM725" s="264"/>
      <c r="AN725" s="264"/>
      <c r="AO725" s="264"/>
      <c r="AP725" s="264"/>
      <c r="AQ725" s="264"/>
      <c r="AR725" s="264"/>
      <c r="AS725" s="264"/>
      <c r="AT725" s="264"/>
      <c r="AU725" s="264"/>
      <c r="AV725" s="264"/>
      <c r="AW725" s="264"/>
      <c r="AX725" s="264"/>
      <c r="AY725" s="264"/>
      <c r="AZ725" s="264"/>
      <c r="BA725" s="264"/>
      <c r="BB725" s="264"/>
      <c r="BC725" s="264"/>
      <c r="BD725" s="264"/>
    </row>
    <row r="726">
      <c r="A726" s="264"/>
      <c r="B726" s="264"/>
      <c r="C726" s="264"/>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4"/>
      <c r="AY726" s="264"/>
      <c r="AZ726" s="264"/>
      <c r="BA726" s="264"/>
      <c r="BB726" s="264"/>
      <c r="BC726" s="264"/>
      <c r="BD726" s="264"/>
    </row>
    <row r="727">
      <c r="A727" s="264"/>
      <c r="B727" s="264"/>
      <c r="C727" s="264"/>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c r="AA727" s="264"/>
      <c r="AB727" s="264"/>
      <c r="AC727" s="264"/>
      <c r="AD727" s="264"/>
      <c r="AE727" s="264"/>
      <c r="AF727" s="264"/>
      <c r="AG727" s="264"/>
      <c r="AH727" s="264"/>
      <c r="AI727" s="264"/>
      <c r="AJ727" s="264"/>
      <c r="AK727" s="264"/>
      <c r="AL727" s="264"/>
      <c r="AM727" s="264"/>
      <c r="AN727" s="264"/>
      <c r="AO727" s="264"/>
      <c r="AP727" s="264"/>
      <c r="AQ727" s="264"/>
      <c r="AR727" s="264"/>
      <c r="AS727" s="264"/>
      <c r="AT727" s="264"/>
      <c r="AU727" s="264"/>
      <c r="AV727" s="264"/>
      <c r="AW727" s="264"/>
      <c r="AX727" s="264"/>
      <c r="AY727" s="264"/>
      <c r="AZ727" s="264"/>
      <c r="BA727" s="264"/>
      <c r="BB727" s="264"/>
      <c r="BC727" s="264"/>
      <c r="BD727" s="264"/>
    </row>
    <row r="728">
      <c r="A728" s="264"/>
      <c r="B728" s="264"/>
      <c r="C728" s="264"/>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c r="AA728" s="264"/>
      <c r="AB728" s="264"/>
      <c r="AC728" s="264"/>
      <c r="AD728" s="264"/>
      <c r="AE728" s="264"/>
      <c r="AF728" s="264"/>
      <c r="AG728" s="264"/>
      <c r="AH728" s="264"/>
      <c r="AI728" s="264"/>
      <c r="AJ728" s="264"/>
      <c r="AK728" s="264"/>
      <c r="AL728" s="264"/>
      <c r="AM728" s="264"/>
      <c r="AN728" s="264"/>
      <c r="AO728" s="264"/>
      <c r="AP728" s="264"/>
      <c r="AQ728" s="264"/>
      <c r="AR728" s="264"/>
      <c r="AS728" s="264"/>
      <c r="AT728" s="264"/>
      <c r="AU728" s="264"/>
      <c r="AV728" s="264"/>
      <c r="AW728" s="264"/>
      <c r="AX728" s="264"/>
      <c r="AY728" s="264"/>
      <c r="AZ728" s="264"/>
      <c r="BA728" s="264"/>
      <c r="BB728" s="264"/>
      <c r="BC728" s="264"/>
      <c r="BD728" s="264"/>
    </row>
    <row r="729">
      <c r="A729" s="264"/>
      <c r="B729" s="264"/>
      <c r="C729" s="264"/>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c r="AA729" s="264"/>
      <c r="AB729" s="264"/>
      <c r="AC729" s="264"/>
      <c r="AD729" s="264"/>
      <c r="AE729" s="264"/>
      <c r="AF729" s="264"/>
      <c r="AG729" s="264"/>
      <c r="AH729" s="264"/>
      <c r="AI729" s="264"/>
      <c r="AJ729" s="264"/>
      <c r="AK729" s="264"/>
      <c r="AL729" s="264"/>
      <c r="AM729" s="264"/>
      <c r="AN729" s="264"/>
      <c r="AO729" s="264"/>
      <c r="AP729" s="264"/>
      <c r="AQ729" s="264"/>
      <c r="AR729" s="264"/>
      <c r="AS729" s="264"/>
      <c r="AT729" s="264"/>
      <c r="AU729" s="264"/>
      <c r="AV729" s="264"/>
      <c r="AW729" s="264"/>
      <c r="AX729" s="264"/>
      <c r="AY729" s="264"/>
      <c r="AZ729" s="264"/>
      <c r="BA729" s="264"/>
      <c r="BB729" s="264"/>
      <c r="BC729" s="264"/>
      <c r="BD729" s="264"/>
    </row>
    <row r="730">
      <c r="A730" s="264"/>
      <c r="B730" s="264"/>
      <c r="C730" s="264"/>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c r="AA730" s="264"/>
      <c r="AB730" s="264"/>
      <c r="AC730" s="264"/>
      <c r="AD730" s="264"/>
      <c r="AE730" s="264"/>
      <c r="AF730" s="264"/>
      <c r="AG730" s="264"/>
      <c r="AH730" s="264"/>
      <c r="AI730" s="264"/>
      <c r="AJ730" s="264"/>
      <c r="AK730" s="264"/>
      <c r="AL730" s="264"/>
      <c r="AM730" s="264"/>
      <c r="AN730" s="264"/>
      <c r="AO730" s="264"/>
      <c r="AP730" s="264"/>
      <c r="AQ730" s="264"/>
      <c r="AR730" s="264"/>
      <c r="AS730" s="264"/>
      <c r="AT730" s="264"/>
      <c r="AU730" s="264"/>
      <c r="AV730" s="264"/>
      <c r="AW730" s="264"/>
      <c r="AX730" s="264"/>
      <c r="AY730" s="264"/>
      <c r="AZ730" s="264"/>
      <c r="BA730" s="264"/>
      <c r="BB730" s="264"/>
      <c r="BC730" s="264"/>
      <c r="BD730" s="264"/>
    </row>
    <row r="731">
      <c r="A731" s="264"/>
      <c r="B731" s="264"/>
      <c r="C731" s="264"/>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c r="AA731" s="264"/>
      <c r="AB731" s="264"/>
      <c r="AC731" s="264"/>
      <c r="AD731" s="264"/>
      <c r="AE731" s="264"/>
      <c r="AF731" s="264"/>
      <c r="AG731" s="264"/>
      <c r="AH731" s="264"/>
      <c r="AI731" s="264"/>
      <c r="AJ731" s="264"/>
      <c r="AK731" s="264"/>
      <c r="AL731" s="264"/>
      <c r="AM731" s="264"/>
      <c r="AN731" s="264"/>
      <c r="AO731" s="264"/>
      <c r="AP731" s="264"/>
      <c r="AQ731" s="264"/>
      <c r="AR731" s="264"/>
      <c r="AS731" s="264"/>
      <c r="AT731" s="264"/>
      <c r="AU731" s="264"/>
      <c r="AV731" s="264"/>
      <c r="AW731" s="264"/>
      <c r="AX731" s="264"/>
      <c r="AY731" s="264"/>
      <c r="AZ731" s="264"/>
      <c r="BA731" s="264"/>
      <c r="BB731" s="264"/>
      <c r="BC731" s="264"/>
      <c r="BD731" s="264"/>
    </row>
    <row r="732">
      <c r="A732" s="264"/>
      <c r="B732" s="264"/>
      <c r="C732" s="264"/>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c r="AA732" s="264"/>
      <c r="AB732" s="264"/>
      <c r="AC732" s="264"/>
      <c r="AD732" s="264"/>
      <c r="AE732" s="264"/>
      <c r="AF732" s="264"/>
      <c r="AG732" s="264"/>
      <c r="AH732" s="264"/>
      <c r="AI732" s="264"/>
      <c r="AJ732" s="264"/>
      <c r="AK732" s="264"/>
      <c r="AL732" s="264"/>
      <c r="AM732" s="264"/>
      <c r="AN732" s="264"/>
      <c r="AO732" s="264"/>
      <c r="AP732" s="264"/>
      <c r="AQ732" s="264"/>
      <c r="AR732" s="264"/>
      <c r="AS732" s="264"/>
      <c r="AT732" s="264"/>
      <c r="AU732" s="264"/>
      <c r="AV732" s="264"/>
      <c r="AW732" s="264"/>
      <c r="AX732" s="264"/>
      <c r="AY732" s="264"/>
      <c r="AZ732" s="264"/>
      <c r="BA732" s="264"/>
      <c r="BB732" s="264"/>
      <c r="BC732" s="264"/>
      <c r="BD732" s="264"/>
    </row>
    <row r="733">
      <c r="A733" s="264"/>
      <c r="B733" s="264"/>
      <c r="C733" s="264"/>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c r="AA733" s="264"/>
      <c r="AB733" s="264"/>
      <c r="AC733" s="264"/>
      <c r="AD733" s="264"/>
      <c r="AE733" s="264"/>
      <c r="AF733" s="264"/>
      <c r="AG733" s="264"/>
      <c r="AH733" s="264"/>
      <c r="AI733" s="264"/>
      <c r="AJ733" s="264"/>
      <c r="AK733" s="264"/>
      <c r="AL733" s="264"/>
      <c r="AM733" s="264"/>
      <c r="AN733" s="264"/>
      <c r="AO733" s="264"/>
      <c r="AP733" s="264"/>
      <c r="AQ733" s="264"/>
      <c r="AR733" s="264"/>
      <c r="AS733" s="264"/>
      <c r="AT733" s="264"/>
      <c r="AU733" s="264"/>
      <c r="AV733" s="264"/>
      <c r="AW733" s="264"/>
      <c r="AX733" s="264"/>
      <c r="AY733" s="264"/>
      <c r="AZ733" s="264"/>
      <c r="BA733" s="264"/>
      <c r="BB733" s="264"/>
      <c r="BC733" s="264"/>
      <c r="BD733" s="264"/>
    </row>
    <row r="734">
      <c r="A734" s="264"/>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c r="AA734" s="264"/>
      <c r="AB734" s="264"/>
      <c r="AC734" s="264"/>
      <c r="AD734" s="264"/>
      <c r="AE734" s="264"/>
      <c r="AF734" s="264"/>
      <c r="AG734" s="264"/>
      <c r="AH734" s="264"/>
      <c r="AI734" s="264"/>
      <c r="AJ734" s="264"/>
      <c r="AK734" s="264"/>
      <c r="AL734" s="264"/>
      <c r="AM734" s="264"/>
      <c r="AN734" s="264"/>
      <c r="AO734" s="264"/>
      <c r="AP734" s="264"/>
      <c r="AQ734" s="264"/>
      <c r="AR734" s="264"/>
      <c r="AS734" s="264"/>
      <c r="AT734" s="264"/>
      <c r="AU734" s="264"/>
      <c r="AV734" s="264"/>
      <c r="AW734" s="264"/>
      <c r="AX734" s="264"/>
      <c r="AY734" s="264"/>
      <c r="AZ734" s="264"/>
      <c r="BA734" s="264"/>
      <c r="BB734" s="264"/>
      <c r="BC734" s="264"/>
      <c r="BD734" s="264"/>
    </row>
    <row r="735">
      <c r="A735" s="264"/>
      <c r="B735" s="264"/>
      <c r="C735" s="264"/>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c r="AA735" s="264"/>
      <c r="AB735" s="264"/>
      <c r="AC735" s="264"/>
      <c r="AD735" s="264"/>
      <c r="AE735" s="264"/>
      <c r="AF735" s="264"/>
      <c r="AG735" s="264"/>
      <c r="AH735" s="264"/>
      <c r="AI735" s="264"/>
      <c r="AJ735" s="264"/>
      <c r="AK735" s="264"/>
      <c r="AL735" s="264"/>
      <c r="AM735" s="264"/>
      <c r="AN735" s="264"/>
      <c r="AO735" s="264"/>
      <c r="AP735" s="264"/>
      <c r="AQ735" s="264"/>
      <c r="AR735" s="264"/>
      <c r="AS735" s="264"/>
      <c r="AT735" s="264"/>
      <c r="AU735" s="264"/>
      <c r="AV735" s="264"/>
      <c r="AW735" s="264"/>
      <c r="AX735" s="264"/>
      <c r="AY735" s="264"/>
      <c r="AZ735" s="264"/>
      <c r="BA735" s="264"/>
      <c r="BB735" s="264"/>
      <c r="BC735" s="264"/>
      <c r="BD735" s="264"/>
    </row>
    <row r="736">
      <c r="A736" s="264"/>
      <c r="B736" s="264"/>
      <c r="C736" s="264"/>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c r="AA736" s="264"/>
      <c r="AB736" s="264"/>
      <c r="AC736" s="264"/>
      <c r="AD736" s="264"/>
      <c r="AE736" s="264"/>
      <c r="AF736" s="264"/>
      <c r="AG736" s="264"/>
      <c r="AH736" s="264"/>
      <c r="AI736" s="264"/>
      <c r="AJ736" s="264"/>
      <c r="AK736" s="264"/>
      <c r="AL736" s="264"/>
      <c r="AM736" s="264"/>
      <c r="AN736" s="264"/>
      <c r="AO736" s="264"/>
      <c r="AP736" s="264"/>
      <c r="AQ736" s="264"/>
      <c r="AR736" s="264"/>
      <c r="AS736" s="264"/>
      <c r="AT736" s="264"/>
      <c r="AU736" s="264"/>
      <c r="AV736" s="264"/>
      <c r="AW736" s="264"/>
      <c r="AX736" s="264"/>
      <c r="AY736" s="264"/>
      <c r="AZ736" s="264"/>
      <c r="BA736" s="264"/>
      <c r="BB736" s="264"/>
      <c r="BC736" s="264"/>
      <c r="BD736" s="264"/>
    </row>
    <row r="737">
      <c r="A737" s="264"/>
      <c r="B737" s="264"/>
      <c r="C737" s="264"/>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c r="AA737" s="264"/>
      <c r="AB737" s="264"/>
      <c r="AC737" s="264"/>
      <c r="AD737" s="264"/>
      <c r="AE737" s="264"/>
      <c r="AF737" s="264"/>
      <c r="AG737" s="264"/>
      <c r="AH737" s="264"/>
      <c r="AI737" s="264"/>
      <c r="AJ737" s="264"/>
      <c r="AK737" s="264"/>
      <c r="AL737" s="264"/>
      <c r="AM737" s="264"/>
      <c r="AN737" s="264"/>
      <c r="AO737" s="264"/>
      <c r="AP737" s="264"/>
      <c r="AQ737" s="264"/>
      <c r="AR737" s="264"/>
      <c r="AS737" s="264"/>
      <c r="AT737" s="264"/>
      <c r="AU737" s="264"/>
      <c r="AV737" s="264"/>
      <c r="AW737" s="264"/>
      <c r="AX737" s="264"/>
      <c r="AY737" s="264"/>
      <c r="AZ737" s="264"/>
      <c r="BA737" s="264"/>
      <c r="BB737" s="264"/>
      <c r="BC737" s="264"/>
      <c r="BD737" s="264"/>
    </row>
    <row r="738">
      <c r="A738" s="264"/>
      <c r="B738" s="264"/>
      <c r="C738" s="264"/>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c r="AA738" s="264"/>
      <c r="AB738" s="264"/>
      <c r="AC738" s="264"/>
      <c r="AD738" s="264"/>
      <c r="AE738" s="264"/>
      <c r="AF738" s="264"/>
      <c r="AG738" s="264"/>
      <c r="AH738" s="264"/>
      <c r="AI738" s="264"/>
      <c r="AJ738" s="264"/>
      <c r="AK738" s="264"/>
      <c r="AL738" s="264"/>
      <c r="AM738" s="264"/>
      <c r="AN738" s="264"/>
      <c r="AO738" s="264"/>
      <c r="AP738" s="264"/>
      <c r="AQ738" s="264"/>
      <c r="AR738" s="264"/>
      <c r="AS738" s="264"/>
      <c r="AT738" s="264"/>
      <c r="AU738" s="264"/>
      <c r="AV738" s="264"/>
      <c r="AW738" s="264"/>
      <c r="AX738" s="264"/>
      <c r="AY738" s="264"/>
      <c r="AZ738" s="264"/>
      <c r="BA738" s="264"/>
      <c r="BB738" s="264"/>
      <c r="BC738" s="264"/>
      <c r="BD738" s="264"/>
    </row>
    <row r="739">
      <c r="A739" s="264"/>
      <c r="B739" s="264"/>
      <c r="C739" s="264"/>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c r="AA739" s="264"/>
      <c r="AB739" s="264"/>
      <c r="AC739" s="264"/>
      <c r="AD739" s="264"/>
      <c r="AE739" s="264"/>
      <c r="AF739" s="264"/>
      <c r="AG739" s="264"/>
      <c r="AH739" s="264"/>
      <c r="AI739" s="264"/>
      <c r="AJ739" s="264"/>
      <c r="AK739" s="264"/>
      <c r="AL739" s="264"/>
      <c r="AM739" s="264"/>
      <c r="AN739" s="264"/>
      <c r="AO739" s="264"/>
      <c r="AP739" s="264"/>
      <c r="AQ739" s="264"/>
      <c r="AR739" s="264"/>
      <c r="AS739" s="264"/>
      <c r="AT739" s="264"/>
      <c r="AU739" s="264"/>
      <c r="AV739" s="264"/>
      <c r="AW739" s="264"/>
      <c r="AX739" s="264"/>
      <c r="AY739" s="264"/>
      <c r="AZ739" s="264"/>
      <c r="BA739" s="264"/>
      <c r="BB739" s="264"/>
      <c r="BC739" s="264"/>
      <c r="BD739" s="264"/>
    </row>
    <row r="740">
      <c r="A740" s="264"/>
      <c r="B740" s="264"/>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c r="AA740" s="264"/>
      <c r="AB740" s="264"/>
      <c r="AC740" s="264"/>
      <c r="AD740" s="264"/>
      <c r="AE740" s="264"/>
      <c r="AF740" s="264"/>
      <c r="AG740" s="264"/>
      <c r="AH740" s="264"/>
      <c r="AI740" s="264"/>
      <c r="AJ740" s="264"/>
      <c r="AK740" s="264"/>
      <c r="AL740" s="264"/>
      <c r="AM740" s="264"/>
      <c r="AN740" s="264"/>
      <c r="AO740" s="264"/>
      <c r="AP740" s="264"/>
      <c r="AQ740" s="264"/>
      <c r="AR740" s="264"/>
      <c r="AS740" s="264"/>
      <c r="AT740" s="264"/>
      <c r="AU740" s="264"/>
      <c r="AV740" s="264"/>
      <c r="AW740" s="264"/>
      <c r="AX740" s="264"/>
      <c r="AY740" s="264"/>
      <c r="AZ740" s="264"/>
      <c r="BA740" s="264"/>
      <c r="BB740" s="264"/>
      <c r="BC740" s="264"/>
      <c r="BD740" s="264"/>
    </row>
    <row r="741">
      <c r="A741" s="264"/>
      <c r="B741" s="264"/>
      <c r="C741" s="264"/>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c r="AA741" s="264"/>
      <c r="AB741" s="264"/>
      <c r="AC741" s="264"/>
      <c r="AD741" s="264"/>
      <c r="AE741" s="264"/>
      <c r="AF741" s="264"/>
      <c r="AG741" s="264"/>
      <c r="AH741" s="264"/>
      <c r="AI741" s="264"/>
      <c r="AJ741" s="264"/>
      <c r="AK741" s="264"/>
      <c r="AL741" s="264"/>
      <c r="AM741" s="264"/>
      <c r="AN741" s="264"/>
      <c r="AO741" s="264"/>
      <c r="AP741" s="264"/>
      <c r="AQ741" s="264"/>
      <c r="AR741" s="264"/>
      <c r="AS741" s="264"/>
      <c r="AT741" s="264"/>
      <c r="AU741" s="264"/>
      <c r="AV741" s="264"/>
      <c r="AW741" s="264"/>
      <c r="AX741" s="264"/>
      <c r="AY741" s="264"/>
      <c r="AZ741" s="264"/>
      <c r="BA741" s="264"/>
      <c r="BB741" s="264"/>
      <c r="BC741" s="264"/>
      <c r="BD741" s="264"/>
    </row>
    <row r="742">
      <c r="A742" s="264"/>
      <c r="B742" s="264"/>
      <c r="C742" s="264"/>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c r="AA742" s="264"/>
      <c r="AB742" s="264"/>
      <c r="AC742" s="264"/>
      <c r="AD742" s="264"/>
      <c r="AE742" s="264"/>
      <c r="AF742" s="264"/>
      <c r="AG742" s="264"/>
      <c r="AH742" s="264"/>
      <c r="AI742" s="264"/>
      <c r="AJ742" s="264"/>
      <c r="AK742" s="264"/>
      <c r="AL742" s="264"/>
      <c r="AM742" s="264"/>
      <c r="AN742" s="264"/>
      <c r="AO742" s="264"/>
      <c r="AP742" s="264"/>
      <c r="AQ742" s="264"/>
      <c r="AR742" s="264"/>
      <c r="AS742" s="264"/>
      <c r="AT742" s="264"/>
      <c r="AU742" s="264"/>
      <c r="AV742" s="264"/>
      <c r="AW742" s="264"/>
      <c r="AX742" s="264"/>
      <c r="AY742" s="264"/>
      <c r="AZ742" s="264"/>
      <c r="BA742" s="264"/>
      <c r="BB742" s="264"/>
      <c r="BC742" s="264"/>
      <c r="BD742" s="264"/>
    </row>
    <row r="743">
      <c r="A743" s="264"/>
      <c r="B743" s="264"/>
      <c r="C743" s="264"/>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c r="AA743" s="264"/>
      <c r="AB743" s="264"/>
      <c r="AC743" s="264"/>
      <c r="AD743" s="264"/>
      <c r="AE743" s="264"/>
      <c r="AF743" s="264"/>
      <c r="AG743" s="264"/>
      <c r="AH743" s="264"/>
      <c r="AI743" s="264"/>
      <c r="AJ743" s="264"/>
      <c r="AK743" s="264"/>
      <c r="AL743" s="264"/>
      <c r="AM743" s="264"/>
      <c r="AN743" s="264"/>
      <c r="AO743" s="264"/>
      <c r="AP743" s="264"/>
      <c r="AQ743" s="264"/>
      <c r="AR743" s="264"/>
      <c r="AS743" s="264"/>
      <c r="AT743" s="264"/>
      <c r="AU743" s="264"/>
      <c r="AV743" s="264"/>
      <c r="AW743" s="264"/>
      <c r="AX743" s="264"/>
      <c r="AY743" s="264"/>
      <c r="AZ743" s="264"/>
      <c r="BA743" s="264"/>
      <c r="BB743" s="264"/>
      <c r="BC743" s="264"/>
      <c r="BD743" s="264"/>
    </row>
    <row r="744">
      <c r="A744" s="264"/>
      <c r="B744" s="264"/>
      <c r="C744" s="264"/>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c r="AA744" s="264"/>
      <c r="AB744" s="264"/>
      <c r="AC744" s="264"/>
      <c r="AD744" s="264"/>
      <c r="AE744" s="264"/>
      <c r="AF744" s="264"/>
      <c r="AG744" s="264"/>
      <c r="AH744" s="264"/>
      <c r="AI744" s="264"/>
      <c r="AJ744" s="264"/>
      <c r="AK744" s="264"/>
      <c r="AL744" s="264"/>
      <c r="AM744" s="264"/>
      <c r="AN744" s="264"/>
      <c r="AO744" s="264"/>
      <c r="AP744" s="264"/>
      <c r="AQ744" s="264"/>
      <c r="AR744" s="264"/>
      <c r="AS744" s="264"/>
      <c r="AT744" s="264"/>
      <c r="AU744" s="264"/>
      <c r="AV744" s="264"/>
      <c r="AW744" s="264"/>
      <c r="AX744" s="264"/>
      <c r="AY744" s="264"/>
      <c r="AZ744" s="264"/>
      <c r="BA744" s="264"/>
      <c r="BB744" s="264"/>
      <c r="BC744" s="264"/>
      <c r="BD744" s="264"/>
    </row>
    <row r="745">
      <c r="A745" s="264"/>
      <c r="B745" s="264"/>
      <c r="C745" s="264"/>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c r="AA745" s="264"/>
      <c r="AB745" s="264"/>
      <c r="AC745" s="264"/>
      <c r="AD745" s="264"/>
      <c r="AE745" s="264"/>
      <c r="AF745" s="264"/>
      <c r="AG745" s="264"/>
      <c r="AH745" s="264"/>
      <c r="AI745" s="264"/>
      <c r="AJ745" s="264"/>
      <c r="AK745" s="264"/>
      <c r="AL745" s="264"/>
      <c r="AM745" s="264"/>
      <c r="AN745" s="264"/>
      <c r="AO745" s="264"/>
      <c r="AP745" s="264"/>
      <c r="AQ745" s="264"/>
      <c r="AR745" s="264"/>
      <c r="AS745" s="264"/>
      <c r="AT745" s="264"/>
      <c r="AU745" s="264"/>
      <c r="AV745" s="264"/>
      <c r="AW745" s="264"/>
      <c r="AX745" s="264"/>
      <c r="AY745" s="264"/>
      <c r="AZ745" s="264"/>
      <c r="BA745" s="264"/>
      <c r="BB745" s="264"/>
      <c r="BC745" s="264"/>
      <c r="BD745" s="264"/>
    </row>
    <row r="746">
      <c r="A746" s="264"/>
      <c r="B746" s="264"/>
      <c r="C746" s="264"/>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c r="AA746" s="264"/>
      <c r="AB746" s="264"/>
      <c r="AC746" s="264"/>
      <c r="AD746" s="264"/>
      <c r="AE746" s="264"/>
      <c r="AF746" s="264"/>
      <c r="AG746" s="264"/>
      <c r="AH746" s="264"/>
      <c r="AI746" s="264"/>
      <c r="AJ746" s="264"/>
      <c r="AK746" s="264"/>
      <c r="AL746" s="264"/>
      <c r="AM746" s="264"/>
      <c r="AN746" s="264"/>
      <c r="AO746" s="264"/>
      <c r="AP746" s="264"/>
      <c r="AQ746" s="264"/>
      <c r="AR746" s="264"/>
      <c r="AS746" s="264"/>
      <c r="AT746" s="264"/>
      <c r="AU746" s="264"/>
      <c r="AV746" s="264"/>
      <c r="AW746" s="264"/>
      <c r="AX746" s="264"/>
      <c r="AY746" s="264"/>
      <c r="AZ746" s="264"/>
      <c r="BA746" s="264"/>
      <c r="BB746" s="264"/>
      <c r="BC746" s="264"/>
      <c r="BD746" s="264"/>
    </row>
    <row r="747">
      <c r="A747" s="264"/>
      <c r="B747" s="264"/>
      <c r="C747" s="264"/>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c r="AA747" s="264"/>
      <c r="AB747" s="264"/>
      <c r="AC747" s="264"/>
      <c r="AD747" s="264"/>
      <c r="AE747" s="264"/>
      <c r="AF747" s="264"/>
      <c r="AG747" s="264"/>
      <c r="AH747" s="264"/>
      <c r="AI747" s="264"/>
      <c r="AJ747" s="264"/>
      <c r="AK747" s="264"/>
      <c r="AL747" s="264"/>
      <c r="AM747" s="264"/>
      <c r="AN747" s="264"/>
      <c r="AO747" s="264"/>
      <c r="AP747" s="264"/>
      <c r="AQ747" s="264"/>
      <c r="AR747" s="264"/>
      <c r="AS747" s="264"/>
      <c r="AT747" s="264"/>
      <c r="AU747" s="264"/>
      <c r="AV747" s="264"/>
      <c r="AW747" s="264"/>
      <c r="AX747" s="264"/>
      <c r="AY747" s="264"/>
      <c r="AZ747" s="264"/>
      <c r="BA747" s="264"/>
      <c r="BB747" s="264"/>
      <c r="BC747" s="264"/>
      <c r="BD747" s="264"/>
    </row>
    <row r="748">
      <c r="A748" s="264"/>
      <c r="B748" s="264"/>
      <c r="C748" s="264"/>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c r="AA748" s="264"/>
      <c r="AB748" s="264"/>
      <c r="AC748" s="264"/>
      <c r="AD748" s="264"/>
      <c r="AE748" s="264"/>
      <c r="AF748" s="264"/>
      <c r="AG748" s="264"/>
      <c r="AH748" s="264"/>
      <c r="AI748" s="264"/>
      <c r="AJ748" s="264"/>
      <c r="AK748" s="264"/>
      <c r="AL748" s="264"/>
      <c r="AM748" s="264"/>
      <c r="AN748" s="264"/>
      <c r="AO748" s="264"/>
      <c r="AP748" s="264"/>
      <c r="AQ748" s="264"/>
      <c r="AR748" s="264"/>
      <c r="AS748" s="264"/>
      <c r="AT748" s="264"/>
      <c r="AU748" s="264"/>
      <c r="AV748" s="264"/>
      <c r="AW748" s="264"/>
      <c r="AX748" s="264"/>
      <c r="AY748" s="264"/>
      <c r="AZ748" s="264"/>
      <c r="BA748" s="264"/>
      <c r="BB748" s="264"/>
      <c r="BC748" s="264"/>
      <c r="BD748" s="264"/>
    </row>
    <row r="749">
      <c r="A749" s="264"/>
      <c r="B749" s="264"/>
      <c r="C749" s="264"/>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c r="AA749" s="264"/>
      <c r="AB749" s="264"/>
      <c r="AC749" s="264"/>
      <c r="AD749" s="264"/>
      <c r="AE749" s="264"/>
      <c r="AF749" s="264"/>
      <c r="AG749" s="264"/>
      <c r="AH749" s="264"/>
      <c r="AI749" s="264"/>
      <c r="AJ749" s="264"/>
      <c r="AK749" s="264"/>
      <c r="AL749" s="264"/>
      <c r="AM749" s="264"/>
      <c r="AN749" s="264"/>
      <c r="AO749" s="264"/>
      <c r="AP749" s="264"/>
      <c r="AQ749" s="264"/>
      <c r="AR749" s="264"/>
      <c r="AS749" s="264"/>
      <c r="AT749" s="264"/>
      <c r="AU749" s="264"/>
      <c r="AV749" s="264"/>
      <c r="AW749" s="264"/>
      <c r="AX749" s="264"/>
      <c r="AY749" s="264"/>
      <c r="AZ749" s="264"/>
      <c r="BA749" s="264"/>
      <c r="BB749" s="264"/>
      <c r="BC749" s="264"/>
      <c r="BD749" s="264"/>
    </row>
    <row r="750">
      <c r="A750" s="264"/>
      <c r="B750" s="264"/>
      <c r="C750" s="264"/>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c r="AA750" s="264"/>
      <c r="AB750" s="264"/>
      <c r="AC750" s="264"/>
      <c r="AD750" s="264"/>
      <c r="AE750" s="264"/>
      <c r="AF750" s="264"/>
      <c r="AG750" s="264"/>
      <c r="AH750" s="264"/>
      <c r="AI750" s="264"/>
      <c r="AJ750" s="264"/>
      <c r="AK750" s="264"/>
      <c r="AL750" s="264"/>
      <c r="AM750" s="264"/>
      <c r="AN750" s="264"/>
      <c r="AO750" s="264"/>
      <c r="AP750" s="264"/>
      <c r="AQ750" s="264"/>
      <c r="AR750" s="264"/>
      <c r="AS750" s="264"/>
      <c r="AT750" s="264"/>
      <c r="AU750" s="264"/>
      <c r="AV750" s="264"/>
      <c r="AW750" s="264"/>
      <c r="AX750" s="264"/>
      <c r="AY750" s="264"/>
      <c r="AZ750" s="264"/>
      <c r="BA750" s="264"/>
      <c r="BB750" s="264"/>
      <c r="BC750" s="264"/>
      <c r="BD750" s="264"/>
    </row>
    <row r="751">
      <c r="A751" s="264"/>
      <c r="B751" s="264"/>
      <c r="C751" s="264"/>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c r="AA751" s="264"/>
      <c r="AB751" s="264"/>
      <c r="AC751" s="264"/>
      <c r="AD751" s="264"/>
      <c r="AE751" s="264"/>
      <c r="AF751" s="264"/>
      <c r="AG751" s="264"/>
      <c r="AH751" s="264"/>
      <c r="AI751" s="264"/>
      <c r="AJ751" s="264"/>
      <c r="AK751" s="264"/>
      <c r="AL751" s="264"/>
      <c r="AM751" s="264"/>
      <c r="AN751" s="264"/>
      <c r="AO751" s="264"/>
      <c r="AP751" s="264"/>
      <c r="AQ751" s="264"/>
      <c r="AR751" s="264"/>
      <c r="AS751" s="264"/>
      <c r="AT751" s="264"/>
      <c r="AU751" s="264"/>
      <c r="AV751" s="264"/>
      <c r="AW751" s="264"/>
      <c r="AX751" s="264"/>
      <c r="AY751" s="264"/>
      <c r="AZ751" s="264"/>
      <c r="BA751" s="264"/>
      <c r="BB751" s="264"/>
      <c r="BC751" s="264"/>
      <c r="BD751" s="264"/>
    </row>
    <row r="752">
      <c r="A752" s="264"/>
      <c r="B752" s="264"/>
      <c r="C752" s="264"/>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c r="AA752" s="264"/>
      <c r="AB752" s="264"/>
      <c r="AC752" s="264"/>
      <c r="AD752" s="264"/>
      <c r="AE752" s="264"/>
      <c r="AF752" s="264"/>
      <c r="AG752" s="264"/>
      <c r="AH752" s="264"/>
      <c r="AI752" s="264"/>
      <c r="AJ752" s="264"/>
      <c r="AK752" s="264"/>
      <c r="AL752" s="264"/>
      <c r="AM752" s="264"/>
      <c r="AN752" s="264"/>
      <c r="AO752" s="264"/>
      <c r="AP752" s="264"/>
      <c r="AQ752" s="264"/>
      <c r="AR752" s="264"/>
      <c r="AS752" s="264"/>
      <c r="AT752" s="264"/>
      <c r="AU752" s="264"/>
      <c r="AV752" s="264"/>
      <c r="AW752" s="264"/>
      <c r="AX752" s="264"/>
      <c r="AY752" s="264"/>
      <c r="AZ752" s="264"/>
      <c r="BA752" s="264"/>
      <c r="BB752" s="264"/>
      <c r="BC752" s="264"/>
      <c r="BD752" s="264"/>
    </row>
    <row r="753">
      <c r="A753" s="264"/>
      <c r="B753" s="264"/>
      <c r="C753" s="264"/>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c r="AA753" s="264"/>
      <c r="AB753" s="264"/>
      <c r="AC753" s="264"/>
      <c r="AD753" s="264"/>
      <c r="AE753" s="264"/>
      <c r="AF753" s="264"/>
      <c r="AG753" s="264"/>
      <c r="AH753" s="264"/>
      <c r="AI753" s="264"/>
      <c r="AJ753" s="264"/>
      <c r="AK753" s="264"/>
      <c r="AL753" s="264"/>
      <c r="AM753" s="264"/>
      <c r="AN753" s="264"/>
      <c r="AO753" s="264"/>
      <c r="AP753" s="264"/>
      <c r="AQ753" s="264"/>
      <c r="AR753" s="264"/>
      <c r="AS753" s="264"/>
      <c r="AT753" s="264"/>
      <c r="AU753" s="264"/>
      <c r="AV753" s="264"/>
      <c r="AW753" s="264"/>
      <c r="AX753" s="264"/>
      <c r="AY753" s="264"/>
      <c r="AZ753" s="264"/>
      <c r="BA753" s="264"/>
      <c r="BB753" s="264"/>
      <c r="BC753" s="264"/>
      <c r="BD753" s="264"/>
    </row>
    <row r="754">
      <c r="A754" s="264"/>
      <c r="B754" s="264"/>
      <c r="C754" s="264"/>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c r="AA754" s="264"/>
      <c r="AB754" s="264"/>
      <c r="AC754" s="264"/>
      <c r="AD754" s="264"/>
      <c r="AE754" s="264"/>
      <c r="AF754" s="264"/>
      <c r="AG754" s="264"/>
      <c r="AH754" s="264"/>
      <c r="AI754" s="264"/>
      <c r="AJ754" s="264"/>
      <c r="AK754" s="264"/>
      <c r="AL754" s="264"/>
      <c r="AM754" s="264"/>
      <c r="AN754" s="264"/>
      <c r="AO754" s="264"/>
      <c r="AP754" s="264"/>
      <c r="AQ754" s="264"/>
      <c r="AR754" s="264"/>
      <c r="AS754" s="264"/>
      <c r="AT754" s="264"/>
      <c r="AU754" s="264"/>
      <c r="AV754" s="264"/>
      <c r="AW754" s="264"/>
      <c r="AX754" s="264"/>
      <c r="AY754" s="264"/>
      <c r="AZ754" s="264"/>
      <c r="BA754" s="264"/>
      <c r="BB754" s="264"/>
      <c r="BC754" s="264"/>
      <c r="BD754" s="264"/>
    </row>
    <row r="755">
      <c r="A755" s="264"/>
      <c r="B755" s="264"/>
      <c r="C755" s="264"/>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c r="AA755" s="264"/>
      <c r="AB755" s="264"/>
      <c r="AC755" s="264"/>
      <c r="AD755" s="264"/>
      <c r="AE755" s="264"/>
      <c r="AF755" s="264"/>
      <c r="AG755" s="264"/>
      <c r="AH755" s="264"/>
      <c r="AI755" s="264"/>
      <c r="AJ755" s="264"/>
      <c r="AK755" s="264"/>
      <c r="AL755" s="264"/>
      <c r="AM755" s="264"/>
      <c r="AN755" s="264"/>
      <c r="AO755" s="264"/>
      <c r="AP755" s="264"/>
      <c r="AQ755" s="264"/>
      <c r="AR755" s="264"/>
      <c r="AS755" s="264"/>
      <c r="AT755" s="264"/>
      <c r="AU755" s="264"/>
      <c r="AV755" s="264"/>
      <c r="AW755" s="264"/>
      <c r="AX755" s="264"/>
      <c r="AY755" s="264"/>
      <c r="AZ755" s="264"/>
      <c r="BA755" s="264"/>
      <c r="BB755" s="264"/>
      <c r="BC755" s="264"/>
      <c r="BD755" s="264"/>
    </row>
    <row r="756">
      <c r="A756" s="264"/>
      <c r="B756" s="264"/>
      <c r="C756" s="264"/>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c r="AA756" s="264"/>
      <c r="AB756" s="264"/>
      <c r="AC756" s="264"/>
      <c r="AD756" s="264"/>
      <c r="AE756" s="264"/>
      <c r="AF756" s="264"/>
      <c r="AG756" s="264"/>
      <c r="AH756" s="264"/>
      <c r="AI756" s="264"/>
      <c r="AJ756" s="264"/>
      <c r="AK756" s="264"/>
      <c r="AL756" s="264"/>
      <c r="AM756" s="264"/>
      <c r="AN756" s="264"/>
      <c r="AO756" s="264"/>
      <c r="AP756" s="264"/>
      <c r="AQ756" s="264"/>
      <c r="AR756" s="264"/>
      <c r="AS756" s="264"/>
      <c r="AT756" s="264"/>
      <c r="AU756" s="264"/>
      <c r="AV756" s="264"/>
      <c r="AW756" s="264"/>
      <c r="AX756" s="264"/>
      <c r="AY756" s="264"/>
      <c r="AZ756" s="264"/>
      <c r="BA756" s="264"/>
      <c r="BB756" s="264"/>
      <c r="BC756" s="264"/>
      <c r="BD756" s="264"/>
    </row>
    <row r="757">
      <c r="A757" s="264"/>
      <c r="B757" s="264"/>
      <c r="C757" s="264"/>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c r="AA757" s="264"/>
      <c r="AB757" s="264"/>
      <c r="AC757" s="264"/>
      <c r="AD757" s="264"/>
      <c r="AE757" s="264"/>
      <c r="AF757" s="264"/>
      <c r="AG757" s="264"/>
      <c r="AH757" s="264"/>
      <c r="AI757" s="264"/>
      <c r="AJ757" s="264"/>
      <c r="AK757" s="264"/>
      <c r="AL757" s="264"/>
      <c r="AM757" s="264"/>
      <c r="AN757" s="264"/>
      <c r="AO757" s="264"/>
      <c r="AP757" s="264"/>
      <c r="AQ757" s="264"/>
      <c r="AR757" s="264"/>
      <c r="AS757" s="264"/>
      <c r="AT757" s="264"/>
      <c r="AU757" s="264"/>
      <c r="AV757" s="264"/>
      <c r="AW757" s="264"/>
      <c r="AX757" s="264"/>
      <c r="AY757" s="264"/>
      <c r="AZ757" s="264"/>
      <c r="BA757" s="264"/>
      <c r="BB757" s="264"/>
      <c r="BC757" s="264"/>
      <c r="BD757" s="264"/>
    </row>
    <row r="758">
      <c r="A758" s="264"/>
      <c r="B758" s="264"/>
      <c r="C758" s="264"/>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c r="AA758" s="264"/>
      <c r="AB758" s="264"/>
      <c r="AC758" s="264"/>
      <c r="AD758" s="264"/>
      <c r="AE758" s="264"/>
      <c r="AF758" s="264"/>
      <c r="AG758" s="264"/>
      <c r="AH758" s="264"/>
      <c r="AI758" s="264"/>
      <c r="AJ758" s="264"/>
      <c r="AK758" s="264"/>
      <c r="AL758" s="264"/>
      <c r="AM758" s="264"/>
      <c r="AN758" s="264"/>
      <c r="AO758" s="264"/>
      <c r="AP758" s="264"/>
      <c r="AQ758" s="264"/>
      <c r="AR758" s="264"/>
      <c r="AS758" s="264"/>
      <c r="AT758" s="264"/>
      <c r="AU758" s="264"/>
      <c r="AV758" s="264"/>
      <c r="AW758" s="264"/>
      <c r="AX758" s="264"/>
      <c r="AY758" s="264"/>
      <c r="AZ758" s="264"/>
      <c r="BA758" s="264"/>
      <c r="BB758" s="264"/>
      <c r="BC758" s="264"/>
      <c r="BD758" s="264"/>
    </row>
    <row r="759">
      <c r="A759" s="264"/>
      <c r="B759" s="264"/>
      <c r="C759" s="264"/>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c r="AA759" s="264"/>
      <c r="AB759" s="264"/>
      <c r="AC759" s="264"/>
      <c r="AD759" s="264"/>
      <c r="AE759" s="264"/>
      <c r="AF759" s="264"/>
      <c r="AG759" s="264"/>
      <c r="AH759" s="264"/>
      <c r="AI759" s="264"/>
      <c r="AJ759" s="264"/>
      <c r="AK759" s="264"/>
      <c r="AL759" s="264"/>
      <c r="AM759" s="264"/>
      <c r="AN759" s="264"/>
      <c r="AO759" s="264"/>
      <c r="AP759" s="264"/>
      <c r="AQ759" s="264"/>
      <c r="AR759" s="264"/>
      <c r="AS759" s="264"/>
      <c r="AT759" s="264"/>
      <c r="AU759" s="264"/>
      <c r="AV759" s="264"/>
      <c r="AW759" s="264"/>
      <c r="AX759" s="264"/>
      <c r="AY759" s="264"/>
      <c r="AZ759" s="264"/>
      <c r="BA759" s="264"/>
      <c r="BB759" s="264"/>
      <c r="BC759" s="264"/>
      <c r="BD759" s="264"/>
    </row>
    <row r="760">
      <c r="A760" s="264"/>
      <c r="B760" s="264"/>
      <c r="C760" s="264"/>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c r="AA760" s="264"/>
      <c r="AB760" s="264"/>
      <c r="AC760" s="264"/>
      <c r="AD760" s="264"/>
      <c r="AE760" s="264"/>
      <c r="AF760" s="264"/>
      <c r="AG760" s="264"/>
      <c r="AH760" s="264"/>
      <c r="AI760" s="264"/>
      <c r="AJ760" s="264"/>
      <c r="AK760" s="264"/>
      <c r="AL760" s="264"/>
      <c r="AM760" s="264"/>
      <c r="AN760" s="264"/>
      <c r="AO760" s="264"/>
      <c r="AP760" s="264"/>
      <c r="AQ760" s="264"/>
      <c r="AR760" s="264"/>
      <c r="AS760" s="264"/>
      <c r="AT760" s="264"/>
      <c r="AU760" s="264"/>
      <c r="AV760" s="264"/>
      <c r="AW760" s="264"/>
      <c r="AX760" s="264"/>
      <c r="AY760" s="264"/>
      <c r="AZ760" s="264"/>
      <c r="BA760" s="264"/>
      <c r="BB760" s="264"/>
      <c r="BC760" s="264"/>
      <c r="BD760" s="264"/>
    </row>
    <row r="761">
      <c r="A761" s="264"/>
      <c r="B761" s="264"/>
      <c r="C761" s="264"/>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c r="AA761" s="264"/>
      <c r="AB761" s="264"/>
      <c r="AC761" s="264"/>
      <c r="AD761" s="264"/>
      <c r="AE761" s="264"/>
      <c r="AF761" s="264"/>
      <c r="AG761" s="264"/>
      <c r="AH761" s="264"/>
      <c r="AI761" s="264"/>
      <c r="AJ761" s="264"/>
      <c r="AK761" s="264"/>
      <c r="AL761" s="264"/>
      <c r="AM761" s="264"/>
      <c r="AN761" s="264"/>
      <c r="AO761" s="264"/>
      <c r="AP761" s="264"/>
      <c r="AQ761" s="264"/>
      <c r="AR761" s="264"/>
      <c r="AS761" s="264"/>
      <c r="AT761" s="264"/>
      <c r="AU761" s="264"/>
      <c r="AV761" s="264"/>
      <c r="AW761" s="264"/>
      <c r="AX761" s="264"/>
      <c r="AY761" s="264"/>
      <c r="AZ761" s="264"/>
      <c r="BA761" s="264"/>
      <c r="BB761" s="264"/>
      <c r="BC761" s="264"/>
      <c r="BD761" s="264"/>
    </row>
    <row r="762">
      <c r="A762" s="264"/>
      <c r="B762" s="264"/>
      <c r="C762" s="264"/>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c r="AA762" s="264"/>
      <c r="AB762" s="264"/>
      <c r="AC762" s="264"/>
      <c r="AD762" s="264"/>
      <c r="AE762" s="264"/>
      <c r="AF762" s="264"/>
      <c r="AG762" s="264"/>
      <c r="AH762" s="264"/>
      <c r="AI762" s="264"/>
      <c r="AJ762" s="264"/>
      <c r="AK762" s="264"/>
      <c r="AL762" s="264"/>
      <c r="AM762" s="264"/>
      <c r="AN762" s="264"/>
      <c r="AO762" s="264"/>
      <c r="AP762" s="264"/>
      <c r="AQ762" s="264"/>
      <c r="AR762" s="264"/>
      <c r="AS762" s="264"/>
      <c r="AT762" s="264"/>
      <c r="AU762" s="264"/>
      <c r="AV762" s="264"/>
      <c r="AW762" s="264"/>
      <c r="AX762" s="264"/>
      <c r="AY762" s="264"/>
      <c r="AZ762" s="264"/>
      <c r="BA762" s="264"/>
      <c r="BB762" s="264"/>
      <c r="BC762" s="264"/>
      <c r="BD762" s="264"/>
    </row>
    <row r="763">
      <c r="A763" s="264"/>
      <c r="B763" s="264"/>
      <c r="C763" s="264"/>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c r="AA763" s="264"/>
      <c r="AB763" s="264"/>
      <c r="AC763" s="264"/>
      <c r="AD763" s="264"/>
      <c r="AE763" s="264"/>
      <c r="AF763" s="264"/>
      <c r="AG763" s="264"/>
      <c r="AH763" s="264"/>
      <c r="AI763" s="264"/>
      <c r="AJ763" s="264"/>
      <c r="AK763" s="264"/>
      <c r="AL763" s="264"/>
      <c r="AM763" s="264"/>
      <c r="AN763" s="264"/>
      <c r="AO763" s="264"/>
      <c r="AP763" s="264"/>
      <c r="AQ763" s="264"/>
      <c r="AR763" s="264"/>
      <c r="AS763" s="264"/>
      <c r="AT763" s="264"/>
      <c r="AU763" s="264"/>
      <c r="AV763" s="264"/>
      <c r="AW763" s="264"/>
      <c r="AX763" s="264"/>
      <c r="AY763" s="264"/>
      <c r="AZ763" s="264"/>
      <c r="BA763" s="264"/>
      <c r="BB763" s="264"/>
      <c r="BC763" s="264"/>
      <c r="BD763" s="264"/>
    </row>
    <row r="764">
      <c r="A764" s="264"/>
      <c r="B764" s="264"/>
      <c r="C764" s="264"/>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c r="AA764" s="264"/>
      <c r="AB764" s="264"/>
      <c r="AC764" s="264"/>
      <c r="AD764" s="264"/>
      <c r="AE764" s="264"/>
      <c r="AF764" s="264"/>
      <c r="AG764" s="264"/>
      <c r="AH764" s="264"/>
      <c r="AI764" s="264"/>
      <c r="AJ764" s="264"/>
      <c r="AK764" s="264"/>
      <c r="AL764" s="264"/>
      <c r="AM764" s="264"/>
      <c r="AN764" s="264"/>
      <c r="AO764" s="264"/>
      <c r="AP764" s="264"/>
      <c r="AQ764" s="264"/>
      <c r="AR764" s="264"/>
      <c r="AS764" s="264"/>
      <c r="AT764" s="264"/>
      <c r="AU764" s="264"/>
      <c r="AV764" s="264"/>
      <c r="AW764" s="264"/>
      <c r="AX764" s="264"/>
      <c r="AY764" s="264"/>
      <c r="AZ764" s="264"/>
      <c r="BA764" s="264"/>
      <c r="BB764" s="264"/>
      <c r="BC764" s="264"/>
      <c r="BD764" s="264"/>
    </row>
    <row r="765">
      <c r="A765" s="264"/>
      <c r="B765" s="264"/>
      <c r="C765" s="264"/>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c r="AA765" s="264"/>
      <c r="AB765" s="264"/>
      <c r="AC765" s="264"/>
      <c r="AD765" s="264"/>
      <c r="AE765" s="264"/>
      <c r="AF765" s="264"/>
      <c r="AG765" s="264"/>
      <c r="AH765" s="264"/>
      <c r="AI765" s="264"/>
      <c r="AJ765" s="264"/>
      <c r="AK765" s="264"/>
      <c r="AL765" s="264"/>
      <c r="AM765" s="264"/>
      <c r="AN765" s="264"/>
      <c r="AO765" s="264"/>
      <c r="AP765" s="264"/>
      <c r="AQ765" s="264"/>
      <c r="AR765" s="264"/>
      <c r="AS765" s="264"/>
      <c r="AT765" s="264"/>
      <c r="AU765" s="264"/>
      <c r="AV765" s="264"/>
      <c r="AW765" s="264"/>
      <c r="AX765" s="264"/>
      <c r="AY765" s="264"/>
      <c r="AZ765" s="264"/>
      <c r="BA765" s="264"/>
      <c r="BB765" s="264"/>
      <c r="BC765" s="264"/>
      <c r="BD765" s="264"/>
    </row>
    <row r="766">
      <c r="A766" s="264"/>
      <c r="B766" s="264"/>
      <c r="C766" s="264"/>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c r="AA766" s="264"/>
      <c r="AB766" s="264"/>
      <c r="AC766" s="264"/>
      <c r="AD766" s="264"/>
      <c r="AE766" s="264"/>
      <c r="AF766" s="264"/>
      <c r="AG766" s="264"/>
      <c r="AH766" s="264"/>
      <c r="AI766" s="264"/>
      <c r="AJ766" s="264"/>
      <c r="AK766" s="264"/>
      <c r="AL766" s="264"/>
      <c r="AM766" s="264"/>
      <c r="AN766" s="264"/>
      <c r="AO766" s="264"/>
      <c r="AP766" s="264"/>
      <c r="AQ766" s="264"/>
      <c r="AR766" s="264"/>
      <c r="AS766" s="264"/>
      <c r="AT766" s="264"/>
      <c r="AU766" s="264"/>
      <c r="AV766" s="264"/>
      <c r="AW766" s="264"/>
      <c r="AX766" s="264"/>
      <c r="AY766" s="264"/>
      <c r="AZ766" s="264"/>
      <c r="BA766" s="264"/>
      <c r="BB766" s="264"/>
      <c r="BC766" s="264"/>
      <c r="BD766" s="264"/>
    </row>
    <row r="767">
      <c r="A767" s="264"/>
      <c r="B767" s="264"/>
      <c r="C767" s="264"/>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c r="AA767" s="264"/>
      <c r="AB767" s="264"/>
      <c r="AC767" s="264"/>
      <c r="AD767" s="264"/>
      <c r="AE767" s="264"/>
      <c r="AF767" s="264"/>
      <c r="AG767" s="264"/>
      <c r="AH767" s="264"/>
      <c r="AI767" s="264"/>
      <c r="AJ767" s="264"/>
      <c r="AK767" s="264"/>
      <c r="AL767" s="264"/>
      <c r="AM767" s="264"/>
      <c r="AN767" s="264"/>
      <c r="AO767" s="264"/>
      <c r="AP767" s="264"/>
      <c r="AQ767" s="264"/>
      <c r="AR767" s="264"/>
      <c r="AS767" s="264"/>
      <c r="AT767" s="264"/>
      <c r="AU767" s="264"/>
      <c r="AV767" s="264"/>
      <c r="AW767" s="264"/>
      <c r="AX767" s="264"/>
      <c r="AY767" s="264"/>
      <c r="AZ767" s="264"/>
      <c r="BA767" s="264"/>
      <c r="BB767" s="264"/>
      <c r="BC767" s="264"/>
      <c r="BD767" s="264"/>
    </row>
    <row r="768">
      <c r="A768" s="264"/>
      <c r="B768" s="264"/>
      <c r="C768" s="264"/>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c r="AA768" s="264"/>
      <c r="AB768" s="264"/>
      <c r="AC768" s="264"/>
      <c r="AD768" s="264"/>
      <c r="AE768" s="264"/>
      <c r="AF768" s="264"/>
      <c r="AG768" s="264"/>
      <c r="AH768" s="264"/>
      <c r="AI768" s="264"/>
      <c r="AJ768" s="264"/>
      <c r="AK768" s="264"/>
      <c r="AL768" s="264"/>
      <c r="AM768" s="264"/>
      <c r="AN768" s="264"/>
      <c r="AO768" s="264"/>
      <c r="AP768" s="264"/>
      <c r="AQ768" s="264"/>
      <c r="AR768" s="264"/>
      <c r="AS768" s="264"/>
      <c r="AT768" s="264"/>
      <c r="AU768" s="264"/>
      <c r="AV768" s="264"/>
      <c r="AW768" s="264"/>
      <c r="AX768" s="264"/>
      <c r="AY768" s="264"/>
      <c r="AZ768" s="264"/>
      <c r="BA768" s="264"/>
      <c r="BB768" s="264"/>
      <c r="BC768" s="264"/>
      <c r="BD768" s="264"/>
    </row>
    <row r="769">
      <c r="A769" s="264"/>
      <c r="B769" s="264"/>
      <c r="C769" s="264"/>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c r="AA769" s="264"/>
      <c r="AB769" s="264"/>
      <c r="AC769" s="264"/>
      <c r="AD769" s="264"/>
      <c r="AE769" s="264"/>
      <c r="AF769" s="264"/>
      <c r="AG769" s="264"/>
      <c r="AH769" s="264"/>
      <c r="AI769" s="264"/>
      <c r="AJ769" s="264"/>
      <c r="AK769" s="264"/>
      <c r="AL769" s="264"/>
      <c r="AM769" s="264"/>
      <c r="AN769" s="264"/>
      <c r="AO769" s="264"/>
      <c r="AP769" s="264"/>
      <c r="AQ769" s="264"/>
      <c r="AR769" s="264"/>
      <c r="AS769" s="264"/>
      <c r="AT769" s="264"/>
      <c r="AU769" s="264"/>
      <c r="AV769" s="264"/>
      <c r="AW769" s="264"/>
      <c r="AX769" s="264"/>
      <c r="AY769" s="264"/>
      <c r="AZ769" s="264"/>
      <c r="BA769" s="264"/>
      <c r="BB769" s="264"/>
      <c r="BC769" s="264"/>
      <c r="BD769" s="264"/>
    </row>
    <row r="770">
      <c r="A770" s="264"/>
      <c r="B770" s="264"/>
      <c r="C770" s="264"/>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c r="AA770" s="264"/>
      <c r="AB770" s="264"/>
      <c r="AC770" s="264"/>
      <c r="AD770" s="264"/>
      <c r="AE770" s="264"/>
      <c r="AF770" s="264"/>
      <c r="AG770" s="264"/>
      <c r="AH770" s="264"/>
      <c r="AI770" s="264"/>
      <c r="AJ770" s="264"/>
      <c r="AK770" s="264"/>
      <c r="AL770" s="264"/>
      <c r="AM770" s="264"/>
      <c r="AN770" s="264"/>
      <c r="AO770" s="264"/>
      <c r="AP770" s="264"/>
      <c r="AQ770" s="264"/>
      <c r="AR770" s="264"/>
      <c r="AS770" s="264"/>
      <c r="AT770" s="264"/>
      <c r="AU770" s="264"/>
      <c r="AV770" s="264"/>
      <c r="AW770" s="264"/>
      <c r="AX770" s="264"/>
      <c r="AY770" s="264"/>
      <c r="AZ770" s="264"/>
      <c r="BA770" s="264"/>
      <c r="BB770" s="264"/>
      <c r="BC770" s="264"/>
      <c r="BD770" s="264"/>
    </row>
    <row r="771">
      <c r="A771" s="264"/>
      <c r="B771" s="264"/>
      <c r="C771" s="264"/>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c r="AA771" s="264"/>
      <c r="AB771" s="264"/>
      <c r="AC771" s="264"/>
      <c r="AD771" s="264"/>
      <c r="AE771" s="264"/>
      <c r="AF771" s="264"/>
      <c r="AG771" s="264"/>
      <c r="AH771" s="264"/>
      <c r="AI771" s="264"/>
      <c r="AJ771" s="264"/>
      <c r="AK771" s="264"/>
      <c r="AL771" s="264"/>
      <c r="AM771" s="264"/>
      <c r="AN771" s="264"/>
      <c r="AO771" s="264"/>
      <c r="AP771" s="264"/>
      <c r="AQ771" s="264"/>
      <c r="AR771" s="264"/>
      <c r="AS771" s="264"/>
      <c r="AT771" s="264"/>
      <c r="AU771" s="264"/>
      <c r="AV771" s="264"/>
      <c r="AW771" s="264"/>
      <c r="AX771" s="264"/>
      <c r="AY771" s="264"/>
      <c r="AZ771" s="264"/>
      <c r="BA771" s="264"/>
      <c r="BB771" s="264"/>
      <c r="BC771" s="264"/>
      <c r="BD771" s="264"/>
    </row>
    <row r="772">
      <c r="A772" s="264"/>
      <c r="B772" s="264"/>
      <c r="C772" s="264"/>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c r="AA772" s="264"/>
      <c r="AB772" s="264"/>
      <c r="AC772" s="264"/>
      <c r="AD772" s="264"/>
      <c r="AE772" s="264"/>
      <c r="AF772" s="264"/>
      <c r="AG772" s="264"/>
      <c r="AH772" s="264"/>
      <c r="AI772" s="264"/>
      <c r="AJ772" s="264"/>
      <c r="AK772" s="264"/>
      <c r="AL772" s="264"/>
      <c r="AM772" s="264"/>
      <c r="AN772" s="264"/>
      <c r="AO772" s="264"/>
      <c r="AP772" s="264"/>
      <c r="AQ772" s="264"/>
      <c r="AR772" s="264"/>
      <c r="AS772" s="264"/>
      <c r="AT772" s="264"/>
      <c r="AU772" s="264"/>
      <c r="AV772" s="264"/>
      <c r="AW772" s="264"/>
      <c r="AX772" s="264"/>
      <c r="AY772" s="264"/>
      <c r="AZ772" s="264"/>
      <c r="BA772" s="264"/>
      <c r="BB772" s="264"/>
      <c r="BC772" s="264"/>
      <c r="BD772" s="264"/>
    </row>
    <row r="773">
      <c r="A773" s="264"/>
      <c r="B773" s="264"/>
      <c r="C773" s="264"/>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c r="AA773" s="264"/>
      <c r="AB773" s="264"/>
      <c r="AC773" s="264"/>
      <c r="AD773" s="264"/>
      <c r="AE773" s="264"/>
      <c r="AF773" s="264"/>
      <c r="AG773" s="264"/>
      <c r="AH773" s="264"/>
      <c r="AI773" s="264"/>
      <c r="AJ773" s="264"/>
      <c r="AK773" s="264"/>
      <c r="AL773" s="264"/>
      <c r="AM773" s="264"/>
      <c r="AN773" s="264"/>
      <c r="AO773" s="264"/>
      <c r="AP773" s="264"/>
      <c r="AQ773" s="264"/>
      <c r="AR773" s="264"/>
      <c r="AS773" s="264"/>
      <c r="AT773" s="264"/>
      <c r="AU773" s="264"/>
      <c r="AV773" s="264"/>
      <c r="AW773" s="264"/>
      <c r="AX773" s="264"/>
      <c r="AY773" s="264"/>
      <c r="AZ773" s="264"/>
      <c r="BA773" s="264"/>
      <c r="BB773" s="264"/>
      <c r="BC773" s="264"/>
      <c r="BD773" s="264"/>
    </row>
    <row r="774">
      <c r="A774" s="264"/>
      <c r="B774" s="264"/>
      <c r="C774" s="264"/>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c r="AA774" s="264"/>
      <c r="AB774" s="264"/>
      <c r="AC774" s="264"/>
      <c r="AD774" s="264"/>
      <c r="AE774" s="264"/>
      <c r="AF774" s="264"/>
      <c r="AG774" s="264"/>
      <c r="AH774" s="264"/>
      <c r="AI774" s="264"/>
      <c r="AJ774" s="264"/>
      <c r="AK774" s="264"/>
      <c r="AL774" s="264"/>
      <c r="AM774" s="264"/>
      <c r="AN774" s="264"/>
      <c r="AO774" s="264"/>
      <c r="AP774" s="264"/>
      <c r="AQ774" s="264"/>
      <c r="AR774" s="264"/>
      <c r="AS774" s="264"/>
      <c r="AT774" s="264"/>
      <c r="AU774" s="264"/>
      <c r="AV774" s="264"/>
      <c r="AW774" s="264"/>
      <c r="AX774" s="264"/>
      <c r="AY774" s="264"/>
      <c r="AZ774" s="264"/>
      <c r="BA774" s="264"/>
      <c r="BB774" s="264"/>
      <c r="BC774" s="264"/>
      <c r="BD774" s="264"/>
    </row>
    <row r="775">
      <c r="A775" s="264"/>
      <c r="B775" s="264"/>
      <c r="C775" s="264"/>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c r="AA775" s="264"/>
      <c r="AB775" s="264"/>
      <c r="AC775" s="264"/>
      <c r="AD775" s="264"/>
      <c r="AE775" s="264"/>
      <c r="AF775" s="264"/>
      <c r="AG775" s="264"/>
      <c r="AH775" s="264"/>
      <c r="AI775" s="264"/>
      <c r="AJ775" s="264"/>
      <c r="AK775" s="264"/>
      <c r="AL775" s="264"/>
      <c r="AM775" s="264"/>
      <c r="AN775" s="264"/>
      <c r="AO775" s="264"/>
      <c r="AP775" s="264"/>
      <c r="AQ775" s="264"/>
      <c r="AR775" s="264"/>
      <c r="AS775" s="264"/>
      <c r="AT775" s="264"/>
      <c r="AU775" s="264"/>
      <c r="AV775" s="264"/>
      <c r="AW775" s="264"/>
      <c r="AX775" s="264"/>
      <c r="AY775" s="264"/>
      <c r="AZ775" s="264"/>
      <c r="BA775" s="264"/>
      <c r="BB775" s="264"/>
      <c r="BC775" s="264"/>
      <c r="BD775" s="264"/>
    </row>
    <row r="776">
      <c r="A776" s="264"/>
      <c r="B776" s="264"/>
      <c r="C776" s="264"/>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c r="AA776" s="264"/>
      <c r="AB776" s="264"/>
      <c r="AC776" s="264"/>
      <c r="AD776" s="264"/>
      <c r="AE776" s="264"/>
      <c r="AF776" s="264"/>
      <c r="AG776" s="264"/>
      <c r="AH776" s="264"/>
      <c r="AI776" s="264"/>
      <c r="AJ776" s="264"/>
      <c r="AK776" s="264"/>
      <c r="AL776" s="264"/>
      <c r="AM776" s="264"/>
      <c r="AN776" s="264"/>
      <c r="AO776" s="264"/>
      <c r="AP776" s="264"/>
      <c r="AQ776" s="264"/>
      <c r="AR776" s="264"/>
      <c r="AS776" s="264"/>
      <c r="AT776" s="264"/>
      <c r="AU776" s="264"/>
      <c r="AV776" s="264"/>
      <c r="AW776" s="264"/>
      <c r="AX776" s="264"/>
      <c r="AY776" s="264"/>
      <c r="AZ776" s="264"/>
      <c r="BA776" s="264"/>
      <c r="BB776" s="264"/>
      <c r="BC776" s="264"/>
      <c r="BD776" s="264"/>
    </row>
    <row r="777">
      <c r="A777" s="264"/>
      <c r="B777" s="264"/>
      <c r="C777" s="264"/>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c r="AA777" s="264"/>
      <c r="AB777" s="264"/>
      <c r="AC777" s="264"/>
      <c r="AD777" s="264"/>
      <c r="AE777" s="264"/>
      <c r="AF777" s="264"/>
      <c r="AG777" s="264"/>
      <c r="AH777" s="264"/>
      <c r="AI777" s="264"/>
      <c r="AJ777" s="264"/>
      <c r="AK777" s="264"/>
      <c r="AL777" s="264"/>
      <c r="AM777" s="264"/>
      <c r="AN777" s="264"/>
      <c r="AO777" s="264"/>
      <c r="AP777" s="264"/>
      <c r="AQ777" s="264"/>
      <c r="AR777" s="264"/>
      <c r="AS777" s="264"/>
      <c r="AT777" s="264"/>
      <c r="AU777" s="264"/>
      <c r="AV777" s="264"/>
      <c r="AW777" s="264"/>
      <c r="AX777" s="264"/>
      <c r="AY777" s="264"/>
      <c r="AZ777" s="264"/>
      <c r="BA777" s="264"/>
      <c r="BB777" s="264"/>
      <c r="BC777" s="264"/>
      <c r="BD777" s="264"/>
    </row>
    <row r="778">
      <c r="A778" s="264"/>
      <c r="B778" s="264"/>
      <c r="C778" s="264"/>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c r="AA778" s="264"/>
      <c r="AB778" s="264"/>
      <c r="AC778" s="264"/>
      <c r="AD778" s="264"/>
      <c r="AE778" s="264"/>
      <c r="AF778" s="264"/>
      <c r="AG778" s="264"/>
      <c r="AH778" s="264"/>
      <c r="AI778" s="264"/>
      <c r="AJ778" s="264"/>
      <c r="AK778" s="264"/>
      <c r="AL778" s="264"/>
      <c r="AM778" s="264"/>
      <c r="AN778" s="264"/>
      <c r="AO778" s="264"/>
      <c r="AP778" s="264"/>
      <c r="AQ778" s="264"/>
      <c r="AR778" s="264"/>
      <c r="AS778" s="264"/>
      <c r="AT778" s="264"/>
      <c r="AU778" s="264"/>
      <c r="AV778" s="264"/>
      <c r="AW778" s="264"/>
      <c r="AX778" s="264"/>
      <c r="AY778" s="264"/>
      <c r="AZ778" s="264"/>
      <c r="BA778" s="264"/>
      <c r="BB778" s="264"/>
      <c r="BC778" s="264"/>
      <c r="BD778" s="264"/>
    </row>
    <row r="779">
      <c r="A779" s="264"/>
      <c r="B779" s="264"/>
      <c r="C779" s="264"/>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c r="AA779" s="264"/>
      <c r="AB779" s="264"/>
      <c r="AC779" s="264"/>
      <c r="AD779" s="264"/>
      <c r="AE779" s="264"/>
      <c r="AF779" s="264"/>
      <c r="AG779" s="264"/>
      <c r="AH779" s="264"/>
      <c r="AI779" s="264"/>
      <c r="AJ779" s="264"/>
      <c r="AK779" s="264"/>
      <c r="AL779" s="264"/>
      <c r="AM779" s="264"/>
      <c r="AN779" s="264"/>
      <c r="AO779" s="264"/>
      <c r="AP779" s="264"/>
      <c r="AQ779" s="264"/>
      <c r="AR779" s="264"/>
      <c r="AS779" s="264"/>
      <c r="AT779" s="264"/>
      <c r="AU779" s="264"/>
      <c r="AV779" s="264"/>
      <c r="AW779" s="264"/>
      <c r="AX779" s="264"/>
      <c r="AY779" s="264"/>
      <c r="AZ779" s="264"/>
      <c r="BA779" s="264"/>
      <c r="BB779" s="264"/>
      <c r="BC779" s="264"/>
      <c r="BD779" s="264"/>
    </row>
    <row r="780">
      <c r="A780" s="264"/>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c r="AA780" s="264"/>
      <c r="AB780" s="264"/>
      <c r="AC780" s="264"/>
      <c r="AD780" s="264"/>
      <c r="AE780" s="264"/>
      <c r="AF780" s="264"/>
      <c r="AG780" s="264"/>
      <c r="AH780" s="264"/>
      <c r="AI780" s="264"/>
      <c r="AJ780" s="264"/>
      <c r="AK780" s="264"/>
      <c r="AL780" s="264"/>
      <c r="AM780" s="264"/>
      <c r="AN780" s="264"/>
      <c r="AO780" s="264"/>
      <c r="AP780" s="264"/>
      <c r="AQ780" s="264"/>
      <c r="AR780" s="264"/>
      <c r="AS780" s="264"/>
      <c r="AT780" s="264"/>
      <c r="AU780" s="264"/>
      <c r="AV780" s="264"/>
      <c r="AW780" s="264"/>
      <c r="AX780" s="264"/>
      <c r="AY780" s="264"/>
      <c r="AZ780" s="264"/>
      <c r="BA780" s="264"/>
      <c r="BB780" s="264"/>
      <c r="BC780" s="264"/>
      <c r="BD780" s="264"/>
    </row>
    <row r="781">
      <c r="A781" s="264"/>
      <c r="B781" s="264"/>
      <c r="C781" s="264"/>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c r="AA781" s="264"/>
      <c r="AB781" s="264"/>
      <c r="AC781" s="264"/>
      <c r="AD781" s="264"/>
      <c r="AE781" s="264"/>
      <c r="AF781" s="264"/>
      <c r="AG781" s="264"/>
      <c r="AH781" s="264"/>
      <c r="AI781" s="264"/>
      <c r="AJ781" s="264"/>
      <c r="AK781" s="264"/>
      <c r="AL781" s="264"/>
      <c r="AM781" s="264"/>
      <c r="AN781" s="264"/>
      <c r="AO781" s="264"/>
      <c r="AP781" s="264"/>
      <c r="AQ781" s="264"/>
      <c r="AR781" s="264"/>
      <c r="AS781" s="264"/>
      <c r="AT781" s="264"/>
      <c r="AU781" s="264"/>
      <c r="AV781" s="264"/>
      <c r="AW781" s="264"/>
      <c r="AX781" s="264"/>
      <c r="AY781" s="264"/>
      <c r="AZ781" s="264"/>
      <c r="BA781" s="264"/>
      <c r="BB781" s="264"/>
      <c r="BC781" s="264"/>
      <c r="BD781" s="264"/>
    </row>
    <row r="782">
      <c r="A782" s="264"/>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c r="AA782" s="264"/>
      <c r="AB782" s="264"/>
      <c r="AC782" s="264"/>
      <c r="AD782" s="264"/>
      <c r="AE782" s="264"/>
      <c r="AF782" s="264"/>
      <c r="AG782" s="264"/>
      <c r="AH782" s="264"/>
      <c r="AI782" s="264"/>
      <c r="AJ782" s="264"/>
      <c r="AK782" s="264"/>
      <c r="AL782" s="264"/>
      <c r="AM782" s="264"/>
      <c r="AN782" s="264"/>
      <c r="AO782" s="264"/>
      <c r="AP782" s="264"/>
      <c r="AQ782" s="264"/>
      <c r="AR782" s="264"/>
      <c r="AS782" s="264"/>
      <c r="AT782" s="264"/>
      <c r="AU782" s="264"/>
      <c r="AV782" s="264"/>
      <c r="AW782" s="264"/>
      <c r="AX782" s="264"/>
      <c r="AY782" s="264"/>
      <c r="AZ782" s="264"/>
      <c r="BA782" s="264"/>
      <c r="BB782" s="264"/>
      <c r="BC782" s="264"/>
      <c r="BD782" s="264"/>
    </row>
    <row r="783">
      <c r="A783" s="264"/>
      <c r="B783" s="264"/>
      <c r="C783" s="264"/>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c r="AA783" s="264"/>
      <c r="AB783" s="264"/>
      <c r="AC783" s="264"/>
      <c r="AD783" s="264"/>
      <c r="AE783" s="264"/>
      <c r="AF783" s="264"/>
      <c r="AG783" s="264"/>
      <c r="AH783" s="264"/>
      <c r="AI783" s="264"/>
      <c r="AJ783" s="264"/>
      <c r="AK783" s="264"/>
      <c r="AL783" s="264"/>
      <c r="AM783" s="264"/>
      <c r="AN783" s="264"/>
      <c r="AO783" s="264"/>
      <c r="AP783" s="264"/>
      <c r="AQ783" s="264"/>
      <c r="AR783" s="264"/>
      <c r="AS783" s="264"/>
      <c r="AT783" s="264"/>
      <c r="AU783" s="264"/>
      <c r="AV783" s="264"/>
      <c r="AW783" s="264"/>
      <c r="AX783" s="264"/>
      <c r="AY783" s="264"/>
      <c r="AZ783" s="264"/>
      <c r="BA783" s="264"/>
      <c r="BB783" s="264"/>
      <c r="BC783" s="264"/>
      <c r="BD783" s="264"/>
    </row>
    <row r="784">
      <c r="A784" s="264"/>
      <c r="B784" s="264"/>
      <c r="C784" s="264"/>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c r="AA784" s="264"/>
      <c r="AB784" s="264"/>
      <c r="AC784" s="264"/>
      <c r="AD784" s="264"/>
      <c r="AE784" s="264"/>
      <c r="AF784" s="264"/>
      <c r="AG784" s="264"/>
      <c r="AH784" s="264"/>
      <c r="AI784" s="264"/>
      <c r="AJ784" s="264"/>
      <c r="AK784" s="264"/>
      <c r="AL784" s="264"/>
      <c r="AM784" s="264"/>
      <c r="AN784" s="264"/>
      <c r="AO784" s="264"/>
      <c r="AP784" s="264"/>
      <c r="AQ784" s="264"/>
      <c r="AR784" s="264"/>
      <c r="AS784" s="264"/>
      <c r="AT784" s="264"/>
      <c r="AU784" s="264"/>
      <c r="AV784" s="264"/>
      <c r="AW784" s="264"/>
      <c r="AX784" s="264"/>
      <c r="AY784" s="264"/>
      <c r="AZ784" s="264"/>
      <c r="BA784" s="264"/>
      <c r="BB784" s="264"/>
      <c r="BC784" s="264"/>
      <c r="BD784" s="264"/>
    </row>
    <row r="785">
      <c r="A785" s="264"/>
      <c r="B785" s="264"/>
      <c r="C785" s="264"/>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c r="AA785" s="264"/>
      <c r="AB785" s="264"/>
      <c r="AC785" s="264"/>
      <c r="AD785" s="264"/>
      <c r="AE785" s="264"/>
      <c r="AF785" s="264"/>
      <c r="AG785" s="264"/>
      <c r="AH785" s="264"/>
      <c r="AI785" s="264"/>
      <c r="AJ785" s="264"/>
      <c r="AK785" s="264"/>
      <c r="AL785" s="264"/>
      <c r="AM785" s="264"/>
      <c r="AN785" s="264"/>
      <c r="AO785" s="264"/>
      <c r="AP785" s="264"/>
      <c r="AQ785" s="264"/>
      <c r="AR785" s="264"/>
      <c r="AS785" s="264"/>
      <c r="AT785" s="264"/>
      <c r="AU785" s="264"/>
      <c r="AV785" s="264"/>
      <c r="AW785" s="264"/>
      <c r="AX785" s="264"/>
      <c r="AY785" s="264"/>
      <c r="AZ785" s="264"/>
      <c r="BA785" s="264"/>
      <c r="BB785" s="264"/>
      <c r="BC785" s="264"/>
      <c r="BD785" s="264"/>
    </row>
    <row r="786">
      <c r="A786" s="264"/>
      <c r="B786" s="264"/>
      <c r="C786" s="264"/>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c r="AA786" s="264"/>
      <c r="AB786" s="264"/>
      <c r="AC786" s="264"/>
      <c r="AD786" s="264"/>
      <c r="AE786" s="264"/>
      <c r="AF786" s="264"/>
      <c r="AG786" s="264"/>
      <c r="AH786" s="264"/>
      <c r="AI786" s="264"/>
      <c r="AJ786" s="264"/>
      <c r="AK786" s="264"/>
      <c r="AL786" s="264"/>
      <c r="AM786" s="264"/>
      <c r="AN786" s="264"/>
      <c r="AO786" s="264"/>
      <c r="AP786" s="264"/>
      <c r="AQ786" s="264"/>
      <c r="AR786" s="264"/>
      <c r="AS786" s="264"/>
      <c r="AT786" s="264"/>
      <c r="AU786" s="264"/>
      <c r="AV786" s="264"/>
      <c r="AW786" s="264"/>
      <c r="AX786" s="264"/>
      <c r="AY786" s="264"/>
      <c r="AZ786" s="264"/>
      <c r="BA786" s="264"/>
      <c r="BB786" s="264"/>
      <c r="BC786" s="264"/>
      <c r="BD786" s="264"/>
    </row>
    <row r="787">
      <c r="A787" s="264"/>
      <c r="B787" s="264"/>
      <c r="C787" s="264"/>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c r="AA787" s="264"/>
      <c r="AB787" s="264"/>
      <c r="AC787" s="264"/>
      <c r="AD787" s="264"/>
      <c r="AE787" s="264"/>
      <c r="AF787" s="264"/>
      <c r="AG787" s="264"/>
      <c r="AH787" s="264"/>
      <c r="AI787" s="264"/>
      <c r="AJ787" s="264"/>
      <c r="AK787" s="264"/>
      <c r="AL787" s="264"/>
      <c r="AM787" s="264"/>
      <c r="AN787" s="264"/>
      <c r="AO787" s="264"/>
      <c r="AP787" s="264"/>
      <c r="AQ787" s="264"/>
      <c r="AR787" s="264"/>
      <c r="AS787" s="264"/>
      <c r="AT787" s="264"/>
      <c r="AU787" s="264"/>
      <c r="AV787" s="264"/>
      <c r="AW787" s="264"/>
      <c r="AX787" s="264"/>
      <c r="AY787" s="264"/>
      <c r="AZ787" s="264"/>
      <c r="BA787" s="264"/>
      <c r="BB787" s="264"/>
      <c r="BC787" s="264"/>
      <c r="BD787" s="264"/>
    </row>
    <row r="788">
      <c r="A788" s="264"/>
      <c r="B788" s="264"/>
      <c r="C788" s="264"/>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c r="AA788" s="264"/>
      <c r="AB788" s="264"/>
      <c r="AC788" s="264"/>
      <c r="AD788" s="264"/>
      <c r="AE788" s="264"/>
      <c r="AF788" s="264"/>
      <c r="AG788" s="264"/>
      <c r="AH788" s="264"/>
      <c r="AI788" s="264"/>
      <c r="AJ788" s="264"/>
      <c r="AK788" s="264"/>
      <c r="AL788" s="264"/>
      <c r="AM788" s="264"/>
      <c r="AN788" s="264"/>
      <c r="AO788" s="264"/>
      <c r="AP788" s="264"/>
      <c r="AQ788" s="264"/>
      <c r="AR788" s="264"/>
      <c r="AS788" s="264"/>
      <c r="AT788" s="264"/>
      <c r="AU788" s="264"/>
      <c r="AV788" s="264"/>
      <c r="AW788" s="264"/>
      <c r="AX788" s="264"/>
      <c r="AY788" s="264"/>
      <c r="AZ788" s="264"/>
      <c r="BA788" s="264"/>
      <c r="BB788" s="264"/>
      <c r="BC788" s="264"/>
      <c r="BD788" s="264"/>
    </row>
    <row r="789">
      <c r="A789" s="264"/>
      <c r="B789" s="264"/>
      <c r="C789" s="264"/>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c r="AA789" s="264"/>
      <c r="AB789" s="264"/>
      <c r="AC789" s="264"/>
      <c r="AD789" s="264"/>
      <c r="AE789" s="264"/>
      <c r="AF789" s="264"/>
      <c r="AG789" s="264"/>
      <c r="AH789" s="264"/>
      <c r="AI789" s="264"/>
      <c r="AJ789" s="264"/>
      <c r="AK789" s="264"/>
      <c r="AL789" s="264"/>
      <c r="AM789" s="264"/>
      <c r="AN789" s="264"/>
      <c r="AO789" s="264"/>
      <c r="AP789" s="264"/>
      <c r="AQ789" s="264"/>
      <c r="AR789" s="264"/>
      <c r="AS789" s="264"/>
      <c r="AT789" s="264"/>
      <c r="AU789" s="264"/>
      <c r="AV789" s="264"/>
      <c r="AW789" s="264"/>
      <c r="AX789" s="264"/>
      <c r="AY789" s="264"/>
      <c r="AZ789" s="264"/>
      <c r="BA789" s="264"/>
      <c r="BB789" s="264"/>
      <c r="BC789" s="264"/>
      <c r="BD789" s="264"/>
    </row>
    <row r="790">
      <c r="A790" s="264"/>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c r="AA790" s="264"/>
      <c r="AB790" s="264"/>
      <c r="AC790" s="264"/>
      <c r="AD790" s="264"/>
      <c r="AE790" s="264"/>
      <c r="AF790" s="264"/>
      <c r="AG790" s="264"/>
      <c r="AH790" s="264"/>
      <c r="AI790" s="264"/>
      <c r="AJ790" s="264"/>
      <c r="AK790" s="264"/>
      <c r="AL790" s="264"/>
      <c r="AM790" s="264"/>
      <c r="AN790" s="264"/>
      <c r="AO790" s="264"/>
      <c r="AP790" s="264"/>
      <c r="AQ790" s="264"/>
      <c r="AR790" s="264"/>
      <c r="AS790" s="264"/>
      <c r="AT790" s="264"/>
      <c r="AU790" s="264"/>
      <c r="AV790" s="264"/>
      <c r="AW790" s="264"/>
      <c r="AX790" s="264"/>
      <c r="AY790" s="264"/>
      <c r="AZ790" s="264"/>
      <c r="BA790" s="264"/>
      <c r="BB790" s="264"/>
      <c r="BC790" s="264"/>
      <c r="BD790" s="264"/>
    </row>
    <row r="791">
      <c r="A791" s="264"/>
      <c r="B791" s="264"/>
      <c r="C791" s="264"/>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c r="AA791" s="264"/>
      <c r="AB791" s="264"/>
      <c r="AC791" s="264"/>
      <c r="AD791" s="264"/>
      <c r="AE791" s="264"/>
      <c r="AF791" s="264"/>
      <c r="AG791" s="264"/>
      <c r="AH791" s="264"/>
      <c r="AI791" s="264"/>
      <c r="AJ791" s="264"/>
      <c r="AK791" s="264"/>
      <c r="AL791" s="264"/>
      <c r="AM791" s="264"/>
      <c r="AN791" s="264"/>
      <c r="AO791" s="264"/>
      <c r="AP791" s="264"/>
      <c r="AQ791" s="264"/>
      <c r="AR791" s="264"/>
      <c r="AS791" s="264"/>
      <c r="AT791" s="264"/>
      <c r="AU791" s="264"/>
      <c r="AV791" s="264"/>
      <c r="AW791" s="264"/>
      <c r="AX791" s="264"/>
      <c r="AY791" s="264"/>
      <c r="AZ791" s="264"/>
      <c r="BA791" s="264"/>
      <c r="BB791" s="264"/>
      <c r="BC791" s="264"/>
      <c r="BD791" s="264"/>
    </row>
    <row r="792">
      <c r="A792" s="264"/>
      <c r="B792" s="264"/>
      <c r="C792" s="264"/>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c r="AA792" s="264"/>
      <c r="AB792" s="264"/>
      <c r="AC792" s="264"/>
      <c r="AD792" s="264"/>
      <c r="AE792" s="264"/>
      <c r="AF792" s="264"/>
      <c r="AG792" s="264"/>
      <c r="AH792" s="264"/>
      <c r="AI792" s="264"/>
      <c r="AJ792" s="264"/>
      <c r="AK792" s="264"/>
      <c r="AL792" s="264"/>
      <c r="AM792" s="264"/>
      <c r="AN792" s="264"/>
      <c r="AO792" s="264"/>
      <c r="AP792" s="264"/>
      <c r="AQ792" s="264"/>
      <c r="AR792" s="264"/>
      <c r="AS792" s="264"/>
      <c r="AT792" s="264"/>
      <c r="AU792" s="264"/>
      <c r="AV792" s="264"/>
      <c r="AW792" s="264"/>
      <c r="AX792" s="264"/>
      <c r="AY792" s="264"/>
      <c r="AZ792" s="264"/>
      <c r="BA792" s="264"/>
      <c r="BB792" s="264"/>
      <c r="BC792" s="264"/>
      <c r="BD792" s="264"/>
    </row>
    <row r="793">
      <c r="A793" s="264"/>
      <c r="B793" s="264"/>
      <c r="C793" s="264"/>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c r="AA793" s="264"/>
      <c r="AB793" s="264"/>
      <c r="AC793" s="264"/>
      <c r="AD793" s="264"/>
      <c r="AE793" s="264"/>
      <c r="AF793" s="264"/>
      <c r="AG793" s="264"/>
      <c r="AH793" s="264"/>
      <c r="AI793" s="264"/>
      <c r="AJ793" s="264"/>
      <c r="AK793" s="264"/>
      <c r="AL793" s="264"/>
      <c r="AM793" s="264"/>
      <c r="AN793" s="264"/>
      <c r="AO793" s="264"/>
      <c r="AP793" s="264"/>
      <c r="AQ793" s="264"/>
      <c r="AR793" s="264"/>
      <c r="AS793" s="264"/>
      <c r="AT793" s="264"/>
      <c r="AU793" s="264"/>
      <c r="AV793" s="264"/>
      <c r="AW793" s="264"/>
      <c r="AX793" s="264"/>
      <c r="AY793" s="264"/>
      <c r="AZ793" s="264"/>
      <c r="BA793" s="264"/>
      <c r="BB793" s="264"/>
      <c r="BC793" s="264"/>
      <c r="BD793" s="264"/>
    </row>
    <row r="794">
      <c r="A794" s="264"/>
      <c r="B794" s="264"/>
      <c r="C794" s="264"/>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c r="AA794" s="264"/>
      <c r="AB794" s="264"/>
      <c r="AC794" s="264"/>
      <c r="AD794" s="264"/>
      <c r="AE794" s="264"/>
      <c r="AF794" s="264"/>
      <c r="AG794" s="264"/>
      <c r="AH794" s="264"/>
      <c r="AI794" s="264"/>
      <c r="AJ794" s="264"/>
      <c r="AK794" s="264"/>
      <c r="AL794" s="264"/>
      <c r="AM794" s="264"/>
      <c r="AN794" s="264"/>
      <c r="AO794" s="264"/>
      <c r="AP794" s="264"/>
      <c r="AQ794" s="264"/>
      <c r="AR794" s="264"/>
      <c r="AS794" s="264"/>
      <c r="AT794" s="264"/>
      <c r="AU794" s="264"/>
      <c r="AV794" s="264"/>
      <c r="AW794" s="264"/>
      <c r="AX794" s="264"/>
      <c r="AY794" s="264"/>
      <c r="AZ794" s="264"/>
      <c r="BA794" s="264"/>
      <c r="BB794" s="264"/>
      <c r="BC794" s="264"/>
      <c r="BD794" s="264"/>
    </row>
    <row r="795">
      <c r="A795" s="264"/>
      <c r="B795" s="264"/>
      <c r="C795" s="264"/>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c r="AA795" s="264"/>
      <c r="AB795" s="264"/>
      <c r="AC795" s="264"/>
      <c r="AD795" s="264"/>
      <c r="AE795" s="264"/>
      <c r="AF795" s="264"/>
      <c r="AG795" s="264"/>
      <c r="AH795" s="264"/>
      <c r="AI795" s="264"/>
      <c r="AJ795" s="264"/>
      <c r="AK795" s="264"/>
      <c r="AL795" s="264"/>
      <c r="AM795" s="264"/>
      <c r="AN795" s="264"/>
      <c r="AO795" s="264"/>
      <c r="AP795" s="264"/>
      <c r="AQ795" s="264"/>
      <c r="AR795" s="264"/>
      <c r="AS795" s="264"/>
      <c r="AT795" s="264"/>
      <c r="AU795" s="264"/>
      <c r="AV795" s="264"/>
      <c r="AW795" s="264"/>
      <c r="AX795" s="264"/>
      <c r="AY795" s="264"/>
      <c r="AZ795" s="264"/>
      <c r="BA795" s="264"/>
      <c r="BB795" s="264"/>
      <c r="BC795" s="264"/>
      <c r="BD795" s="264"/>
    </row>
    <row r="796">
      <c r="A796" s="264"/>
      <c r="B796" s="264"/>
      <c r="C796" s="264"/>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c r="AA796" s="264"/>
      <c r="AB796" s="264"/>
      <c r="AC796" s="264"/>
      <c r="AD796" s="264"/>
      <c r="AE796" s="264"/>
      <c r="AF796" s="264"/>
      <c r="AG796" s="264"/>
      <c r="AH796" s="264"/>
      <c r="AI796" s="264"/>
      <c r="AJ796" s="264"/>
      <c r="AK796" s="264"/>
      <c r="AL796" s="264"/>
      <c r="AM796" s="264"/>
      <c r="AN796" s="264"/>
      <c r="AO796" s="264"/>
      <c r="AP796" s="264"/>
      <c r="AQ796" s="264"/>
      <c r="AR796" s="264"/>
      <c r="AS796" s="264"/>
      <c r="AT796" s="264"/>
      <c r="AU796" s="264"/>
      <c r="AV796" s="264"/>
      <c r="AW796" s="264"/>
      <c r="AX796" s="264"/>
      <c r="AY796" s="264"/>
      <c r="AZ796" s="264"/>
      <c r="BA796" s="264"/>
      <c r="BB796" s="264"/>
      <c r="BC796" s="264"/>
      <c r="BD796" s="264"/>
    </row>
    <row r="797">
      <c r="A797" s="264"/>
      <c r="B797" s="264"/>
      <c r="C797" s="264"/>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c r="AA797" s="264"/>
      <c r="AB797" s="264"/>
      <c r="AC797" s="264"/>
      <c r="AD797" s="264"/>
      <c r="AE797" s="264"/>
      <c r="AF797" s="264"/>
      <c r="AG797" s="264"/>
      <c r="AH797" s="264"/>
      <c r="AI797" s="264"/>
      <c r="AJ797" s="264"/>
      <c r="AK797" s="264"/>
      <c r="AL797" s="264"/>
      <c r="AM797" s="264"/>
      <c r="AN797" s="264"/>
      <c r="AO797" s="264"/>
      <c r="AP797" s="264"/>
      <c r="AQ797" s="264"/>
      <c r="AR797" s="264"/>
      <c r="AS797" s="264"/>
      <c r="AT797" s="264"/>
      <c r="AU797" s="264"/>
      <c r="AV797" s="264"/>
      <c r="AW797" s="264"/>
      <c r="AX797" s="264"/>
      <c r="AY797" s="264"/>
      <c r="AZ797" s="264"/>
      <c r="BA797" s="264"/>
      <c r="BB797" s="264"/>
      <c r="BC797" s="264"/>
      <c r="BD797" s="264"/>
    </row>
    <row r="798">
      <c r="A798" s="264"/>
      <c r="B798" s="264"/>
      <c r="C798" s="264"/>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c r="AA798" s="264"/>
      <c r="AB798" s="264"/>
      <c r="AC798" s="264"/>
      <c r="AD798" s="264"/>
      <c r="AE798" s="264"/>
      <c r="AF798" s="264"/>
      <c r="AG798" s="264"/>
      <c r="AH798" s="264"/>
      <c r="AI798" s="264"/>
      <c r="AJ798" s="264"/>
      <c r="AK798" s="264"/>
      <c r="AL798" s="264"/>
      <c r="AM798" s="264"/>
      <c r="AN798" s="264"/>
      <c r="AO798" s="264"/>
      <c r="AP798" s="264"/>
      <c r="AQ798" s="264"/>
      <c r="AR798" s="264"/>
      <c r="AS798" s="264"/>
      <c r="AT798" s="264"/>
      <c r="AU798" s="264"/>
      <c r="AV798" s="264"/>
      <c r="AW798" s="264"/>
      <c r="AX798" s="264"/>
      <c r="AY798" s="264"/>
      <c r="AZ798" s="264"/>
      <c r="BA798" s="264"/>
      <c r="BB798" s="264"/>
      <c r="BC798" s="264"/>
      <c r="BD798" s="264"/>
    </row>
    <row r="799">
      <c r="A799" s="264"/>
      <c r="B799" s="264"/>
      <c r="C799" s="264"/>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c r="AA799" s="264"/>
      <c r="AB799" s="264"/>
      <c r="AC799" s="264"/>
      <c r="AD799" s="264"/>
      <c r="AE799" s="264"/>
      <c r="AF799" s="264"/>
      <c r="AG799" s="264"/>
      <c r="AH799" s="264"/>
      <c r="AI799" s="264"/>
      <c r="AJ799" s="264"/>
      <c r="AK799" s="264"/>
      <c r="AL799" s="264"/>
      <c r="AM799" s="264"/>
      <c r="AN799" s="264"/>
      <c r="AO799" s="264"/>
      <c r="AP799" s="264"/>
      <c r="AQ799" s="264"/>
      <c r="AR799" s="264"/>
      <c r="AS799" s="264"/>
      <c r="AT799" s="264"/>
      <c r="AU799" s="264"/>
      <c r="AV799" s="264"/>
      <c r="AW799" s="264"/>
      <c r="AX799" s="264"/>
      <c r="AY799" s="264"/>
      <c r="AZ799" s="264"/>
      <c r="BA799" s="264"/>
      <c r="BB799" s="264"/>
      <c r="BC799" s="264"/>
      <c r="BD799" s="264"/>
    </row>
    <row r="800">
      <c r="A800" s="264"/>
      <c r="B800" s="264"/>
      <c r="C800" s="264"/>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c r="AA800" s="264"/>
      <c r="AB800" s="264"/>
      <c r="AC800" s="264"/>
      <c r="AD800" s="264"/>
      <c r="AE800" s="264"/>
      <c r="AF800" s="264"/>
      <c r="AG800" s="264"/>
      <c r="AH800" s="264"/>
      <c r="AI800" s="264"/>
      <c r="AJ800" s="264"/>
      <c r="AK800" s="264"/>
      <c r="AL800" s="264"/>
      <c r="AM800" s="264"/>
      <c r="AN800" s="264"/>
      <c r="AO800" s="264"/>
      <c r="AP800" s="264"/>
      <c r="AQ800" s="264"/>
      <c r="AR800" s="264"/>
      <c r="AS800" s="264"/>
      <c r="AT800" s="264"/>
      <c r="AU800" s="264"/>
      <c r="AV800" s="264"/>
      <c r="AW800" s="264"/>
      <c r="AX800" s="264"/>
      <c r="AY800" s="264"/>
      <c r="AZ800" s="264"/>
      <c r="BA800" s="264"/>
      <c r="BB800" s="264"/>
      <c r="BC800" s="264"/>
      <c r="BD800" s="264"/>
    </row>
    <row r="801">
      <c r="A801" s="264"/>
      <c r="B801" s="264"/>
      <c r="C801" s="264"/>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c r="AA801" s="264"/>
      <c r="AB801" s="264"/>
      <c r="AC801" s="264"/>
      <c r="AD801" s="264"/>
      <c r="AE801" s="264"/>
      <c r="AF801" s="264"/>
      <c r="AG801" s="264"/>
      <c r="AH801" s="264"/>
      <c r="AI801" s="264"/>
      <c r="AJ801" s="264"/>
      <c r="AK801" s="264"/>
      <c r="AL801" s="264"/>
      <c r="AM801" s="264"/>
      <c r="AN801" s="264"/>
      <c r="AO801" s="264"/>
      <c r="AP801" s="264"/>
      <c r="AQ801" s="264"/>
      <c r="AR801" s="264"/>
      <c r="AS801" s="264"/>
      <c r="AT801" s="264"/>
      <c r="AU801" s="264"/>
      <c r="AV801" s="264"/>
      <c r="AW801" s="264"/>
      <c r="AX801" s="264"/>
      <c r="AY801" s="264"/>
      <c r="AZ801" s="264"/>
      <c r="BA801" s="264"/>
      <c r="BB801" s="264"/>
      <c r="BC801" s="264"/>
      <c r="BD801" s="264"/>
    </row>
    <row r="802">
      <c r="A802" s="264"/>
      <c r="B802" s="264"/>
      <c r="C802" s="264"/>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c r="AA802" s="264"/>
      <c r="AB802" s="264"/>
      <c r="AC802" s="264"/>
      <c r="AD802" s="264"/>
      <c r="AE802" s="264"/>
      <c r="AF802" s="264"/>
      <c r="AG802" s="264"/>
      <c r="AH802" s="264"/>
      <c r="AI802" s="264"/>
      <c r="AJ802" s="264"/>
      <c r="AK802" s="264"/>
      <c r="AL802" s="264"/>
      <c r="AM802" s="264"/>
      <c r="AN802" s="264"/>
      <c r="AO802" s="264"/>
      <c r="AP802" s="264"/>
      <c r="AQ802" s="264"/>
      <c r="AR802" s="264"/>
      <c r="AS802" s="264"/>
      <c r="AT802" s="264"/>
      <c r="AU802" s="264"/>
      <c r="AV802" s="264"/>
      <c r="AW802" s="264"/>
      <c r="AX802" s="264"/>
      <c r="AY802" s="264"/>
      <c r="AZ802" s="264"/>
      <c r="BA802" s="264"/>
      <c r="BB802" s="264"/>
      <c r="BC802" s="264"/>
      <c r="BD802" s="264"/>
    </row>
    <row r="803">
      <c r="A803" s="264"/>
      <c r="B803" s="264"/>
      <c r="C803" s="264"/>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c r="AA803" s="264"/>
      <c r="AB803" s="264"/>
      <c r="AC803" s="264"/>
      <c r="AD803" s="264"/>
      <c r="AE803" s="264"/>
      <c r="AF803" s="264"/>
      <c r="AG803" s="264"/>
      <c r="AH803" s="264"/>
      <c r="AI803" s="264"/>
      <c r="AJ803" s="264"/>
      <c r="AK803" s="264"/>
      <c r="AL803" s="264"/>
      <c r="AM803" s="264"/>
      <c r="AN803" s="264"/>
      <c r="AO803" s="264"/>
      <c r="AP803" s="264"/>
      <c r="AQ803" s="264"/>
      <c r="AR803" s="264"/>
      <c r="AS803" s="264"/>
      <c r="AT803" s="264"/>
      <c r="AU803" s="264"/>
      <c r="AV803" s="264"/>
      <c r="AW803" s="264"/>
      <c r="AX803" s="264"/>
      <c r="AY803" s="264"/>
      <c r="AZ803" s="264"/>
      <c r="BA803" s="264"/>
      <c r="BB803" s="264"/>
      <c r="BC803" s="264"/>
      <c r="BD803" s="264"/>
    </row>
    <row r="804">
      <c r="A804" s="264"/>
      <c r="B804" s="264"/>
      <c r="C804" s="264"/>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c r="AA804" s="264"/>
      <c r="AB804" s="264"/>
      <c r="AC804" s="264"/>
      <c r="AD804" s="264"/>
      <c r="AE804" s="264"/>
      <c r="AF804" s="264"/>
      <c r="AG804" s="264"/>
      <c r="AH804" s="264"/>
      <c r="AI804" s="264"/>
      <c r="AJ804" s="264"/>
      <c r="AK804" s="264"/>
      <c r="AL804" s="264"/>
      <c r="AM804" s="264"/>
      <c r="AN804" s="264"/>
      <c r="AO804" s="264"/>
      <c r="AP804" s="264"/>
      <c r="AQ804" s="264"/>
      <c r="AR804" s="264"/>
      <c r="AS804" s="264"/>
      <c r="AT804" s="264"/>
      <c r="AU804" s="264"/>
      <c r="AV804" s="264"/>
      <c r="AW804" s="264"/>
      <c r="AX804" s="264"/>
      <c r="AY804" s="264"/>
      <c r="AZ804" s="264"/>
      <c r="BA804" s="264"/>
      <c r="BB804" s="264"/>
      <c r="BC804" s="264"/>
      <c r="BD804" s="264"/>
    </row>
    <row r="805">
      <c r="A805" s="264"/>
      <c r="B805" s="264"/>
      <c r="C805" s="264"/>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c r="AA805" s="264"/>
      <c r="AB805" s="264"/>
      <c r="AC805" s="264"/>
      <c r="AD805" s="264"/>
      <c r="AE805" s="264"/>
      <c r="AF805" s="264"/>
      <c r="AG805" s="264"/>
      <c r="AH805" s="264"/>
      <c r="AI805" s="264"/>
      <c r="AJ805" s="264"/>
      <c r="AK805" s="264"/>
      <c r="AL805" s="264"/>
      <c r="AM805" s="264"/>
      <c r="AN805" s="264"/>
      <c r="AO805" s="264"/>
      <c r="AP805" s="264"/>
      <c r="AQ805" s="264"/>
      <c r="AR805" s="264"/>
      <c r="AS805" s="264"/>
      <c r="AT805" s="264"/>
      <c r="AU805" s="264"/>
      <c r="AV805" s="264"/>
      <c r="AW805" s="264"/>
      <c r="AX805" s="264"/>
      <c r="AY805" s="264"/>
      <c r="AZ805" s="264"/>
      <c r="BA805" s="264"/>
      <c r="BB805" s="264"/>
      <c r="BC805" s="264"/>
      <c r="BD805" s="264"/>
    </row>
    <row r="806">
      <c r="A806" s="264"/>
      <c r="B806" s="264"/>
      <c r="C806" s="264"/>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c r="AA806" s="264"/>
      <c r="AB806" s="264"/>
      <c r="AC806" s="264"/>
      <c r="AD806" s="264"/>
      <c r="AE806" s="264"/>
      <c r="AF806" s="264"/>
      <c r="AG806" s="264"/>
      <c r="AH806" s="264"/>
      <c r="AI806" s="264"/>
      <c r="AJ806" s="264"/>
      <c r="AK806" s="264"/>
      <c r="AL806" s="264"/>
      <c r="AM806" s="264"/>
      <c r="AN806" s="264"/>
      <c r="AO806" s="264"/>
      <c r="AP806" s="264"/>
      <c r="AQ806" s="264"/>
      <c r="AR806" s="264"/>
      <c r="AS806" s="264"/>
      <c r="AT806" s="264"/>
      <c r="AU806" s="264"/>
      <c r="AV806" s="264"/>
      <c r="AW806" s="264"/>
      <c r="AX806" s="264"/>
      <c r="AY806" s="264"/>
      <c r="AZ806" s="264"/>
      <c r="BA806" s="264"/>
      <c r="BB806" s="264"/>
      <c r="BC806" s="264"/>
      <c r="BD806" s="264"/>
    </row>
    <row r="807">
      <c r="A807" s="264"/>
      <c r="B807" s="264"/>
      <c r="C807" s="264"/>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c r="AA807" s="264"/>
      <c r="AB807" s="264"/>
      <c r="AC807" s="264"/>
      <c r="AD807" s="264"/>
      <c r="AE807" s="264"/>
      <c r="AF807" s="264"/>
      <c r="AG807" s="264"/>
      <c r="AH807" s="264"/>
      <c r="AI807" s="264"/>
      <c r="AJ807" s="264"/>
      <c r="AK807" s="264"/>
      <c r="AL807" s="264"/>
      <c r="AM807" s="264"/>
      <c r="AN807" s="264"/>
      <c r="AO807" s="264"/>
      <c r="AP807" s="264"/>
      <c r="AQ807" s="264"/>
      <c r="AR807" s="264"/>
      <c r="AS807" s="264"/>
      <c r="AT807" s="264"/>
      <c r="AU807" s="264"/>
      <c r="AV807" s="264"/>
      <c r="AW807" s="264"/>
      <c r="AX807" s="264"/>
      <c r="AY807" s="264"/>
      <c r="AZ807" s="264"/>
      <c r="BA807" s="264"/>
      <c r="BB807" s="264"/>
      <c r="BC807" s="264"/>
      <c r="BD807" s="264"/>
    </row>
    <row r="808">
      <c r="A808" s="264"/>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c r="AA808" s="264"/>
      <c r="AB808" s="264"/>
      <c r="AC808" s="264"/>
      <c r="AD808" s="264"/>
      <c r="AE808" s="264"/>
      <c r="AF808" s="264"/>
      <c r="AG808" s="264"/>
      <c r="AH808" s="264"/>
      <c r="AI808" s="264"/>
      <c r="AJ808" s="264"/>
      <c r="AK808" s="264"/>
      <c r="AL808" s="264"/>
      <c r="AM808" s="264"/>
      <c r="AN808" s="264"/>
      <c r="AO808" s="264"/>
      <c r="AP808" s="264"/>
      <c r="AQ808" s="264"/>
      <c r="AR808" s="264"/>
      <c r="AS808" s="264"/>
      <c r="AT808" s="264"/>
      <c r="AU808" s="264"/>
      <c r="AV808" s="264"/>
      <c r="AW808" s="264"/>
      <c r="AX808" s="264"/>
      <c r="AY808" s="264"/>
      <c r="AZ808" s="264"/>
      <c r="BA808" s="264"/>
      <c r="BB808" s="264"/>
      <c r="BC808" s="264"/>
      <c r="BD808" s="264"/>
    </row>
    <row r="809">
      <c r="A809" s="264"/>
      <c r="B809" s="264"/>
      <c r="C809" s="264"/>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c r="AA809" s="264"/>
      <c r="AB809" s="264"/>
      <c r="AC809" s="264"/>
      <c r="AD809" s="264"/>
      <c r="AE809" s="264"/>
      <c r="AF809" s="264"/>
      <c r="AG809" s="264"/>
      <c r="AH809" s="264"/>
      <c r="AI809" s="264"/>
      <c r="AJ809" s="264"/>
      <c r="AK809" s="264"/>
      <c r="AL809" s="264"/>
      <c r="AM809" s="264"/>
      <c r="AN809" s="264"/>
      <c r="AO809" s="264"/>
      <c r="AP809" s="264"/>
      <c r="AQ809" s="264"/>
      <c r="AR809" s="264"/>
      <c r="AS809" s="264"/>
      <c r="AT809" s="264"/>
      <c r="AU809" s="264"/>
      <c r="AV809" s="264"/>
      <c r="AW809" s="264"/>
      <c r="AX809" s="264"/>
      <c r="AY809" s="264"/>
      <c r="AZ809" s="264"/>
      <c r="BA809" s="264"/>
      <c r="BB809" s="264"/>
      <c r="BC809" s="264"/>
      <c r="BD809" s="264"/>
    </row>
    <row r="810">
      <c r="A810" s="264"/>
      <c r="B810" s="264"/>
      <c r="C810" s="264"/>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c r="AA810" s="264"/>
      <c r="AB810" s="264"/>
      <c r="AC810" s="264"/>
      <c r="AD810" s="264"/>
      <c r="AE810" s="264"/>
      <c r="AF810" s="264"/>
      <c r="AG810" s="264"/>
      <c r="AH810" s="264"/>
      <c r="AI810" s="264"/>
      <c r="AJ810" s="264"/>
      <c r="AK810" s="264"/>
      <c r="AL810" s="264"/>
      <c r="AM810" s="264"/>
      <c r="AN810" s="264"/>
      <c r="AO810" s="264"/>
      <c r="AP810" s="264"/>
      <c r="AQ810" s="264"/>
      <c r="AR810" s="264"/>
      <c r="AS810" s="264"/>
      <c r="AT810" s="264"/>
      <c r="AU810" s="264"/>
      <c r="AV810" s="264"/>
      <c r="AW810" s="264"/>
      <c r="AX810" s="264"/>
      <c r="AY810" s="264"/>
      <c r="AZ810" s="264"/>
      <c r="BA810" s="264"/>
      <c r="BB810" s="264"/>
      <c r="BC810" s="264"/>
      <c r="BD810" s="264"/>
    </row>
    <row r="811">
      <c r="A811" s="264"/>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c r="AA811" s="264"/>
      <c r="AB811" s="264"/>
      <c r="AC811" s="264"/>
      <c r="AD811" s="264"/>
      <c r="AE811" s="264"/>
      <c r="AF811" s="264"/>
      <c r="AG811" s="264"/>
      <c r="AH811" s="264"/>
      <c r="AI811" s="264"/>
      <c r="AJ811" s="264"/>
      <c r="AK811" s="264"/>
      <c r="AL811" s="264"/>
      <c r="AM811" s="264"/>
      <c r="AN811" s="264"/>
      <c r="AO811" s="264"/>
      <c r="AP811" s="264"/>
      <c r="AQ811" s="264"/>
      <c r="AR811" s="264"/>
      <c r="AS811" s="264"/>
      <c r="AT811" s="264"/>
      <c r="AU811" s="264"/>
      <c r="AV811" s="264"/>
      <c r="AW811" s="264"/>
      <c r="AX811" s="264"/>
      <c r="AY811" s="264"/>
      <c r="AZ811" s="264"/>
      <c r="BA811" s="264"/>
      <c r="BB811" s="264"/>
      <c r="BC811" s="264"/>
      <c r="BD811" s="264"/>
    </row>
    <row r="812">
      <c r="A812" s="264"/>
      <c r="B812" s="264"/>
      <c r="C812" s="264"/>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c r="AA812" s="264"/>
      <c r="AB812" s="264"/>
      <c r="AC812" s="264"/>
      <c r="AD812" s="264"/>
      <c r="AE812" s="264"/>
      <c r="AF812" s="264"/>
      <c r="AG812" s="264"/>
      <c r="AH812" s="264"/>
      <c r="AI812" s="264"/>
      <c r="AJ812" s="264"/>
      <c r="AK812" s="264"/>
      <c r="AL812" s="264"/>
      <c r="AM812" s="264"/>
      <c r="AN812" s="264"/>
      <c r="AO812" s="264"/>
      <c r="AP812" s="264"/>
      <c r="AQ812" s="264"/>
      <c r="AR812" s="264"/>
      <c r="AS812" s="264"/>
      <c r="AT812" s="264"/>
      <c r="AU812" s="264"/>
      <c r="AV812" s="264"/>
      <c r="AW812" s="264"/>
      <c r="AX812" s="264"/>
      <c r="AY812" s="264"/>
      <c r="AZ812" s="264"/>
      <c r="BA812" s="264"/>
      <c r="BB812" s="264"/>
      <c r="BC812" s="264"/>
      <c r="BD812" s="264"/>
    </row>
    <row r="813">
      <c r="A813" s="264"/>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c r="AA813" s="264"/>
      <c r="AB813" s="264"/>
      <c r="AC813" s="264"/>
      <c r="AD813" s="264"/>
      <c r="AE813" s="264"/>
      <c r="AF813" s="264"/>
      <c r="AG813" s="264"/>
      <c r="AH813" s="264"/>
      <c r="AI813" s="264"/>
      <c r="AJ813" s="264"/>
      <c r="AK813" s="264"/>
      <c r="AL813" s="264"/>
      <c r="AM813" s="264"/>
      <c r="AN813" s="264"/>
      <c r="AO813" s="264"/>
      <c r="AP813" s="264"/>
      <c r="AQ813" s="264"/>
      <c r="AR813" s="264"/>
      <c r="AS813" s="264"/>
      <c r="AT813" s="264"/>
      <c r="AU813" s="264"/>
      <c r="AV813" s="264"/>
      <c r="AW813" s="264"/>
      <c r="AX813" s="264"/>
      <c r="AY813" s="264"/>
      <c r="AZ813" s="264"/>
      <c r="BA813" s="264"/>
      <c r="BB813" s="264"/>
      <c r="BC813" s="264"/>
      <c r="BD813" s="264"/>
    </row>
    <row r="814">
      <c r="A814" s="264"/>
      <c r="B814" s="264"/>
      <c r="C814" s="264"/>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c r="AA814" s="264"/>
      <c r="AB814" s="264"/>
      <c r="AC814" s="264"/>
      <c r="AD814" s="264"/>
      <c r="AE814" s="264"/>
      <c r="AF814" s="264"/>
      <c r="AG814" s="264"/>
      <c r="AH814" s="264"/>
      <c r="AI814" s="264"/>
      <c r="AJ814" s="264"/>
      <c r="AK814" s="264"/>
      <c r="AL814" s="264"/>
      <c r="AM814" s="264"/>
      <c r="AN814" s="264"/>
      <c r="AO814" s="264"/>
      <c r="AP814" s="264"/>
      <c r="AQ814" s="264"/>
      <c r="AR814" s="264"/>
      <c r="AS814" s="264"/>
      <c r="AT814" s="264"/>
      <c r="AU814" s="264"/>
      <c r="AV814" s="264"/>
      <c r="AW814" s="264"/>
      <c r="AX814" s="264"/>
      <c r="AY814" s="264"/>
      <c r="AZ814" s="264"/>
      <c r="BA814" s="264"/>
      <c r="BB814" s="264"/>
      <c r="BC814" s="264"/>
      <c r="BD814" s="264"/>
    </row>
    <row r="815">
      <c r="A815" s="264"/>
      <c r="B815" s="264"/>
      <c r="C815" s="264"/>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c r="AA815" s="264"/>
      <c r="AB815" s="264"/>
      <c r="AC815" s="264"/>
      <c r="AD815" s="264"/>
      <c r="AE815" s="264"/>
      <c r="AF815" s="264"/>
      <c r="AG815" s="264"/>
      <c r="AH815" s="264"/>
      <c r="AI815" s="264"/>
      <c r="AJ815" s="264"/>
      <c r="AK815" s="264"/>
      <c r="AL815" s="264"/>
      <c r="AM815" s="264"/>
      <c r="AN815" s="264"/>
      <c r="AO815" s="264"/>
      <c r="AP815" s="264"/>
      <c r="AQ815" s="264"/>
      <c r="AR815" s="264"/>
      <c r="AS815" s="264"/>
      <c r="AT815" s="264"/>
      <c r="AU815" s="264"/>
      <c r="AV815" s="264"/>
      <c r="AW815" s="264"/>
      <c r="AX815" s="264"/>
      <c r="AY815" s="264"/>
      <c r="AZ815" s="264"/>
      <c r="BA815" s="264"/>
      <c r="BB815" s="264"/>
      <c r="BC815" s="264"/>
      <c r="BD815" s="264"/>
    </row>
    <row r="816">
      <c r="A816" s="264"/>
      <c r="B816" s="264"/>
      <c r="C816" s="264"/>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c r="AA816" s="264"/>
      <c r="AB816" s="264"/>
      <c r="AC816" s="264"/>
      <c r="AD816" s="264"/>
      <c r="AE816" s="264"/>
      <c r="AF816" s="264"/>
      <c r="AG816" s="264"/>
      <c r="AH816" s="264"/>
      <c r="AI816" s="264"/>
      <c r="AJ816" s="264"/>
      <c r="AK816" s="264"/>
      <c r="AL816" s="264"/>
      <c r="AM816" s="264"/>
      <c r="AN816" s="264"/>
      <c r="AO816" s="264"/>
      <c r="AP816" s="264"/>
      <c r="AQ816" s="264"/>
      <c r="AR816" s="264"/>
      <c r="AS816" s="264"/>
      <c r="AT816" s="264"/>
      <c r="AU816" s="264"/>
      <c r="AV816" s="264"/>
      <c r="AW816" s="264"/>
      <c r="AX816" s="264"/>
      <c r="AY816" s="264"/>
      <c r="AZ816" s="264"/>
      <c r="BA816" s="264"/>
      <c r="BB816" s="264"/>
      <c r="BC816" s="264"/>
      <c r="BD816" s="264"/>
    </row>
    <row r="817">
      <c r="A817" s="264"/>
      <c r="B817" s="264"/>
      <c r="C817" s="264"/>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c r="AA817" s="264"/>
      <c r="AB817" s="264"/>
      <c r="AC817" s="264"/>
      <c r="AD817" s="264"/>
      <c r="AE817" s="264"/>
      <c r="AF817" s="264"/>
      <c r="AG817" s="264"/>
      <c r="AH817" s="264"/>
      <c r="AI817" s="264"/>
      <c r="AJ817" s="264"/>
      <c r="AK817" s="264"/>
      <c r="AL817" s="264"/>
      <c r="AM817" s="264"/>
      <c r="AN817" s="264"/>
      <c r="AO817" s="264"/>
      <c r="AP817" s="264"/>
      <c r="AQ817" s="264"/>
      <c r="AR817" s="264"/>
      <c r="AS817" s="264"/>
      <c r="AT817" s="264"/>
      <c r="AU817" s="264"/>
      <c r="AV817" s="264"/>
      <c r="AW817" s="264"/>
      <c r="AX817" s="264"/>
      <c r="AY817" s="264"/>
      <c r="AZ817" s="264"/>
      <c r="BA817" s="264"/>
      <c r="BB817" s="264"/>
      <c r="BC817" s="264"/>
      <c r="BD817" s="264"/>
    </row>
    <row r="818">
      <c r="A818" s="264"/>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c r="AA818" s="264"/>
      <c r="AB818" s="264"/>
      <c r="AC818" s="264"/>
      <c r="AD818" s="264"/>
      <c r="AE818" s="264"/>
      <c r="AF818" s="264"/>
      <c r="AG818" s="264"/>
      <c r="AH818" s="264"/>
      <c r="AI818" s="264"/>
      <c r="AJ818" s="264"/>
      <c r="AK818" s="264"/>
      <c r="AL818" s="264"/>
      <c r="AM818" s="264"/>
      <c r="AN818" s="264"/>
      <c r="AO818" s="264"/>
      <c r="AP818" s="264"/>
      <c r="AQ818" s="264"/>
      <c r="AR818" s="264"/>
      <c r="AS818" s="264"/>
      <c r="AT818" s="264"/>
      <c r="AU818" s="264"/>
      <c r="AV818" s="264"/>
      <c r="AW818" s="264"/>
      <c r="AX818" s="264"/>
      <c r="AY818" s="264"/>
      <c r="AZ818" s="264"/>
      <c r="BA818" s="264"/>
      <c r="BB818" s="264"/>
      <c r="BC818" s="264"/>
      <c r="BD818" s="264"/>
    </row>
    <row r="819">
      <c r="A819" s="264"/>
      <c r="B819" s="264"/>
      <c r="C819" s="264"/>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c r="AA819" s="264"/>
      <c r="AB819" s="264"/>
      <c r="AC819" s="264"/>
      <c r="AD819" s="264"/>
      <c r="AE819" s="264"/>
      <c r="AF819" s="264"/>
      <c r="AG819" s="264"/>
      <c r="AH819" s="264"/>
      <c r="AI819" s="264"/>
      <c r="AJ819" s="264"/>
      <c r="AK819" s="264"/>
      <c r="AL819" s="264"/>
      <c r="AM819" s="264"/>
      <c r="AN819" s="264"/>
      <c r="AO819" s="264"/>
      <c r="AP819" s="264"/>
      <c r="AQ819" s="264"/>
      <c r="AR819" s="264"/>
      <c r="AS819" s="264"/>
      <c r="AT819" s="264"/>
      <c r="AU819" s="264"/>
      <c r="AV819" s="264"/>
      <c r="AW819" s="264"/>
      <c r="AX819" s="264"/>
      <c r="AY819" s="264"/>
      <c r="AZ819" s="264"/>
      <c r="BA819" s="264"/>
      <c r="BB819" s="264"/>
      <c r="BC819" s="264"/>
      <c r="BD819" s="264"/>
    </row>
    <row r="820">
      <c r="A820" s="264"/>
      <c r="B820" s="264"/>
      <c r="C820" s="264"/>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c r="AA820" s="264"/>
      <c r="AB820" s="264"/>
      <c r="AC820" s="264"/>
      <c r="AD820" s="264"/>
      <c r="AE820" s="264"/>
      <c r="AF820" s="264"/>
      <c r="AG820" s="264"/>
      <c r="AH820" s="264"/>
      <c r="AI820" s="264"/>
      <c r="AJ820" s="264"/>
      <c r="AK820" s="264"/>
      <c r="AL820" s="264"/>
      <c r="AM820" s="264"/>
      <c r="AN820" s="264"/>
      <c r="AO820" s="264"/>
      <c r="AP820" s="264"/>
      <c r="AQ820" s="264"/>
      <c r="AR820" s="264"/>
      <c r="AS820" s="264"/>
      <c r="AT820" s="264"/>
      <c r="AU820" s="264"/>
      <c r="AV820" s="264"/>
      <c r="AW820" s="264"/>
      <c r="AX820" s="264"/>
      <c r="AY820" s="264"/>
      <c r="AZ820" s="264"/>
      <c r="BA820" s="264"/>
      <c r="BB820" s="264"/>
      <c r="BC820" s="264"/>
      <c r="BD820" s="264"/>
    </row>
    <row r="821">
      <c r="A821" s="264"/>
      <c r="B821" s="264"/>
      <c r="C821" s="264"/>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c r="AA821" s="264"/>
      <c r="AB821" s="264"/>
      <c r="AC821" s="264"/>
      <c r="AD821" s="264"/>
      <c r="AE821" s="264"/>
      <c r="AF821" s="264"/>
      <c r="AG821" s="264"/>
      <c r="AH821" s="264"/>
      <c r="AI821" s="264"/>
      <c r="AJ821" s="264"/>
      <c r="AK821" s="264"/>
      <c r="AL821" s="264"/>
      <c r="AM821" s="264"/>
      <c r="AN821" s="264"/>
      <c r="AO821" s="264"/>
      <c r="AP821" s="264"/>
      <c r="AQ821" s="264"/>
      <c r="AR821" s="264"/>
      <c r="AS821" s="264"/>
      <c r="AT821" s="264"/>
      <c r="AU821" s="264"/>
      <c r="AV821" s="264"/>
      <c r="AW821" s="264"/>
      <c r="AX821" s="264"/>
      <c r="AY821" s="264"/>
      <c r="AZ821" s="264"/>
      <c r="BA821" s="264"/>
      <c r="BB821" s="264"/>
      <c r="BC821" s="264"/>
      <c r="BD821" s="264"/>
    </row>
    <row r="822">
      <c r="A822" s="264"/>
      <c r="B822" s="264"/>
      <c r="C822" s="264"/>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c r="AA822" s="264"/>
      <c r="AB822" s="264"/>
      <c r="AC822" s="264"/>
      <c r="AD822" s="264"/>
      <c r="AE822" s="264"/>
      <c r="AF822" s="264"/>
      <c r="AG822" s="264"/>
      <c r="AH822" s="264"/>
      <c r="AI822" s="264"/>
      <c r="AJ822" s="264"/>
      <c r="AK822" s="264"/>
      <c r="AL822" s="264"/>
      <c r="AM822" s="264"/>
      <c r="AN822" s="264"/>
      <c r="AO822" s="264"/>
      <c r="AP822" s="264"/>
      <c r="AQ822" s="264"/>
      <c r="AR822" s="264"/>
      <c r="AS822" s="264"/>
      <c r="AT822" s="264"/>
      <c r="AU822" s="264"/>
      <c r="AV822" s="264"/>
      <c r="AW822" s="264"/>
      <c r="AX822" s="264"/>
      <c r="AY822" s="264"/>
      <c r="AZ822" s="264"/>
      <c r="BA822" s="264"/>
      <c r="BB822" s="264"/>
      <c r="BC822" s="264"/>
      <c r="BD822" s="264"/>
    </row>
    <row r="823">
      <c r="A823" s="264"/>
      <c r="B823" s="264"/>
      <c r="C823" s="264"/>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c r="AA823" s="264"/>
      <c r="AB823" s="264"/>
      <c r="AC823" s="264"/>
      <c r="AD823" s="264"/>
      <c r="AE823" s="264"/>
      <c r="AF823" s="264"/>
      <c r="AG823" s="264"/>
      <c r="AH823" s="264"/>
      <c r="AI823" s="264"/>
      <c r="AJ823" s="264"/>
      <c r="AK823" s="264"/>
      <c r="AL823" s="264"/>
      <c r="AM823" s="264"/>
      <c r="AN823" s="264"/>
      <c r="AO823" s="264"/>
      <c r="AP823" s="264"/>
      <c r="AQ823" s="264"/>
      <c r="AR823" s="264"/>
      <c r="AS823" s="264"/>
      <c r="AT823" s="264"/>
      <c r="AU823" s="264"/>
      <c r="AV823" s="264"/>
      <c r="AW823" s="264"/>
      <c r="AX823" s="264"/>
      <c r="AY823" s="264"/>
      <c r="AZ823" s="264"/>
      <c r="BA823" s="264"/>
      <c r="BB823" s="264"/>
      <c r="BC823" s="264"/>
      <c r="BD823" s="264"/>
    </row>
    <row r="824">
      <c r="A824" s="264"/>
      <c r="B824" s="264"/>
      <c r="C824" s="264"/>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c r="AA824" s="264"/>
      <c r="AB824" s="264"/>
      <c r="AC824" s="264"/>
      <c r="AD824" s="264"/>
      <c r="AE824" s="264"/>
      <c r="AF824" s="264"/>
      <c r="AG824" s="264"/>
      <c r="AH824" s="264"/>
      <c r="AI824" s="264"/>
      <c r="AJ824" s="264"/>
      <c r="AK824" s="264"/>
      <c r="AL824" s="264"/>
      <c r="AM824" s="264"/>
      <c r="AN824" s="264"/>
      <c r="AO824" s="264"/>
      <c r="AP824" s="264"/>
      <c r="AQ824" s="264"/>
      <c r="AR824" s="264"/>
      <c r="AS824" s="264"/>
      <c r="AT824" s="264"/>
      <c r="AU824" s="264"/>
      <c r="AV824" s="264"/>
      <c r="AW824" s="264"/>
      <c r="AX824" s="264"/>
      <c r="AY824" s="264"/>
      <c r="AZ824" s="264"/>
      <c r="BA824" s="264"/>
      <c r="BB824" s="264"/>
      <c r="BC824" s="264"/>
      <c r="BD824" s="264"/>
    </row>
    <row r="825">
      <c r="A825" s="264"/>
      <c r="B825" s="264"/>
      <c r="C825" s="264"/>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c r="AA825" s="264"/>
      <c r="AB825" s="264"/>
      <c r="AC825" s="264"/>
      <c r="AD825" s="264"/>
      <c r="AE825" s="264"/>
      <c r="AF825" s="264"/>
      <c r="AG825" s="264"/>
      <c r="AH825" s="264"/>
      <c r="AI825" s="264"/>
      <c r="AJ825" s="264"/>
      <c r="AK825" s="264"/>
      <c r="AL825" s="264"/>
      <c r="AM825" s="264"/>
      <c r="AN825" s="264"/>
      <c r="AO825" s="264"/>
      <c r="AP825" s="264"/>
      <c r="AQ825" s="264"/>
      <c r="AR825" s="264"/>
      <c r="AS825" s="264"/>
      <c r="AT825" s="264"/>
      <c r="AU825" s="264"/>
      <c r="AV825" s="264"/>
      <c r="AW825" s="264"/>
      <c r="AX825" s="264"/>
      <c r="AY825" s="264"/>
      <c r="AZ825" s="264"/>
      <c r="BA825" s="264"/>
      <c r="BB825" s="264"/>
      <c r="BC825" s="264"/>
      <c r="BD825" s="264"/>
    </row>
    <row r="826">
      <c r="A826" s="264"/>
      <c r="B826" s="264"/>
      <c r="C826" s="264"/>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c r="AA826" s="264"/>
      <c r="AB826" s="264"/>
      <c r="AC826" s="264"/>
      <c r="AD826" s="264"/>
      <c r="AE826" s="264"/>
      <c r="AF826" s="264"/>
      <c r="AG826" s="264"/>
      <c r="AH826" s="264"/>
      <c r="AI826" s="264"/>
      <c r="AJ826" s="264"/>
      <c r="AK826" s="264"/>
      <c r="AL826" s="264"/>
      <c r="AM826" s="264"/>
      <c r="AN826" s="264"/>
      <c r="AO826" s="264"/>
      <c r="AP826" s="264"/>
      <c r="AQ826" s="264"/>
      <c r="AR826" s="264"/>
      <c r="AS826" s="264"/>
      <c r="AT826" s="264"/>
      <c r="AU826" s="264"/>
      <c r="AV826" s="264"/>
      <c r="AW826" s="264"/>
      <c r="AX826" s="264"/>
      <c r="AY826" s="264"/>
      <c r="AZ826" s="264"/>
      <c r="BA826" s="264"/>
      <c r="BB826" s="264"/>
      <c r="BC826" s="264"/>
      <c r="BD826" s="264"/>
    </row>
    <row r="827">
      <c r="A827" s="264"/>
      <c r="B827" s="264"/>
      <c r="C827" s="264"/>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c r="AA827" s="264"/>
      <c r="AB827" s="264"/>
      <c r="AC827" s="264"/>
      <c r="AD827" s="264"/>
      <c r="AE827" s="264"/>
      <c r="AF827" s="264"/>
      <c r="AG827" s="264"/>
      <c r="AH827" s="264"/>
      <c r="AI827" s="264"/>
      <c r="AJ827" s="264"/>
      <c r="AK827" s="264"/>
      <c r="AL827" s="264"/>
      <c r="AM827" s="264"/>
      <c r="AN827" s="264"/>
      <c r="AO827" s="264"/>
      <c r="AP827" s="264"/>
      <c r="AQ827" s="264"/>
      <c r="AR827" s="264"/>
      <c r="AS827" s="264"/>
      <c r="AT827" s="264"/>
      <c r="AU827" s="264"/>
      <c r="AV827" s="264"/>
      <c r="AW827" s="264"/>
      <c r="AX827" s="264"/>
      <c r="AY827" s="264"/>
      <c r="AZ827" s="264"/>
      <c r="BA827" s="264"/>
      <c r="BB827" s="264"/>
      <c r="BC827" s="264"/>
      <c r="BD827" s="264"/>
    </row>
    <row r="828">
      <c r="A828" s="264"/>
      <c r="B828" s="264"/>
      <c r="C828" s="264"/>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c r="AA828" s="264"/>
      <c r="AB828" s="264"/>
      <c r="AC828" s="264"/>
      <c r="AD828" s="264"/>
      <c r="AE828" s="264"/>
      <c r="AF828" s="264"/>
      <c r="AG828" s="264"/>
      <c r="AH828" s="264"/>
      <c r="AI828" s="264"/>
      <c r="AJ828" s="264"/>
      <c r="AK828" s="264"/>
      <c r="AL828" s="264"/>
      <c r="AM828" s="264"/>
      <c r="AN828" s="264"/>
      <c r="AO828" s="264"/>
      <c r="AP828" s="264"/>
      <c r="AQ828" s="264"/>
      <c r="AR828" s="264"/>
      <c r="AS828" s="264"/>
      <c r="AT828" s="264"/>
      <c r="AU828" s="264"/>
      <c r="AV828" s="264"/>
      <c r="AW828" s="264"/>
      <c r="AX828" s="264"/>
      <c r="AY828" s="264"/>
      <c r="AZ828" s="264"/>
      <c r="BA828" s="264"/>
      <c r="BB828" s="264"/>
      <c r="BC828" s="264"/>
      <c r="BD828" s="264"/>
    </row>
    <row r="829">
      <c r="A829" s="264"/>
      <c r="B829" s="264"/>
      <c r="C829" s="264"/>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c r="AA829" s="264"/>
      <c r="AB829" s="264"/>
      <c r="AC829" s="264"/>
      <c r="AD829" s="264"/>
      <c r="AE829" s="264"/>
      <c r="AF829" s="264"/>
      <c r="AG829" s="264"/>
      <c r="AH829" s="264"/>
      <c r="AI829" s="264"/>
      <c r="AJ829" s="264"/>
      <c r="AK829" s="264"/>
      <c r="AL829" s="264"/>
      <c r="AM829" s="264"/>
      <c r="AN829" s="264"/>
      <c r="AO829" s="264"/>
      <c r="AP829" s="264"/>
      <c r="AQ829" s="264"/>
      <c r="AR829" s="264"/>
      <c r="AS829" s="264"/>
      <c r="AT829" s="264"/>
      <c r="AU829" s="264"/>
      <c r="AV829" s="264"/>
      <c r="AW829" s="264"/>
      <c r="AX829" s="264"/>
      <c r="AY829" s="264"/>
      <c r="AZ829" s="264"/>
      <c r="BA829" s="264"/>
      <c r="BB829" s="264"/>
      <c r="BC829" s="264"/>
      <c r="BD829" s="264"/>
    </row>
    <row r="830">
      <c r="A830" s="264"/>
      <c r="B830" s="264"/>
      <c r="C830" s="264"/>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c r="AA830" s="264"/>
      <c r="AB830" s="264"/>
      <c r="AC830" s="264"/>
      <c r="AD830" s="264"/>
      <c r="AE830" s="264"/>
      <c r="AF830" s="264"/>
      <c r="AG830" s="264"/>
      <c r="AH830" s="264"/>
      <c r="AI830" s="264"/>
      <c r="AJ830" s="264"/>
      <c r="AK830" s="264"/>
      <c r="AL830" s="264"/>
      <c r="AM830" s="264"/>
      <c r="AN830" s="264"/>
      <c r="AO830" s="264"/>
      <c r="AP830" s="264"/>
      <c r="AQ830" s="264"/>
      <c r="AR830" s="264"/>
      <c r="AS830" s="264"/>
      <c r="AT830" s="264"/>
      <c r="AU830" s="264"/>
      <c r="AV830" s="264"/>
      <c r="AW830" s="264"/>
      <c r="AX830" s="264"/>
      <c r="AY830" s="264"/>
      <c r="AZ830" s="264"/>
      <c r="BA830" s="264"/>
      <c r="BB830" s="264"/>
      <c r="BC830" s="264"/>
      <c r="BD830" s="264"/>
    </row>
    <row r="831">
      <c r="A831" s="264"/>
      <c r="B831" s="264"/>
      <c r="C831" s="264"/>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c r="AA831" s="264"/>
      <c r="AB831" s="264"/>
      <c r="AC831" s="264"/>
      <c r="AD831" s="264"/>
      <c r="AE831" s="264"/>
      <c r="AF831" s="264"/>
      <c r="AG831" s="264"/>
      <c r="AH831" s="264"/>
      <c r="AI831" s="264"/>
      <c r="AJ831" s="264"/>
      <c r="AK831" s="264"/>
      <c r="AL831" s="264"/>
      <c r="AM831" s="264"/>
      <c r="AN831" s="264"/>
      <c r="AO831" s="264"/>
      <c r="AP831" s="264"/>
      <c r="AQ831" s="264"/>
      <c r="AR831" s="264"/>
      <c r="AS831" s="264"/>
      <c r="AT831" s="264"/>
      <c r="AU831" s="264"/>
      <c r="AV831" s="264"/>
      <c r="AW831" s="264"/>
      <c r="AX831" s="264"/>
      <c r="AY831" s="264"/>
      <c r="AZ831" s="264"/>
      <c r="BA831" s="264"/>
      <c r="BB831" s="264"/>
      <c r="BC831" s="264"/>
      <c r="BD831" s="264"/>
    </row>
    <row r="832">
      <c r="A832" s="264"/>
      <c r="B832" s="264"/>
      <c r="C832" s="264"/>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c r="AA832" s="264"/>
      <c r="AB832" s="264"/>
      <c r="AC832" s="264"/>
      <c r="AD832" s="264"/>
      <c r="AE832" s="264"/>
      <c r="AF832" s="264"/>
      <c r="AG832" s="264"/>
      <c r="AH832" s="264"/>
      <c r="AI832" s="264"/>
      <c r="AJ832" s="264"/>
      <c r="AK832" s="264"/>
      <c r="AL832" s="264"/>
      <c r="AM832" s="264"/>
      <c r="AN832" s="264"/>
      <c r="AO832" s="264"/>
      <c r="AP832" s="264"/>
      <c r="AQ832" s="264"/>
      <c r="AR832" s="264"/>
      <c r="AS832" s="264"/>
      <c r="AT832" s="264"/>
      <c r="AU832" s="264"/>
      <c r="AV832" s="264"/>
      <c r="AW832" s="264"/>
      <c r="AX832" s="264"/>
      <c r="AY832" s="264"/>
      <c r="AZ832" s="264"/>
      <c r="BA832" s="264"/>
      <c r="BB832" s="264"/>
      <c r="BC832" s="264"/>
      <c r="BD832" s="264"/>
    </row>
    <row r="833">
      <c r="A833" s="264"/>
      <c r="B833" s="264"/>
      <c r="C833" s="264"/>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c r="AA833" s="264"/>
      <c r="AB833" s="264"/>
      <c r="AC833" s="264"/>
      <c r="AD833" s="264"/>
      <c r="AE833" s="264"/>
      <c r="AF833" s="264"/>
      <c r="AG833" s="264"/>
      <c r="AH833" s="264"/>
      <c r="AI833" s="264"/>
      <c r="AJ833" s="264"/>
      <c r="AK833" s="264"/>
      <c r="AL833" s="264"/>
      <c r="AM833" s="264"/>
      <c r="AN833" s="264"/>
      <c r="AO833" s="264"/>
      <c r="AP833" s="264"/>
      <c r="AQ833" s="264"/>
      <c r="AR833" s="264"/>
      <c r="AS833" s="264"/>
      <c r="AT833" s="264"/>
      <c r="AU833" s="264"/>
      <c r="AV833" s="264"/>
      <c r="AW833" s="264"/>
      <c r="AX833" s="264"/>
      <c r="AY833" s="264"/>
      <c r="AZ833" s="264"/>
      <c r="BA833" s="264"/>
      <c r="BB833" s="264"/>
      <c r="BC833" s="264"/>
      <c r="BD833" s="264"/>
    </row>
    <row r="834">
      <c r="A834" s="264"/>
      <c r="B834" s="264"/>
      <c r="C834" s="264"/>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c r="AA834" s="264"/>
      <c r="AB834" s="264"/>
      <c r="AC834" s="264"/>
      <c r="AD834" s="264"/>
      <c r="AE834" s="264"/>
      <c r="AF834" s="264"/>
      <c r="AG834" s="264"/>
      <c r="AH834" s="264"/>
      <c r="AI834" s="264"/>
      <c r="AJ834" s="264"/>
      <c r="AK834" s="264"/>
      <c r="AL834" s="264"/>
      <c r="AM834" s="264"/>
      <c r="AN834" s="264"/>
      <c r="AO834" s="264"/>
      <c r="AP834" s="264"/>
      <c r="AQ834" s="264"/>
      <c r="AR834" s="264"/>
      <c r="AS834" s="264"/>
      <c r="AT834" s="264"/>
      <c r="AU834" s="264"/>
      <c r="AV834" s="264"/>
      <c r="AW834" s="264"/>
      <c r="AX834" s="264"/>
      <c r="AY834" s="264"/>
      <c r="AZ834" s="264"/>
      <c r="BA834" s="264"/>
      <c r="BB834" s="264"/>
      <c r="BC834" s="264"/>
      <c r="BD834" s="264"/>
    </row>
    <row r="835">
      <c r="A835" s="264"/>
      <c r="B835" s="264"/>
      <c r="C835" s="264"/>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c r="AA835" s="264"/>
      <c r="AB835" s="264"/>
      <c r="AC835" s="264"/>
      <c r="AD835" s="264"/>
      <c r="AE835" s="264"/>
      <c r="AF835" s="264"/>
      <c r="AG835" s="264"/>
      <c r="AH835" s="264"/>
      <c r="AI835" s="264"/>
      <c r="AJ835" s="264"/>
      <c r="AK835" s="264"/>
      <c r="AL835" s="264"/>
      <c r="AM835" s="264"/>
      <c r="AN835" s="264"/>
      <c r="AO835" s="264"/>
      <c r="AP835" s="264"/>
      <c r="AQ835" s="264"/>
      <c r="AR835" s="264"/>
      <c r="AS835" s="264"/>
      <c r="AT835" s="264"/>
      <c r="AU835" s="264"/>
      <c r="AV835" s="264"/>
      <c r="AW835" s="264"/>
      <c r="AX835" s="264"/>
      <c r="AY835" s="264"/>
      <c r="AZ835" s="264"/>
      <c r="BA835" s="264"/>
      <c r="BB835" s="264"/>
      <c r="BC835" s="264"/>
      <c r="BD835" s="264"/>
    </row>
    <row r="836">
      <c r="A836" s="264"/>
      <c r="B836" s="264"/>
      <c r="C836" s="264"/>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c r="AA836" s="264"/>
      <c r="AB836" s="264"/>
      <c r="AC836" s="264"/>
      <c r="AD836" s="264"/>
      <c r="AE836" s="264"/>
      <c r="AF836" s="264"/>
      <c r="AG836" s="264"/>
      <c r="AH836" s="264"/>
      <c r="AI836" s="264"/>
      <c r="AJ836" s="264"/>
      <c r="AK836" s="264"/>
      <c r="AL836" s="264"/>
      <c r="AM836" s="264"/>
      <c r="AN836" s="264"/>
      <c r="AO836" s="264"/>
      <c r="AP836" s="264"/>
      <c r="AQ836" s="264"/>
      <c r="AR836" s="264"/>
      <c r="AS836" s="264"/>
      <c r="AT836" s="264"/>
      <c r="AU836" s="264"/>
      <c r="AV836" s="264"/>
      <c r="AW836" s="264"/>
      <c r="AX836" s="264"/>
      <c r="AY836" s="264"/>
      <c r="AZ836" s="264"/>
      <c r="BA836" s="264"/>
      <c r="BB836" s="264"/>
      <c r="BC836" s="264"/>
      <c r="BD836" s="264"/>
    </row>
    <row r="837">
      <c r="A837" s="264"/>
      <c r="B837" s="264"/>
      <c r="C837" s="264"/>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c r="AA837" s="264"/>
      <c r="AB837" s="264"/>
      <c r="AC837" s="264"/>
      <c r="AD837" s="264"/>
      <c r="AE837" s="264"/>
      <c r="AF837" s="264"/>
      <c r="AG837" s="264"/>
      <c r="AH837" s="264"/>
      <c r="AI837" s="264"/>
      <c r="AJ837" s="264"/>
      <c r="AK837" s="264"/>
      <c r="AL837" s="264"/>
      <c r="AM837" s="264"/>
      <c r="AN837" s="264"/>
      <c r="AO837" s="264"/>
      <c r="AP837" s="264"/>
      <c r="AQ837" s="264"/>
      <c r="AR837" s="264"/>
      <c r="AS837" s="264"/>
      <c r="AT837" s="264"/>
      <c r="AU837" s="264"/>
      <c r="AV837" s="264"/>
      <c r="AW837" s="264"/>
      <c r="AX837" s="264"/>
      <c r="AY837" s="264"/>
      <c r="AZ837" s="264"/>
      <c r="BA837" s="264"/>
      <c r="BB837" s="264"/>
      <c r="BC837" s="264"/>
      <c r="BD837" s="264"/>
    </row>
    <row r="838">
      <c r="A838" s="264"/>
      <c r="B838" s="264"/>
      <c r="C838" s="264"/>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c r="AA838" s="264"/>
      <c r="AB838" s="264"/>
      <c r="AC838" s="264"/>
      <c r="AD838" s="264"/>
      <c r="AE838" s="264"/>
      <c r="AF838" s="264"/>
      <c r="AG838" s="264"/>
      <c r="AH838" s="264"/>
      <c r="AI838" s="264"/>
      <c r="AJ838" s="264"/>
      <c r="AK838" s="264"/>
      <c r="AL838" s="264"/>
      <c r="AM838" s="264"/>
      <c r="AN838" s="264"/>
      <c r="AO838" s="264"/>
      <c r="AP838" s="264"/>
      <c r="AQ838" s="264"/>
      <c r="AR838" s="264"/>
      <c r="AS838" s="264"/>
      <c r="AT838" s="264"/>
      <c r="AU838" s="264"/>
      <c r="AV838" s="264"/>
      <c r="AW838" s="264"/>
      <c r="AX838" s="264"/>
      <c r="AY838" s="264"/>
      <c r="AZ838" s="264"/>
      <c r="BA838" s="264"/>
      <c r="BB838" s="264"/>
      <c r="BC838" s="264"/>
      <c r="BD838" s="264"/>
    </row>
    <row r="839">
      <c r="A839" s="264"/>
      <c r="B839" s="264"/>
      <c r="C839" s="264"/>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c r="AA839" s="264"/>
      <c r="AB839" s="264"/>
      <c r="AC839" s="264"/>
      <c r="AD839" s="264"/>
      <c r="AE839" s="264"/>
      <c r="AF839" s="264"/>
      <c r="AG839" s="264"/>
      <c r="AH839" s="264"/>
      <c r="AI839" s="264"/>
      <c r="AJ839" s="264"/>
      <c r="AK839" s="264"/>
      <c r="AL839" s="264"/>
      <c r="AM839" s="264"/>
      <c r="AN839" s="264"/>
      <c r="AO839" s="264"/>
      <c r="AP839" s="264"/>
      <c r="AQ839" s="264"/>
      <c r="AR839" s="264"/>
      <c r="AS839" s="264"/>
      <c r="AT839" s="264"/>
      <c r="AU839" s="264"/>
      <c r="AV839" s="264"/>
      <c r="AW839" s="264"/>
      <c r="AX839" s="264"/>
      <c r="AY839" s="264"/>
      <c r="AZ839" s="264"/>
      <c r="BA839" s="264"/>
      <c r="BB839" s="264"/>
      <c r="BC839" s="264"/>
      <c r="BD839" s="264"/>
    </row>
    <row r="840">
      <c r="A840" s="264"/>
      <c r="B840" s="264"/>
      <c r="C840" s="264"/>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c r="AA840" s="264"/>
      <c r="AB840" s="264"/>
      <c r="AC840" s="264"/>
      <c r="AD840" s="264"/>
      <c r="AE840" s="264"/>
      <c r="AF840" s="264"/>
      <c r="AG840" s="264"/>
      <c r="AH840" s="264"/>
      <c r="AI840" s="264"/>
      <c r="AJ840" s="264"/>
      <c r="AK840" s="264"/>
      <c r="AL840" s="264"/>
      <c r="AM840" s="264"/>
      <c r="AN840" s="264"/>
      <c r="AO840" s="264"/>
      <c r="AP840" s="264"/>
      <c r="AQ840" s="264"/>
      <c r="AR840" s="264"/>
      <c r="AS840" s="264"/>
      <c r="AT840" s="264"/>
      <c r="AU840" s="264"/>
      <c r="AV840" s="264"/>
      <c r="AW840" s="264"/>
      <c r="AX840" s="264"/>
      <c r="AY840" s="264"/>
      <c r="AZ840" s="264"/>
      <c r="BA840" s="264"/>
      <c r="BB840" s="264"/>
      <c r="BC840" s="264"/>
      <c r="BD840" s="264"/>
    </row>
    <row r="841">
      <c r="A841" s="264"/>
      <c r="B841" s="264"/>
      <c r="C841" s="264"/>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c r="AA841" s="264"/>
      <c r="AB841" s="264"/>
      <c r="AC841" s="264"/>
      <c r="AD841" s="264"/>
      <c r="AE841" s="264"/>
      <c r="AF841" s="264"/>
      <c r="AG841" s="264"/>
      <c r="AH841" s="264"/>
      <c r="AI841" s="264"/>
      <c r="AJ841" s="264"/>
      <c r="AK841" s="264"/>
      <c r="AL841" s="264"/>
      <c r="AM841" s="264"/>
      <c r="AN841" s="264"/>
      <c r="AO841" s="264"/>
      <c r="AP841" s="264"/>
      <c r="AQ841" s="264"/>
      <c r="AR841" s="264"/>
      <c r="AS841" s="264"/>
      <c r="AT841" s="264"/>
      <c r="AU841" s="264"/>
      <c r="AV841" s="264"/>
      <c r="AW841" s="264"/>
      <c r="AX841" s="264"/>
      <c r="AY841" s="264"/>
      <c r="AZ841" s="264"/>
      <c r="BA841" s="264"/>
      <c r="BB841" s="264"/>
      <c r="BC841" s="264"/>
      <c r="BD841" s="264"/>
    </row>
    <row r="842">
      <c r="A842" s="264"/>
      <c r="B842" s="264"/>
      <c r="C842" s="264"/>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c r="AA842" s="264"/>
      <c r="AB842" s="264"/>
      <c r="AC842" s="264"/>
      <c r="AD842" s="264"/>
      <c r="AE842" s="264"/>
      <c r="AF842" s="264"/>
      <c r="AG842" s="264"/>
      <c r="AH842" s="264"/>
      <c r="AI842" s="264"/>
      <c r="AJ842" s="264"/>
      <c r="AK842" s="264"/>
      <c r="AL842" s="264"/>
      <c r="AM842" s="264"/>
      <c r="AN842" s="264"/>
      <c r="AO842" s="264"/>
      <c r="AP842" s="264"/>
      <c r="AQ842" s="264"/>
      <c r="AR842" s="264"/>
      <c r="AS842" s="264"/>
      <c r="AT842" s="264"/>
      <c r="AU842" s="264"/>
      <c r="AV842" s="264"/>
      <c r="AW842" s="264"/>
      <c r="AX842" s="264"/>
      <c r="AY842" s="264"/>
      <c r="AZ842" s="264"/>
      <c r="BA842" s="264"/>
      <c r="BB842" s="264"/>
      <c r="BC842" s="264"/>
      <c r="BD842" s="264"/>
    </row>
    <row r="843">
      <c r="A843" s="264"/>
      <c r="B843" s="264"/>
      <c r="C843" s="264"/>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c r="AA843" s="264"/>
      <c r="AB843" s="264"/>
      <c r="AC843" s="264"/>
      <c r="AD843" s="264"/>
      <c r="AE843" s="264"/>
      <c r="AF843" s="264"/>
      <c r="AG843" s="264"/>
      <c r="AH843" s="264"/>
      <c r="AI843" s="264"/>
      <c r="AJ843" s="264"/>
      <c r="AK843" s="264"/>
      <c r="AL843" s="264"/>
      <c r="AM843" s="264"/>
      <c r="AN843" s="264"/>
      <c r="AO843" s="264"/>
      <c r="AP843" s="264"/>
      <c r="AQ843" s="264"/>
      <c r="AR843" s="264"/>
      <c r="AS843" s="264"/>
      <c r="AT843" s="264"/>
      <c r="AU843" s="264"/>
      <c r="AV843" s="264"/>
      <c r="AW843" s="264"/>
      <c r="AX843" s="264"/>
      <c r="AY843" s="264"/>
      <c r="AZ843" s="264"/>
      <c r="BA843" s="264"/>
      <c r="BB843" s="264"/>
      <c r="BC843" s="264"/>
      <c r="BD843" s="264"/>
    </row>
    <row r="844">
      <c r="A844" s="264"/>
      <c r="B844" s="264"/>
      <c r="C844" s="264"/>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c r="AA844" s="264"/>
      <c r="AB844" s="264"/>
      <c r="AC844" s="264"/>
      <c r="AD844" s="264"/>
      <c r="AE844" s="264"/>
      <c r="AF844" s="264"/>
      <c r="AG844" s="264"/>
      <c r="AH844" s="264"/>
      <c r="AI844" s="264"/>
      <c r="AJ844" s="264"/>
      <c r="AK844" s="264"/>
      <c r="AL844" s="264"/>
      <c r="AM844" s="264"/>
      <c r="AN844" s="264"/>
      <c r="AO844" s="264"/>
      <c r="AP844" s="264"/>
      <c r="AQ844" s="264"/>
      <c r="AR844" s="264"/>
      <c r="AS844" s="264"/>
      <c r="AT844" s="264"/>
      <c r="AU844" s="264"/>
      <c r="AV844" s="264"/>
      <c r="AW844" s="264"/>
      <c r="AX844" s="264"/>
      <c r="AY844" s="264"/>
      <c r="AZ844" s="264"/>
      <c r="BA844" s="264"/>
      <c r="BB844" s="264"/>
      <c r="BC844" s="264"/>
      <c r="BD844" s="264"/>
    </row>
    <row r="845">
      <c r="A845" s="264"/>
      <c r="B845" s="264"/>
      <c r="C845" s="264"/>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c r="AA845" s="264"/>
      <c r="AB845" s="264"/>
      <c r="AC845" s="264"/>
      <c r="AD845" s="264"/>
      <c r="AE845" s="264"/>
      <c r="AF845" s="264"/>
      <c r="AG845" s="264"/>
      <c r="AH845" s="264"/>
      <c r="AI845" s="264"/>
      <c r="AJ845" s="264"/>
      <c r="AK845" s="264"/>
      <c r="AL845" s="264"/>
      <c r="AM845" s="264"/>
      <c r="AN845" s="264"/>
      <c r="AO845" s="264"/>
      <c r="AP845" s="264"/>
      <c r="AQ845" s="264"/>
      <c r="AR845" s="264"/>
      <c r="AS845" s="264"/>
      <c r="AT845" s="264"/>
      <c r="AU845" s="264"/>
      <c r="AV845" s="264"/>
      <c r="AW845" s="264"/>
      <c r="AX845" s="264"/>
      <c r="AY845" s="264"/>
      <c r="AZ845" s="264"/>
      <c r="BA845" s="264"/>
      <c r="BB845" s="264"/>
      <c r="BC845" s="264"/>
      <c r="BD845" s="264"/>
    </row>
    <row r="846">
      <c r="A846" s="264"/>
      <c r="B846" s="264"/>
      <c r="C846" s="264"/>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c r="AA846" s="264"/>
      <c r="AB846" s="264"/>
      <c r="AC846" s="264"/>
      <c r="AD846" s="264"/>
      <c r="AE846" s="264"/>
      <c r="AF846" s="264"/>
      <c r="AG846" s="264"/>
      <c r="AH846" s="264"/>
      <c r="AI846" s="264"/>
      <c r="AJ846" s="264"/>
      <c r="AK846" s="264"/>
      <c r="AL846" s="264"/>
      <c r="AM846" s="264"/>
      <c r="AN846" s="264"/>
      <c r="AO846" s="264"/>
      <c r="AP846" s="264"/>
      <c r="AQ846" s="264"/>
      <c r="AR846" s="264"/>
      <c r="AS846" s="264"/>
      <c r="AT846" s="264"/>
      <c r="AU846" s="264"/>
      <c r="AV846" s="264"/>
      <c r="AW846" s="264"/>
      <c r="AX846" s="264"/>
      <c r="AY846" s="264"/>
      <c r="AZ846" s="264"/>
      <c r="BA846" s="264"/>
      <c r="BB846" s="264"/>
      <c r="BC846" s="264"/>
      <c r="BD846" s="264"/>
    </row>
    <row r="847">
      <c r="A847" s="264"/>
      <c r="B847" s="264"/>
      <c r="C847" s="264"/>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c r="AA847" s="264"/>
      <c r="AB847" s="264"/>
      <c r="AC847" s="264"/>
      <c r="AD847" s="264"/>
      <c r="AE847" s="264"/>
      <c r="AF847" s="264"/>
      <c r="AG847" s="264"/>
      <c r="AH847" s="264"/>
      <c r="AI847" s="264"/>
      <c r="AJ847" s="264"/>
      <c r="AK847" s="264"/>
      <c r="AL847" s="264"/>
      <c r="AM847" s="264"/>
      <c r="AN847" s="264"/>
      <c r="AO847" s="264"/>
      <c r="AP847" s="264"/>
      <c r="AQ847" s="264"/>
      <c r="AR847" s="264"/>
      <c r="AS847" s="264"/>
      <c r="AT847" s="264"/>
      <c r="AU847" s="264"/>
      <c r="AV847" s="264"/>
      <c r="AW847" s="264"/>
      <c r="AX847" s="264"/>
      <c r="AY847" s="264"/>
      <c r="AZ847" s="264"/>
      <c r="BA847" s="264"/>
      <c r="BB847" s="264"/>
      <c r="BC847" s="264"/>
      <c r="BD847" s="264"/>
    </row>
    <row r="848">
      <c r="A848" s="264"/>
      <c r="B848" s="264"/>
      <c r="C848" s="264"/>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c r="AA848" s="264"/>
      <c r="AB848" s="264"/>
      <c r="AC848" s="264"/>
      <c r="AD848" s="264"/>
      <c r="AE848" s="264"/>
      <c r="AF848" s="264"/>
      <c r="AG848" s="264"/>
      <c r="AH848" s="264"/>
      <c r="AI848" s="264"/>
      <c r="AJ848" s="264"/>
      <c r="AK848" s="264"/>
      <c r="AL848" s="264"/>
      <c r="AM848" s="264"/>
      <c r="AN848" s="264"/>
      <c r="AO848" s="264"/>
      <c r="AP848" s="264"/>
      <c r="AQ848" s="264"/>
      <c r="AR848" s="264"/>
      <c r="AS848" s="264"/>
      <c r="AT848" s="264"/>
      <c r="AU848" s="264"/>
      <c r="AV848" s="264"/>
      <c r="AW848" s="264"/>
      <c r="AX848" s="264"/>
      <c r="AY848" s="264"/>
      <c r="AZ848" s="264"/>
      <c r="BA848" s="264"/>
      <c r="BB848" s="264"/>
      <c r="BC848" s="264"/>
      <c r="BD848" s="264"/>
    </row>
    <row r="849">
      <c r="A849" s="264"/>
      <c r="B849" s="264"/>
      <c r="C849" s="264"/>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c r="AA849" s="264"/>
      <c r="AB849" s="264"/>
      <c r="AC849" s="264"/>
      <c r="AD849" s="264"/>
      <c r="AE849" s="264"/>
      <c r="AF849" s="264"/>
      <c r="AG849" s="264"/>
      <c r="AH849" s="264"/>
      <c r="AI849" s="264"/>
      <c r="AJ849" s="264"/>
      <c r="AK849" s="264"/>
      <c r="AL849" s="264"/>
      <c r="AM849" s="264"/>
      <c r="AN849" s="264"/>
      <c r="AO849" s="264"/>
      <c r="AP849" s="264"/>
      <c r="AQ849" s="264"/>
      <c r="AR849" s="264"/>
      <c r="AS849" s="264"/>
      <c r="AT849" s="264"/>
      <c r="AU849" s="264"/>
      <c r="AV849" s="264"/>
      <c r="AW849" s="264"/>
      <c r="AX849" s="264"/>
      <c r="AY849" s="264"/>
      <c r="AZ849" s="264"/>
      <c r="BA849" s="264"/>
      <c r="BB849" s="264"/>
      <c r="BC849" s="264"/>
      <c r="BD849" s="264"/>
    </row>
    <row r="850">
      <c r="A850" s="264"/>
      <c r="B850" s="264"/>
      <c r="C850" s="264"/>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c r="AA850" s="264"/>
      <c r="AB850" s="264"/>
      <c r="AC850" s="264"/>
      <c r="AD850" s="264"/>
      <c r="AE850" s="264"/>
      <c r="AF850" s="264"/>
      <c r="AG850" s="264"/>
      <c r="AH850" s="264"/>
      <c r="AI850" s="264"/>
      <c r="AJ850" s="264"/>
      <c r="AK850" s="264"/>
      <c r="AL850" s="264"/>
      <c r="AM850" s="264"/>
      <c r="AN850" s="264"/>
      <c r="AO850" s="264"/>
      <c r="AP850" s="264"/>
      <c r="AQ850" s="264"/>
      <c r="AR850" s="264"/>
      <c r="AS850" s="264"/>
      <c r="AT850" s="264"/>
      <c r="AU850" s="264"/>
      <c r="AV850" s="264"/>
      <c r="AW850" s="264"/>
      <c r="AX850" s="264"/>
      <c r="AY850" s="264"/>
      <c r="AZ850" s="264"/>
      <c r="BA850" s="264"/>
      <c r="BB850" s="264"/>
      <c r="BC850" s="264"/>
      <c r="BD850" s="264"/>
    </row>
    <row r="851">
      <c r="A851" s="264"/>
      <c r="B851" s="264"/>
      <c r="C851" s="264"/>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c r="AA851" s="264"/>
      <c r="AB851" s="264"/>
      <c r="AC851" s="264"/>
      <c r="AD851" s="264"/>
      <c r="AE851" s="264"/>
      <c r="AF851" s="264"/>
      <c r="AG851" s="264"/>
      <c r="AH851" s="264"/>
      <c r="AI851" s="264"/>
      <c r="AJ851" s="264"/>
      <c r="AK851" s="264"/>
      <c r="AL851" s="264"/>
      <c r="AM851" s="264"/>
      <c r="AN851" s="264"/>
      <c r="AO851" s="264"/>
      <c r="AP851" s="264"/>
      <c r="AQ851" s="264"/>
      <c r="AR851" s="264"/>
      <c r="AS851" s="264"/>
      <c r="AT851" s="264"/>
      <c r="AU851" s="264"/>
      <c r="AV851" s="264"/>
      <c r="AW851" s="264"/>
      <c r="AX851" s="264"/>
      <c r="AY851" s="264"/>
      <c r="AZ851" s="264"/>
      <c r="BA851" s="264"/>
      <c r="BB851" s="264"/>
      <c r="BC851" s="264"/>
      <c r="BD851" s="264"/>
    </row>
    <row r="852">
      <c r="A852" s="264"/>
      <c r="B852" s="264"/>
      <c r="C852" s="264"/>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c r="AA852" s="264"/>
      <c r="AB852" s="264"/>
      <c r="AC852" s="264"/>
      <c r="AD852" s="264"/>
      <c r="AE852" s="264"/>
      <c r="AF852" s="264"/>
      <c r="AG852" s="264"/>
      <c r="AH852" s="264"/>
      <c r="AI852" s="264"/>
      <c r="AJ852" s="264"/>
      <c r="AK852" s="264"/>
      <c r="AL852" s="264"/>
      <c r="AM852" s="264"/>
      <c r="AN852" s="264"/>
      <c r="AO852" s="264"/>
      <c r="AP852" s="264"/>
      <c r="AQ852" s="264"/>
      <c r="AR852" s="264"/>
      <c r="AS852" s="264"/>
      <c r="AT852" s="264"/>
      <c r="AU852" s="264"/>
      <c r="AV852" s="264"/>
      <c r="AW852" s="264"/>
      <c r="AX852" s="264"/>
      <c r="AY852" s="264"/>
      <c r="AZ852" s="264"/>
      <c r="BA852" s="264"/>
      <c r="BB852" s="264"/>
      <c r="BC852" s="264"/>
      <c r="BD852" s="264"/>
    </row>
    <row r="853">
      <c r="A853" s="264"/>
      <c r="B853" s="264"/>
      <c r="C853" s="264"/>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c r="AA853" s="264"/>
      <c r="AB853" s="264"/>
      <c r="AC853" s="264"/>
      <c r="AD853" s="264"/>
      <c r="AE853" s="264"/>
      <c r="AF853" s="264"/>
      <c r="AG853" s="264"/>
      <c r="AH853" s="264"/>
      <c r="AI853" s="264"/>
      <c r="AJ853" s="264"/>
      <c r="AK853" s="264"/>
      <c r="AL853" s="264"/>
      <c r="AM853" s="264"/>
      <c r="AN853" s="264"/>
      <c r="AO853" s="264"/>
      <c r="AP853" s="264"/>
      <c r="AQ853" s="264"/>
      <c r="AR853" s="264"/>
      <c r="AS853" s="264"/>
      <c r="AT853" s="264"/>
      <c r="AU853" s="264"/>
      <c r="AV853" s="264"/>
      <c r="AW853" s="264"/>
      <c r="AX853" s="264"/>
      <c r="AY853" s="264"/>
      <c r="AZ853" s="264"/>
      <c r="BA853" s="264"/>
      <c r="BB853" s="264"/>
      <c r="BC853" s="264"/>
      <c r="BD853" s="264"/>
    </row>
    <row r="854">
      <c r="A854" s="264"/>
      <c r="B854" s="264"/>
      <c r="C854" s="264"/>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c r="AA854" s="264"/>
      <c r="AB854" s="264"/>
      <c r="AC854" s="264"/>
      <c r="AD854" s="264"/>
      <c r="AE854" s="264"/>
      <c r="AF854" s="264"/>
      <c r="AG854" s="264"/>
      <c r="AH854" s="264"/>
      <c r="AI854" s="264"/>
      <c r="AJ854" s="264"/>
      <c r="AK854" s="264"/>
      <c r="AL854" s="264"/>
      <c r="AM854" s="264"/>
      <c r="AN854" s="264"/>
      <c r="AO854" s="264"/>
      <c r="AP854" s="264"/>
      <c r="AQ854" s="264"/>
      <c r="AR854" s="264"/>
      <c r="AS854" s="264"/>
      <c r="AT854" s="264"/>
      <c r="AU854" s="264"/>
      <c r="AV854" s="264"/>
      <c r="AW854" s="264"/>
      <c r="AX854" s="264"/>
      <c r="AY854" s="264"/>
      <c r="AZ854" s="264"/>
      <c r="BA854" s="264"/>
      <c r="BB854" s="264"/>
      <c r="BC854" s="264"/>
      <c r="BD854" s="264"/>
    </row>
    <row r="855">
      <c r="A855" s="264"/>
      <c r="B855" s="264"/>
      <c r="C855" s="264"/>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c r="AA855" s="264"/>
      <c r="AB855" s="264"/>
      <c r="AC855" s="264"/>
      <c r="AD855" s="264"/>
      <c r="AE855" s="264"/>
      <c r="AF855" s="264"/>
      <c r="AG855" s="264"/>
      <c r="AH855" s="264"/>
      <c r="AI855" s="264"/>
      <c r="AJ855" s="264"/>
      <c r="AK855" s="264"/>
      <c r="AL855" s="264"/>
      <c r="AM855" s="264"/>
      <c r="AN855" s="264"/>
      <c r="AO855" s="264"/>
      <c r="AP855" s="264"/>
      <c r="AQ855" s="264"/>
      <c r="AR855" s="264"/>
      <c r="AS855" s="264"/>
      <c r="AT855" s="264"/>
      <c r="AU855" s="264"/>
      <c r="AV855" s="264"/>
      <c r="AW855" s="264"/>
      <c r="AX855" s="264"/>
      <c r="AY855" s="264"/>
      <c r="AZ855" s="264"/>
      <c r="BA855" s="264"/>
      <c r="BB855" s="264"/>
      <c r="BC855" s="264"/>
      <c r="BD855" s="264"/>
    </row>
    <row r="856">
      <c r="A856" s="264"/>
      <c r="B856" s="264"/>
      <c r="C856" s="264"/>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c r="AA856" s="264"/>
      <c r="AB856" s="264"/>
      <c r="AC856" s="264"/>
      <c r="AD856" s="264"/>
      <c r="AE856" s="264"/>
      <c r="AF856" s="264"/>
      <c r="AG856" s="264"/>
      <c r="AH856" s="264"/>
      <c r="AI856" s="264"/>
      <c r="AJ856" s="264"/>
      <c r="AK856" s="264"/>
      <c r="AL856" s="264"/>
      <c r="AM856" s="264"/>
      <c r="AN856" s="264"/>
      <c r="AO856" s="264"/>
      <c r="AP856" s="264"/>
      <c r="AQ856" s="264"/>
      <c r="AR856" s="264"/>
      <c r="AS856" s="264"/>
      <c r="AT856" s="264"/>
      <c r="AU856" s="264"/>
      <c r="AV856" s="264"/>
      <c r="AW856" s="264"/>
      <c r="AX856" s="264"/>
      <c r="AY856" s="264"/>
      <c r="AZ856" s="264"/>
      <c r="BA856" s="264"/>
      <c r="BB856" s="264"/>
      <c r="BC856" s="264"/>
      <c r="BD856" s="264"/>
    </row>
    <row r="857">
      <c r="A857" s="264"/>
      <c r="B857" s="264"/>
      <c r="C857" s="264"/>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c r="AA857" s="264"/>
      <c r="AB857" s="264"/>
      <c r="AC857" s="264"/>
      <c r="AD857" s="264"/>
      <c r="AE857" s="264"/>
      <c r="AF857" s="264"/>
      <c r="AG857" s="264"/>
      <c r="AH857" s="264"/>
      <c r="AI857" s="264"/>
      <c r="AJ857" s="264"/>
      <c r="AK857" s="264"/>
      <c r="AL857" s="264"/>
      <c r="AM857" s="264"/>
      <c r="AN857" s="264"/>
      <c r="AO857" s="264"/>
      <c r="AP857" s="264"/>
      <c r="AQ857" s="264"/>
      <c r="AR857" s="264"/>
      <c r="AS857" s="264"/>
      <c r="AT857" s="264"/>
      <c r="AU857" s="264"/>
      <c r="AV857" s="264"/>
      <c r="AW857" s="264"/>
      <c r="AX857" s="264"/>
      <c r="AY857" s="264"/>
      <c r="AZ857" s="264"/>
      <c r="BA857" s="264"/>
      <c r="BB857" s="264"/>
      <c r="BC857" s="264"/>
      <c r="BD857" s="264"/>
    </row>
    <row r="858">
      <c r="A858" s="264"/>
      <c r="B858" s="264"/>
      <c r="C858" s="264"/>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c r="AA858" s="264"/>
      <c r="AB858" s="264"/>
      <c r="AC858" s="264"/>
      <c r="AD858" s="264"/>
      <c r="AE858" s="264"/>
      <c r="AF858" s="264"/>
      <c r="AG858" s="264"/>
      <c r="AH858" s="264"/>
      <c r="AI858" s="264"/>
      <c r="AJ858" s="264"/>
      <c r="AK858" s="264"/>
      <c r="AL858" s="264"/>
      <c r="AM858" s="264"/>
      <c r="AN858" s="264"/>
      <c r="AO858" s="264"/>
      <c r="AP858" s="264"/>
      <c r="AQ858" s="264"/>
      <c r="AR858" s="264"/>
      <c r="AS858" s="264"/>
      <c r="AT858" s="264"/>
      <c r="AU858" s="264"/>
      <c r="AV858" s="264"/>
      <c r="AW858" s="264"/>
      <c r="AX858" s="264"/>
      <c r="AY858" s="264"/>
      <c r="AZ858" s="264"/>
      <c r="BA858" s="264"/>
      <c r="BB858" s="264"/>
      <c r="BC858" s="264"/>
      <c r="BD858" s="264"/>
    </row>
    <row r="859">
      <c r="A859" s="264"/>
      <c r="B859" s="264"/>
      <c r="C859" s="264"/>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c r="AA859" s="264"/>
      <c r="AB859" s="264"/>
      <c r="AC859" s="264"/>
      <c r="AD859" s="264"/>
      <c r="AE859" s="264"/>
      <c r="AF859" s="264"/>
      <c r="AG859" s="264"/>
      <c r="AH859" s="264"/>
      <c r="AI859" s="264"/>
      <c r="AJ859" s="264"/>
      <c r="AK859" s="264"/>
      <c r="AL859" s="264"/>
      <c r="AM859" s="264"/>
      <c r="AN859" s="264"/>
      <c r="AO859" s="264"/>
      <c r="AP859" s="264"/>
      <c r="AQ859" s="264"/>
      <c r="AR859" s="264"/>
      <c r="AS859" s="264"/>
      <c r="AT859" s="264"/>
      <c r="AU859" s="264"/>
      <c r="AV859" s="264"/>
      <c r="AW859" s="264"/>
      <c r="AX859" s="264"/>
      <c r="AY859" s="264"/>
      <c r="AZ859" s="264"/>
      <c r="BA859" s="264"/>
      <c r="BB859" s="264"/>
      <c r="BC859" s="264"/>
      <c r="BD859" s="264"/>
    </row>
    <row r="860">
      <c r="A860" s="264"/>
      <c r="B860" s="264"/>
      <c r="C860" s="264"/>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c r="AA860" s="264"/>
      <c r="AB860" s="264"/>
      <c r="AC860" s="264"/>
      <c r="AD860" s="264"/>
      <c r="AE860" s="264"/>
      <c r="AF860" s="264"/>
      <c r="AG860" s="264"/>
      <c r="AH860" s="264"/>
      <c r="AI860" s="264"/>
      <c r="AJ860" s="264"/>
      <c r="AK860" s="264"/>
      <c r="AL860" s="264"/>
      <c r="AM860" s="264"/>
      <c r="AN860" s="264"/>
      <c r="AO860" s="264"/>
      <c r="AP860" s="264"/>
      <c r="AQ860" s="264"/>
      <c r="AR860" s="264"/>
      <c r="AS860" s="264"/>
      <c r="AT860" s="264"/>
      <c r="AU860" s="264"/>
      <c r="AV860" s="264"/>
      <c r="AW860" s="264"/>
      <c r="AX860" s="264"/>
      <c r="AY860" s="264"/>
      <c r="AZ860" s="264"/>
      <c r="BA860" s="264"/>
      <c r="BB860" s="264"/>
      <c r="BC860" s="264"/>
      <c r="BD860" s="264"/>
    </row>
    <row r="861">
      <c r="A861" s="264"/>
      <c r="B861" s="264"/>
      <c r="C861" s="264"/>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c r="AA861" s="264"/>
      <c r="AB861" s="264"/>
      <c r="AC861" s="264"/>
      <c r="AD861" s="264"/>
      <c r="AE861" s="264"/>
      <c r="AF861" s="264"/>
      <c r="AG861" s="264"/>
      <c r="AH861" s="264"/>
      <c r="AI861" s="264"/>
      <c r="AJ861" s="264"/>
      <c r="AK861" s="264"/>
      <c r="AL861" s="264"/>
      <c r="AM861" s="264"/>
      <c r="AN861" s="264"/>
      <c r="AO861" s="264"/>
      <c r="AP861" s="264"/>
      <c r="AQ861" s="264"/>
      <c r="AR861" s="264"/>
      <c r="AS861" s="264"/>
      <c r="AT861" s="264"/>
      <c r="AU861" s="264"/>
      <c r="AV861" s="264"/>
      <c r="AW861" s="264"/>
      <c r="AX861" s="264"/>
      <c r="AY861" s="264"/>
      <c r="AZ861" s="264"/>
      <c r="BA861" s="264"/>
      <c r="BB861" s="264"/>
      <c r="BC861" s="264"/>
      <c r="BD861" s="264"/>
    </row>
    <row r="862">
      <c r="A862" s="264"/>
      <c r="B862" s="264"/>
      <c r="C862" s="264"/>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c r="AA862" s="264"/>
      <c r="AB862" s="264"/>
      <c r="AC862" s="264"/>
      <c r="AD862" s="264"/>
      <c r="AE862" s="264"/>
      <c r="AF862" s="264"/>
      <c r="AG862" s="264"/>
      <c r="AH862" s="264"/>
      <c r="AI862" s="264"/>
      <c r="AJ862" s="264"/>
      <c r="AK862" s="264"/>
      <c r="AL862" s="264"/>
      <c r="AM862" s="264"/>
      <c r="AN862" s="264"/>
      <c r="AO862" s="264"/>
      <c r="AP862" s="264"/>
      <c r="AQ862" s="264"/>
      <c r="AR862" s="264"/>
      <c r="AS862" s="264"/>
      <c r="AT862" s="264"/>
      <c r="AU862" s="264"/>
      <c r="AV862" s="264"/>
      <c r="AW862" s="264"/>
      <c r="AX862" s="264"/>
      <c r="AY862" s="264"/>
      <c r="AZ862" s="264"/>
      <c r="BA862" s="264"/>
      <c r="BB862" s="264"/>
      <c r="BC862" s="264"/>
      <c r="BD862" s="264"/>
    </row>
    <row r="863">
      <c r="A863" s="264"/>
      <c r="B863" s="264"/>
      <c r="C863" s="264"/>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c r="AA863" s="264"/>
      <c r="AB863" s="264"/>
      <c r="AC863" s="264"/>
      <c r="AD863" s="264"/>
      <c r="AE863" s="264"/>
      <c r="AF863" s="264"/>
      <c r="AG863" s="264"/>
      <c r="AH863" s="264"/>
      <c r="AI863" s="264"/>
      <c r="AJ863" s="264"/>
      <c r="AK863" s="264"/>
      <c r="AL863" s="264"/>
      <c r="AM863" s="264"/>
      <c r="AN863" s="264"/>
      <c r="AO863" s="264"/>
      <c r="AP863" s="264"/>
      <c r="AQ863" s="264"/>
      <c r="AR863" s="264"/>
      <c r="AS863" s="264"/>
      <c r="AT863" s="264"/>
      <c r="AU863" s="264"/>
      <c r="AV863" s="264"/>
      <c r="AW863" s="264"/>
      <c r="AX863" s="264"/>
      <c r="AY863" s="264"/>
      <c r="AZ863" s="264"/>
      <c r="BA863" s="264"/>
      <c r="BB863" s="264"/>
      <c r="BC863" s="264"/>
      <c r="BD863" s="264"/>
    </row>
    <row r="864">
      <c r="A864" s="264"/>
      <c r="B864" s="264"/>
      <c r="C864" s="264"/>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c r="AA864" s="264"/>
      <c r="AB864" s="264"/>
      <c r="AC864" s="264"/>
      <c r="AD864" s="264"/>
      <c r="AE864" s="264"/>
      <c r="AF864" s="264"/>
      <c r="AG864" s="264"/>
      <c r="AH864" s="264"/>
      <c r="AI864" s="264"/>
      <c r="AJ864" s="264"/>
      <c r="AK864" s="264"/>
      <c r="AL864" s="264"/>
      <c r="AM864" s="264"/>
      <c r="AN864" s="264"/>
      <c r="AO864" s="264"/>
      <c r="AP864" s="264"/>
      <c r="AQ864" s="264"/>
      <c r="AR864" s="264"/>
      <c r="AS864" s="264"/>
      <c r="AT864" s="264"/>
      <c r="AU864" s="264"/>
      <c r="AV864" s="264"/>
      <c r="AW864" s="264"/>
      <c r="AX864" s="264"/>
      <c r="AY864" s="264"/>
      <c r="AZ864" s="264"/>
      <c r="BA864" s="264"/>
      <c r="BB864" s="264"/>
      <c r="BC864" s="264"/>
      <c r="BD864" s="264"/>
    </row>
    <row r="865">
      <c r="A865" s="264"/>
      <c r="B865" s="264"/>
      <c r="C865" s="264"/>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c r="AA865" s="264"/>
      <c r="AB865" s="264"/>
      <c r="AC865" s="264"/>
      <c r="AD865" s="264"/>
      <c r="AE865" s="264"/>
      <c r="AF865" s="264"/>
      <c r="AG865" s="264"/>
      <c r="AH865" s="264"/>
      <c r="AI865" s="264"/>
      <c r="AJ865" s="264"/>
      <c r="AK865" s="264"/>
      <c r="AL865" s="264"/>
      <c r="AM865" s="264"/>
      <c r="AN865" s="264"/>
      <c r="AO865" s="264"/>
      <c r="AP865" s="264"/>
      <c r="AQ865" s="264"/>
      <c r="AR865" s="264"/>
      <c r="AS865" s="264"/>
      <c r="AT865" s="264"/>
      <c r="AU865" s="264"/>
      <c r="AV865" s="264"/>
      <c r="AW865" s="264"/>
      <c r="AX865" s="264"/>
      <c r="AY865" s="264"/>
      <c r="AZ865" s="264"/>
      <c r="BA865" s="264"/>
      <c r="BB865" s="264"/>
      <c r="BC865" s="264"/>
      <c r="BD865" s="264"/>
    </row>
    <row r="866">
      <c r="A866" s="264"/>
      <c r="B866" s="264"/>
      <c r="C866" s="264"/>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c r="AA866" s="264"/>
      <c r="AB866" s="264"/>
      <c r="AC866" s="264"/>
      <c r="AD866" s="264"/>
      <c r="AE866" s="264"/>
      <c r="AF866" s="264"/>
      <c r="AG866" s="264"/>
      <c r="AH866" s="264"/>
      <c r="AI866" s="264"/>
      <c r="AJ866" s="264"/>
      <c r="AK866" s="264"/>
      <c r="AL866" s="264"/>
      <c r="AM866" s="264"/>
      <c r="AN866" s="264"/>
      <c r="AO866" s="264"/>
      <c r="AP866" s="264"/>
      <c r="AQ866" s="264"/>
      <c r="AR866" s="264"/>
      <c r="AS866" s="264"/>
      <c r="AT866" s="264"/>
      <c r="AU866" s="264"/>
      <c r="AV866" s="264"/>
      <c r="AW866" s="264"/>
      <c r="AX866" s="264"/>
      <c r="AY866" s="264"/>
      <c r="AZ866" s="264"/>
      <c r="BA866" s="264"/>
      <c r="BB866" s="264"/>
      <c r="BC866" s="264"/>
      <c r="BD866" s="264"/>
    </row>
    <row r="867">
      <c r="A867" s="264"/>
      <c r="B867" s="264"/>
      <c r="C867" s="264"/>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c r="AA867" s="264"/>
      <c r="AB867" s="264"/>
      <c r="AC867" s="264"/>
      <c r="AD867" s="264"/>
      <c r="AE867" s="264"/>
      <c r="AF867" s="264"/>
      <c r="AG867" s="264"/>
      <c r="AH867" s="264"/>
      <c r="AI867" s="264"/>
      <c r="AJ867" s="264"/>
      <c r="AK867" s="264"/>
      <c r="AL867" s="264"/>
      <c r="AM867" s="264"/>
      <c r="AN867" s="264"/>
      <c r="AO867" s="264"/>
      <c r="AP867" s="264"/>
      <c r="AQ867" s="264"/>
      <c r="AR867" s="264"/>
      <c r="AS867" s="264"/>
      <c r="AT867" s="264"/>
      <c r="AU867" s="264"/>
      <c r="AV867" s="264"/>
      <c r="AW867" s="264"/>
      <c r="AX867" s="264"/>
      <c r="AY867" s="264"/>
      <c r="AZ867" s="264"/>
      <c r="BA867" s="264"/>
      <c r="BB867" s="264"/>
      <c r="BC867" s="264"/>
      <c r="BD867" s="264"/>
    </row>
    <row r="868">
      <c r="A868" s="264"/>
      <c r="B868" s="264"/>
      <c r="C868" s="264"/>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c r="AA868" s="264"/>
      <c r="AB868" s="264"/>
      <c r="AC868" s="264"/>
      <c r="AD868" s="264"/>
      <c r="AE868" s="264"/>
      <c r="AF868" s="264"/>
      <c r="AG868" s="264"/>
      <c r="AH868" s="264"/>
      <c r="AI868" s="264"/>
      <c r="AJ868" s="264"/>
      <c r="AK868" s="264"/>
      <c r="AL868" s="264"/>
      <c r="AM868" s="264"/>
      <c r="AN868" s="264"/>
      <c r="AO868" s="264"/>
      <c r="AP868" s="264"/>
      <c r="AQ868" s="264"/>
      <c r="AR868" s="264"/>
      <c r="AS868" s="264"/>
      <c r="AT868" s="264"/>
      <c r="AU868" s="264"/>
      <c r="AV868" s="264"/>
      <c r="AW868" s="264"/>
      <c r="AX868" s="264"/>
      <c r="AY868" s="264"/>
      <c r="AZ868" s="264"/>
      <c r="BA868" s="264"/>
      <c r="BB868" s="264"/>
      <c r="BC868" s="264"/>
      <c r="BD868" s="264"/>
    </row>
    <row r="869">
      <c r="A869" s="264"/>
      <c r="B869" s="264"/>
      <c r="C869" s="264"/>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c r="AA869" s="264"/>
      <c r="AB869" s="264"/>
      <c r="AC869" s="264"/>
      <c r="AD869" s="264"/>
      <c r="AE869" s="264"/>
      <c r="AF869" s="264"/>
      <c r="AG869" s="264"/>
      <c r="AH869" s="264"/>
      <c r="AI869" s="264"/>
      <c r="AJ869" s="264"/>
      <c r="AK869" s="264"/>
      <c r="AL869" s="264"/>
      <c r="AM869" s="264"/>
      <c r="AN869" s="264"/>
      <c r="AO869" s="264"/>
      <c r="AP869" s="264"/>
      <c r="AQ869" s="264"/>
      <c r="AR869" s="264"/>
      <c r="AS869" s="264"/>
      <c r="AT869" s="264"/>
      <c r="AU869" s="264"/>
      <c r="AV869" s="264"/>
      <c r="AW869" s="264"/>
      <c r="AX869" s="264"/>
      <c r="AY869" s="264"/>
      <c r="AZ869" s="264"/>
      <c r="BA869" s="264"/>
      <c r="BB869" s="264"/>
      <c r="BC869" s="264"/>
      <c r="BD869" s="264"/>
    </row>
    <row r="870">
      <c r="A870" s="264"/>
      <c r="B870" s="264"/>
      <c r="C870" s="264"/>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c r="AA870" s="264"/>
      <c r="AB870" s="264"/>
      <c r="AC870" s="264"/>
      <c r="AD870" s="264"/>
      <c r="AE870" s="264"/>
      <c r="AF870" s="264"/>
      <c r="AG870" s="264"/>
      <c r="AH870" s="264"/>
      <c r="AI870" s="264"/>
      <c r="AJ870" s="264"/>
      <c r="AK870" s="264"/>
      <c r="AL870" s="264"/>
      <c r="AM870" s="264"/>
      <c r="AN870" s="264"/>
      <c r="AO870" s="264"/>
      <c r="AP870" s="264"/>
      <c r="AQ870" s="264"/>
      <c r="AR870" s="264"/>
      <c r="AS870" s="264"/>
      <c r="AT870" s="264"/>
      <c r="AU870" s="264"/>
      <c r="AV870" s="264"/>
      <c r="AW870" s="264"/>
      <c r="AX870" s="264"/>
      <c r="AY870" s="264"/>
      <c r="AZ870" s="264"/>
      <c r="BA870" s="264"/>
      <c r="BB870" s="264"/>
      <c r="BC870" s="264"/>
      <c r="BD870" s="264"/>
    </row>
    <row r="871">
      <c r="A871" s="264"/>
      <c r="B871" s="264"/>
      <c r="C871" s="264"/>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c r="AA871" s="264"/>
      <c r="AB871" s="264"/>
      <c r="AC871" s="264"/>
      <c r="AD871" s="264"/>
      <c r="AE871" s="264"/>
      <c r="AF871" s="264"/>
      <c r="AG871" s="264"/>
      <c r="AH871" s="264"/>
      <c r="AI871" s="264"/>
      <c r="AJ871" s="264"/>
      <c r="AK871" s="264"/>
      <c r="AL871" s="264"/>
      <c r="AM871" s="264"/>
      <c r="AN871" s="264"/>
      <c r="AO871" s="264"/>
      <c r="AP871" s="264"/>
      <c r="AQ871" s="264"/>
      <c r="AR871" s="264"/>
      <c r="AS871" s="264"/>
      <c r="AT871" s="264"/>
      <c r="AU871" s="264"/>
      <c r="AV871" s="264"/>
      <c r="AW871" s="264"/>
      <c r="AX871" s="264"/>
      <c r="AY871" s="264"/>
      <c r="AZ871" s="264"/>
      <c r="BA871" s="264"/>
      <c r="BB871" s="264"/>
      <c r="BC871" s="264"/>
      <c r="BD871" s="264"/>
    </row>
    <row r="872">
      <c r="A872" s="264"/>
      <c r="B872" s="264"/>
      <c r="C872" s="264"/>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c r="AA872" s="264"/>
      <c r="AB872" s="264"/>
      <c r="AC872" s="264"/>
      <c r="AD872" s="264"/>
      <c r="AE872" s="264"/>
      <c r="AF872" s="264"/>
      <c r="AG872" s="264"/>
      <c r="AH872" s="264"/>
      <c r="AI872" s="264"/>
      <c r="AJ872" s="264"/>
      <c r="AK872" s="264"/>
      <c r="AL872" s="264"/>
      <c r="AM872" s="264"/>
      <c r="AN872" s="264"/>
      <c r="AO872" s="264"/>
      <c r="AP872" s="264"/>
      <c r="AQ872" s="264"/>
      <c r="AR872" s="264"/>
      <c r="AS872" s="264"/>
      <c r="AT872" s="264"/>
      <c r="AU872" s="264"/>
      <c r="AV872" s="264"/>
      <c r="AW872" s="264"/>
      <c r="AX872" s="264"/>
      <c r="AY872" s="264"/>
      <c r="AZ872" s="264"/>
      <c r="BA872" s="264"/>
      <c r="BB872" s="264"/>
      <c r="BC872" s="264"/>
      <c r="BD872" s="264"/>
    </row>
    <row r="873">
      <c r="A873" s="264"/>
      <c r="B873" s="264"/>
      <c r="C873" s="264"/>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c r="AA873" s="264"/>
      <c r="AB873" s="264"/>
      <c r="AC873" s="264"/>
      <c r="AD873" s="264"/>
      <c r="AE873" s="264"/>
      <c r="AF873" s="264"/>
      <c r="AG873" s="264"/>
      <c r="AH873" s="264"/>
      <c r="AI873" s="264"/>
      <c r="AJ873" s="264"/>
      <c r="AK873" s="264"/>
      <c r="AL873" s="264"/>
      <c r="AM873" s="264"/>
      <c r="AN873" s="264"/>
      <c r="AO873" s="264"/>
      <c r="AP873" s="264"/>
      <c r="AQ873" s="264"/>
      <c r="AR873" s="264"/>
      <c r="AS873" s="264"/>
      <c r="AT873" s="264"/>
      <c r="AU873" s="264"/>
      <c r="AV873" s="264"/>
      <c r="AW873" s="264"/>
      <c r="AX873" s="264"/>
      <c r="AY873" s="264"/>
      <c r="AZ873" s="264"/>
      <c r="BA873" s="264"/>
      <c r="BB873" s="264"/>
      <c r="BC873" s="264"/>
      <c r="BD873" s="264"/>
    </row>
    <row r="874">
      <c r="A874" s="264"/>
      <c r="B874" s="264"/>
      <c r="C874" s="264"/>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c r="AA874" s="264"/>
      <c r="AB874" s="264"/>
      <c r="AC874" s="264"/>
      <c r="AD874" s="264"/>
      <c r="AE874" s="264"/>
      <c r="AF874" s="264"/>
      <c r="AG874" s="264"/>
      <c r="AH874" s="264"/>
      <c r="AI874" s="264"/>
      <c r="AJ874" s="264"/>
      <c r="AK874" s="264"/>
      <c r="AL874" s="264"/>
      <c r="AM874" s="264"/>
      <c r="AN874" s="264"/>
      <c r="AO874" s="264"/>
      <c r="AP874" s="264"/>
      <c r="AQ874" s="264"/>
      <c r="AR874" s="264"/>
      <c r="AS874" s="264"/>
      <c r="AT874" s="264"/>
      <c r="AU874" s="264"/>
      <c r="AV874" s="264"/>
      <c r="AW874" s="264"/>
      <c r="AX874" s="264"/>
      <c r="AY874" s="264"/>
      <c r="AZ874" s="264"/>
      <c r="BA874" s="264"/>
      <c r="BB874" s="264"/>
      <c r="BC874" s="264"/>
      <c r="BD874" s="264"/>
    </row>
    <row r="875">
      <c r="A875" s="264"/>
      <c r="B875" s="264"/>
      <c r="C875" s="264"/>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c r="AA875" s="264"/>
      <c r="AB875" s="264"/>
      <c r="AC875" s="264"/>
      <c r="AD875" s="264"/>
      <c r="AE875" s="264"/>
      <c r="AF875" s="264"/>
      <c r="AG875" s="264"/>
      <c r="AH875" s="264"/>
      <c r="AI875" s="264"/>
      <c r="AJ875" s="264"/>
      <c r="AK875" s="264"/>
      <c r="AL875" s="264"/>
      <c r="AM875" s="264"/>
      <c r="AN875" s="264"/>
      <c r="AO875" s="264"/>
      <c r="AP875" s="264"/>
      <c r="AQ875" s="264"/>
      <c r="AR875" s="264"/>
      <c r="AS875" s="264"/>
      <c r="AT875" s="264"/>
      <c r="AU875" s="264"/>
      <c r="AV875" s="264"/>
      <c r="AW875" s="264"/>
      <c r="AX875" s="264"/>
      <c r="AY875" s="264"/>
      <c r="AZ875" s="264"/>
      <c r="BA875" s="264"/>
      <c r="BB875" s="264"/>
      <c r="BC875" s="264"/>
      <c r="BD875" s="264"/>
    </row>
    <row r="876">
      <c r="A876" s="264"/>
      <c r="B876" s="264"/>
      <c r="C876" s="264"/>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c r="AA876" s="264"/>
      <c r="AB876" s="264"/>
      <c r="AC876" s="264"/>
      <c r="AD876" s="264"/>
      <c r="AE876" s="264"/>
      <c r="AF876" s="264"/>
      <c r="AG876" s="264"/>
      <c r="AH876" s="264"/>
      <c r="AI876" s="264"/>
      <c r="AJ876" s="264"/>
      <c r="AK876" s="264"/>
      <c r="AL876" s="264"/>
      <c r="AM876" s="264"/>
      <c r="AN876" s="264"/>
      <c r="AO876" s="264"/>
      <c r="AP876" s="264"/>
      <c r="AQ876" s="264"/>
      <c r="AR876" s="264"/>
      <c r="AS876" s="264"/>
      <c r="AT876" s="264"/>
      <c r="AU876" s="264"/>
      <c r="AV876" s="264"/>
      <c r="AW876" s="264"/>
      <c r="AX876" s="264"/>
      <c r="AY876" s="264"/>
      <c r="AZ876" s="264"/>
      <c r="BA876" s="264"/>
      <c r="BB876" s="264"/>
      <c r="BC876" s="264"/>
      <c r="BD876" s="264"/>
    </row>
    <row r="877">
      <c r="A877" s="264"/>
      <c r="B877" s="264"/>
      <c r="C877" s="264"/>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c r="AA877" s="264"/>
      <c r="AB877" s="264"/>
      <c r="AC877" s="264"/>
      <c r="AD877" s="264"/>
      <c r="AE877" s="264"/>
      <c r="AF877" s="264"/>
      <c r="AG877" s="264"/>
      <c r="AH877" s="264"/>
      <c r="AI877" s="264"/>
      <c r="AJ877" s="264"/>
      <c r="AK877" s="264"/>
      <c r="AL877" s="264"/>
      <c r="AM877" s="264"/>
      <c r="AN877" s="264"/>
      <c r="AO877" s="264"/>
      <c r="AP877" s="264"/>
      <c r="AQ877" s="264"/>
      <c r="AR877" s="264"/>
      <c r="AS877" s="264"/>
      <c r="AT877" s="264"/>
      <c r="AU877" s="264"/>
      <c r="AV877" s="264"/>
      <c r="AW877" s="264"/>
      <c r="AX877" s="264"/>
      <c r="AY877" s="264"/>
      <c r="AZ877" s="264"/>
      <c r="BA877" s="264"/>
      <c r="BB877" s="264"/>
      <c r="BC877" s="264"/>
      <c r="BD877" s="264"/>
    </row>
    <row r="878">
      <c r="A878" s="264"/>
      <c r="B878" s="264"/>
      <c r="C878" s="264"/>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c r="AA878" s="264"/>
      <c r="AB878" s="264"/>
      <c r="AC878" s="264"/>
      <c r="AD878" s="264"/>
      <c r="AE878" s="264"/>
      <c r="AF878" s="264"/>
      <c r="AG878" s="264"/>
      <c r="AH878" s="264"/>
      <c r="AI878" s="264"/>
      <c r="AJ878" s="264"/>
      <c r="AK878" s="264"/>
      <c r="AL878" s="264"/>
      <c r="AM878" s="264"/>
      <c r="AN878" s="264"/>
      <c r="AO878" s="264"/>
      <c r="AP878" s="264"/>
      <c r="AQ878" s="264"/>
      <c r="AR878" s="264"/>
      <c r="AS878" s="264"/>
      <c r="AT878" s="264"/>
      <c r="AU878" s="264"/>
      <c r="AV878" s="264"/>
      <c r="AW878" s="264"/>
      <c r="AX878" s="264"/>
      <c r="AY878" s="264"/>
      <c r="AZ878" s="264"/>
      <c r="BA878" s="264"/>
      <c r="BB878" s="264"/>
      <c r="BC878" s="264"/>
      <c r="BD878" s="264"/>
    </row>
    <row r="879">
      <c r="A879" s="264"/>
      <c r="B879" s="264"/>
      <c r="C879" s="264"/>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c r="AA879" s="264"/>
      <c r="AB879" s="264"/>
      <c r="AC879" s="264"/>
      <c r="AD879" s="264"/>
      <c r="AE879" s="264"/>
      <c r="AF879" s="264"/>
      <c r="AG879" s="264"/>
      <c r="AH879" s="264"/>
      <c r="AI879" s="264"/>
      <c r="AJ879" s="264"/>
      <c r="AK879" s="264"/>
      <c r="AL879" s="264"/>
      <c r="AM879" s="264"/>
      <c r="AN879" s="264"/>
      <c r="AO879" s="264"/>
      <c r="AP879" s="264"/>
      <c r="AQ879" s="264"/>
      <c r="AR879" s="264"/>
      <c r="AS879" s="264"/>
      <c r="AT879" s="264"/>
      <c r="AU879" s="264"/>
      <c r="AV879" s="264"/>
      <c r="AW879" s="264"/>
      <c r="AX879" s="264"/>
      <c r="AY879" s="264"/>
      <c r="AZ879" s="264"/>
      <c r="BA879" s="264"/>
      <c r="BB879" s="264"/>
      <c r="BC879" s="264"/>
      <c r="BD879" s="264"/>
    </row>
    <row r="880">
      <c r="A880" s="264"/>
      <c r="B880" s="264"/>
      <c r="C880" s="264"/>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c r="AA880" s="264"/>
      <c r="AB880" s="264"/>
      <c r="AC880" s="264"/>
      <c r="AD880" s="264"/>
      <c r="AE880" s="264"/>
      <c r="AF880" s="264"/>
      <c r="AG880" s="264"/>
      <c r="AH880" s="264"/>
      <c r="AI880" s="264"/>
      <c r="AJ880" s="264"/>
      <c r="AK880" s="264"/>
      <c r="AL880" s="264"/>
      <c r="AM880" s="264"/>
      <c r="AN880" s="264"/>
      <c r="AO880" s="264"/>
      <c r="AP880" s="264"/>
      <c r="AQ880" s="264"/>
      <c r="AR880" s="264"/>
      <c r="AS880" s="264"/>
      <c r="AT880" s="264"/>
      <c r="AU880" s="264"/>
      <c r="AV880" s="264"/>
      <c r="AW880" s="264"/>
      <c r="AX880" s="264"/>
      <c r="AY880" s="264"/>
      <c r="AZ880" s="264"/>
      <c r="BA880" s="264"/>
      <c r="BB880" s="264"/>
      <c r="BC880" s="264"/>
      <c r="BD880" s="264"/>
    </row>
    <row r="881">
      <c r="A881" s="264"/>
      <c r="B881" s="264"/>
      <c r="C881" s="264"/>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c r="AA881" s="264"/>
      <c r="AB881" s="264"/>
      <c r="AC881" s="264"/>
      <c r="AD881" s="264"/>
      <c r="AE881" s="264"/>
      <c r="AF881" s="264"/>
      <c r="AG881" s="264"/>
      <c r="AH881" s="264"/>
      <c r="AI881" s="264"/>
      <c r="AJ881" s="264"/>
      <c r="AK881" s="264"/>
      <c r="AL881" s="264"/>
      <c r="AM881" s="264"/>
      <c r="AN881" s="264"/>
      <c r="AO881" s="264"/>
      <c r="AP881" s="264"/>
      <c r="AQ881" s="264"/>
      <c r="AR881" s="264"/>
      <c r="AS881" s="264"/>
      <c r="AT881" s="264"/>
      <c r="AU881" s="264"/>
      <c r="AV881" s="264"/>
      <c r="AW881" s="264"/>
      <c r="AX881" s="264"/>
      <c r="AY881" s="264"/>
      <c r="AZ881" s="264"/>
      <c r="BA881" s="264"/>
      <c r="BB881" s="264"/>
      <c r="BC881" s="264"/>
      <c r="BD881" s="264"/>
    </row>
    <row r="882">
      <c r="A882" s="264"/>
      <c r="B882" s="264"/>
      <c r="C882" s="264"/>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c r="AA882" s="264"/>
      <c r="AB882" s="264"/>
      <c r="AC882" s="264"/>
      <c r="AD882" s="264"/>
      <c r="AE882" s="264"/>
      <c r="AF882" s="264"/>
      <c r="AG882" s="264"/>
      <c r="AH882" s="264"/>
      <c r="AI882" s="264"/>
      <c r="AJ882" s="264"/>
      <c r="AK882" s="264"/>
      <c r="AL882" s="264"/>
      <c r="AM882" s="264"/>
      <c r="AN882" s="264"/>
      <c r="AO882" s="264"/>
      <c r="AP882" s="264"/>
      <c r="AQ882" s="264"/>
      <c r="AR882" s="264"/>
      <c r="AS882" s="264"/>
      <c r="AT882" s="264"/>
      <c r="AU882" s="264"/>
      <c r="AV882" s="264"/>
      <c r="AW882" s="264"/>
      <c r="AX882" s="264"/>
      <c r="AY882" s="264"/>
      <c r="AZ882" s="264"/>
      <c r="BA882" s="264"/>
      <c r="BB882" s="264"/>
      <c r="BC882" s="264"/>
      <c r="BD882" s="264"/>
    </row>
    <row r="883">
      <c r="A883" s="264"/>
      <c r="B883" s="264"/>
      <c r="C883" s="264"/>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c r="AA883" s="264"/>
      <c r="AB883" s="264"/>
      <c r="AC883" s="264"/>
      <c r="AD883" s="264"/>
      <c r="AE883" s="264"/>
      <c r="AF883" s="264"/>
      <c r="AG883" s="264"/>
      <c r="AH883" s="264"/>
      <c r="AI883" s="264"/>
      <c r="AJ883" s="264"/>
      <c r="AK883" s="264"/>
      <c r="AL883" s="264"/>
      <c r="AM883" s="264"/>
      <c r="AN883" s="264"/>
      <c r="AO883" s="264"/>
      <c r="AP883" s="264"/>
      <c r="AQ883" s="264"/>
      <c r="AR883" s="264"/>
      <c r="AS883" s="264"/>
      <c r="AT883" s="264"/>
      <c r="AU883" s="264"/>
      <c r="AV883" s="264"/>
      <c r="AW883" s="264"/>
      <c r="AX883" s="264"/>
      <c r="AY883" s="264"/>
      <c r="AZ883" s="264"/>
      <c r="BA883" s="264"/>
      <c r="BB883" s="264"/>
      <c r="BC883" s="264"/>
      <c r="BD883" s="264"/>
    </row>
    <row r="884">
      <c r="A884" s="264"/>
      <c r="B884" s="264"/>
      <c r="C884" s="264"/>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c r="AA884" s="264"/>
      <c r="AB884" s="264"/>
      <c r="AC884" s="264"/>
      <c r="AD884" s="264"/>
      <c r="AE884" s="264"/>
      <c r="AF884" s="264"/>
      <c r="AG884" s="264"/>
      <c r="AH884" s="264"/>
      <c r="AI884" s="264"/>
      <c r="AJ884" s="264"/>
      <c r="AK884" s="264"/>
      <c r="AL884" s="264"/>
      <c r="AM884" s="264"/>
      <c r="AN884" s="264"/>
      <c r="AO884" s="264"/>
      <c r="AP884" s="264"/>
      <c r="AQ884" s="264"/>
      <c r="AR884" s="264"/>
      <c r="AS884" s="264"/>
      <c r="AT884" s="264"/>
      <c r="AU884" s="264"/>
      <c r="AV884" s="264"/>
      <c r="AW884" s="264"/>
      <c r="AX884" s="264"/>
      <c r="AY884" s="264"/>
      <c r="AZ884" s="264"/>
      <c r="BA884" s="264"/>
      <c r="BB884" s="264"/>
      <c r="BC884" s="264"/>
      <c r="BD884" s="264"/>
    </row>
    <row r="885">
      <c r="A885" s="264"/>
      <c r="B885" s="264"/>
      <c r="C885" s="264"/>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c r="AA885" s="264"/>
      <c r="AB885" s="264"/>
      <c r="AC885" s="264"/>
      <c r="AD885" s="264"/>
      <c r="AE885" s="264"/>
      <c r="AF885" s="264"/>
      <c r="AG885" s="264"/>
      <c r="AH885" s="264"/>
      <c r="AI885" s="264"/>
      <c r="AJ885" s="264"/>
      <c r="AK885" s="264"/>
      <c r="AL885" s="264"/>
      <c r="AM885" s="264"/>
      <c r="AN885" s="264"/>
      <c r="AO885" s="264"/>
      <c r="AP885" s="264"/>
      <c r="AQ885" s="264"/>
      <c r="AR885" s="264"/>
      <c r="AS885" s="264"/>
      <c r="AT885" s="264"/>
      <c r="AU885" s="264"/>
      <c r="AV885" s="264"/>
      <c r="AW885" s="264"/>
      <c r="AX885" s="264"/>
      <c r="AY885" s="264"/>
      <c r="AZ885" s="264"/>
      <c r="BA885" s="264"/>
      <c r="BB885" s="264"/>
      <c r="BC885" s="264"/>
      <c r="BD885" s="264"/>
    </row>
    <row r="886">
      <c r="A886" s="264"/>
      <c r="B886" s="264"/>
      <c r="C886" s="264"/>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c r="AA886" s="264"/>
      <c r="AB886" s="264"/>
      <c r="AC886" s="264"/>
      <c r="AD886" s="264"/>
      <c r="AE886" s="264"/>
      <c r="AF886" s="264"/>
      <c r="AG886" s="264"/>
      <c r="AH886" s="264"/>
      <c r="AI886" s="264"/>
      <c r="AJ886" s="264"/>
      <c r="AK886" s="264"/>
      <c r="AL886" s="264"/>
      <c r="AM886" s="264"/>
      <c r="AN886" s="264"/>
      <c r="AO886" s="264"/>
      <c r="AP886" s="264"/>
      <c r="AQ886" s="264"/>
      <c r="AR886" s="264"/>
      <c r="AS886" s="264"/>
      <c r="AT886" s="264"/>
      <c r="AU886" s="264"/>
      <c r="AV886" s="264"/>
      <c r="AW886" s="264"/>
      <c r="AX886" s="264"/>
      <c r="AY886" s="264"/>
      <c r="AZ886" s="264"/>
      <c r="BA886" s="264"/>
      <c r="BB886" s="264"/>
      <c r="BC886" s="264"/>
      <c r="BD886" s="264"/>
    </row>
    <row r="887">
      <c r="A887" s="264"/>
      <c r="B887" s="264"/>
      <c r="C887" s="264"/>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c r="AA887" s="264"/>
      <c r="AB887" s="264"/>
      <c r="AC887" s="264"/>
      <c r="AD887" s="264"/>
      <c r="AE887" s="264"/>
      <c r="AF887" s="264"/>
      <c r="AG887" s="264"/>
      <c r="AH887" s="264"/>
      <c r="AI887" s="264"/>
      <c r="AJ887" s="264"/>
      <c r="AK887" s="264"/>
      <c r="AL887" s="264"/>
      <c r="AM887" s="264"/>
      <c r="AN887" s="264"/>
      <c r="AO887" s="264"/>
      <c r="AP887" s="264"/>
      <c r="AQ887" s="264"/>
      <c r="AR887" s="264"/>
      <c r="AS887" s="264"/>
      <c r="AT887" s="264"/>
      <c r="AU887" s="264"/>
      <c r="AV887" s="264"/>
      <c r="AW887" s="264"/>
      <c r="AX887" s="264"/>
      <c r="AY887" s="264"/>
      <c r="AZ887" s="264"/>
      <c r="BA887" s="264"/>
      <c r="BB887" s="264"/>
      <c r="BC887" s="264"/>
      <c r="BD887" s="264"/>
    </row>
    <row r="888">
      <c r="A888" s="264"/>
      <c r="B888" s="264"/>
      <c r="C888" s="264"/>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c r="AA888" s="264"/>
      <c r="AB888" s="264"/>
      <c r="AC888" s="264"/>
      <c r="AD888" s="264"/>
      <c r="AE888" s="264"/>
      <c r="AF888" s="264"/>
      <c r="AG888" s="264"/>
      <c r="AH888" s="264"/>
      <c r="AI888" s="264"/>
      <c r="AJ888" s="264"/>
      <c r="AK888" s="264"/>
      <c r="AL888" s="264"/>
      <c r="AM888" s="264"/>
      <c r="AN888" s="264"/>
      <c r="AO888" s="264"/>
      <c r="AP888" s="264"/>
      <c r="AQ888" s="264"/>
      <c r="AR888" s="264"/>
      <c r="AS888" s="264"/>
      <c r="AT888" s="264"/>
      <c r="AU888" s="264"/>
      <c r="AV888" s="264"/>
      <c r="AW888" s="264"/>
      <c r="AX888" s="264"/>
      <c r="AY888" s="264"/>
      <c r="AZ888" s="264"/>
      <c r="BA888" s="264"/>
      <c r="BB888" s="264"/>
      <c r="BC888" s="264"/>
      <c r="BD888" s="264"/>
    </row>
    <row r="889">
      <c r="A889" s="264"/>
      <c r="B889" s="264"/>
      <c r="C889" s="264"/>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c r="AA889" s="264"/>
      <c r="AB889" s="264"/>
      <c r="AC889" s="264"/>
      <c r="AD889" s="264"/>
      <c r="AE889" s="264"/>
      <c r="AF889" s="264"/>
      <c r="AG889" s="264"/>
      <c r="AH889" s="264"/>
      <c r="AI889" s="264"/>
      <c r="AJ889" s="264"/>
      <c r="AK889" s="264"/>
      <c r="AL889" s="264"/>
      <c r="AM889" s="264"/>
      <c r="AN889" s="264"/>
      <c r="AO889" s="264"/>
      <c r="AP889" s="264"/>
      <c r="AQ889" s="264"/>
      <c r="AR889" s="264"/>
      <c r="AS889" s="264"/>
      <c r="AT889" s="264"/>
      <c r="AU889" s="264"/>
      <c r="AV889" s="264"/>
      <c r="AW889" s="264"/>
      <c r="AX889" s="264"/>
      <c r="AY889" s="264"/>
      <c r="AZ889" s="264"/>
      <c r="BA889" s="264"/>
      <c r="BB889" s="264"/>
      <c r="BC889" s="264"/>
      <c r="BD889" s="264"/>
    </row>
    <row r="890">
      <c r="A890" s="264"/>
      <c r="B890" s="264"/>
      <c r="C890" s="264"/>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c r="AA890" s="264"/>
      <c r="AB890" s="264"/>
      <c r="AC890" s="264"/>
      <c r="AD890" s="264"/>
      <c r="AE890" s="264"/>
      <c r="AF890" s="264"/>
      <c r="AG890" s="264"/>
      <c r="AH890" s="264"/>
      <c r="AI890" s="264"/>
      <c r="AJ890" s="264"/>
      <c r="AK890" s="264"/>
      <c r="AL890" s="264"/>
      <c r="AM890" s="264"/>
      <c r="AN890" s="264"/>
      <c r="AO890" s="264"/>
      <c r="AP890" s="264"/>
      <c r="AQ890" s="264"/>
      <c r="AR890" s="264"/>
      <c r="AS890" s="264"/>
      <c r="AT890" s="264"/>
      <c r="AU890" s="264"/>
      <c r="AV890" s="264"/>
      <c r="AW890" s="264"/>
      <c r="AX890" s="264"/>
      <c r="AY890" s="264"/>
      <c r="AZ890" s="264"/>
      <c r="BA890" s="264"/>
      <c r="BB890" s="264"/>
      <c r="BC890" s="264"/>
      <c r="BD890" s="264"/>
    </row>
    <row r="891">
      <c r="A891" s="264"/>
      <c r="B891" s="264"/>
      <c r="C891" s="264"/>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c r="AA891" s="264"/>
      <c r="AB891" s="264"/>
      <c r="AC891" s="264"/>
      <c r="AD891" s="264"/>
      <c r="AE891" s="264"/>
      <c r="AF891" s="264"/>
      <c r="AG891" s="264"/>
      <c r="AH891" s="264"/>
      <c r="AI891" s="264"/>
      <c r="AJ891" s="264"/>
      <c r="AK891" s="264"/>
      <c r="AL891" s="264"/>
      <c r="AM891" s="264"/>
      <c r="AN891" s="264"/>
      <c r="AO891" s="264"/>
      <c r="AP891" s="264"/>
      <c r="AQ891" s="264"/>
      <c r="AR891" s="264"/>
      <c r="AS891" s="264"/>
      <c r="AT891" s="264"/>
      <c r="AU891" s="264"/>
      <c r="AV891" s="264"/>
      <c r="AW891" s="264"/>
      <c r="AX891" s="264"/>
      <c r="AY891" s="264"/>
      <c r="AZ891" s="264"/>
      <c r="BA891" s="264"/>
      <c r="BB891" s="264"/>
      <c r="BC891" s="264"/>
      <c r="BD891" s="264"/>
    </row>
    <row r="892">
      <c r="A892" s="264"/>
      <c r="B892" s="264"/>
      <c r="C892" s="264"/>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c r="AA892" s="264"/>
      <c r="AB892" s="264"/>
      <c r="AC892" s="264"/>
      <c r="AD892" s="264"/>
      <c r="AE892" s="264"/>
      <c r="AF892" s="264"/>
      <c r="AG892" s="264"/>
      <c r="AH892" s="264"/>
      <c r="AI892" s="264"/>
      <c r="AJ892" s="264"/>
      <c r="AK892" s="264"/>
      <c r="AL892" s="264"/>
      <c r="AM892" s="264"/>
      <c r="AN892" s="264"/>
      <c r="AO892" s="264"/>
      <c r="AP892" s="264"/>
      <c r="AQ892" s="264"/>
      <c r="AR892" s="264"/>
      <c r="AS892" s="264"/>
      <c r="AT892" s="264"/>
      <c r="AU892" s="264"/>
      <c r="AV892" s="264"/>
      <c r="AW892" s="264"/>
      <c r="AX892" s="264"/>
      <c r="AY892" s="264"/>
      <c r="AZ892" s="264"/>
      <c r="BA892" s="264"/>
      <c r="BB892" s="264"/>
      <c r="BC892" s="264"/>
      <c r="BD892" s="264"/>
    </row>
    <row r="893">
      <c r="A893" s="264"/>
      <c r="B893" s="264"/>
      <c r="C893" s="264"/>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c r="AA893" s="264"/>
      <c r="AB893" s="264"/>
      <c r="AC893" s="264"/>
      <c r="AD893" s="264"/>
      <c r="AE893" s="264"/>
      <c r="AF893" s="264"/>
      <c r="AG893" s="264"/>
      <c r="AH893" s="264"/>
      <c r="AI893" s="264"/>
      <c r="AJ893" s="264"/>
      <c r="AK893" s="264"/>
      <c r="AL893" s="264"/>
      <c r="AM893" s="264"/>
      <c r="AN893" s="264"/>
      <c r="AO893" s="264"/>
      <c r="AP893" s="264"/>
      <c r="AQ893" s="264"/>
      <c r="AR893" s="264"/>
      <c r="AS893" s="264"/>
      <c r="AT893" s="264"/>
      <c r="AU893" s="264"/>
      <c r="AV893" s="264"/>
      <c r="AW893" s="264"/>
      <c r="AX893" s="264"/>
      <c r="AY893" s="264"/>
      <c r="AZ893" s="264"/>
      <c r="BA893" s="264"/>
      <c r="BB893" s="264"/>
      <c r="BC893" s="264"/>
      <c r="BD893" s="264"/>
    </row>
    <row r="894">
      <c r="A894" s="264"/>
      <c r="B894" s="264"/>
      <c r="C894" s="264"/>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c r="AA894" s="264"/>
      <c r="AB894" s="264"/>
      <c r="AC894" s="264"/>
      <c r="AD894" s="264"/>
      <c r="AE894" s="264"/>
      <c r="AF894" s="264"/>
      <c r="AG894" s="264"/>
      <c r="AH894" s="264"/>
      <c r="AI894" s="264"/>
      <c r="AJ894" s="264"/>
      <c r="AK894" s="264"/>
      <c r="AL894" s="264"/>
      <c r="AM894" s="264"/>
      <c r="AN894" s="264"/>
      <c r="AO894" s="264"/>
      <c r="AP894" s="264"/>
      <c r="AQ894" s="264"/>
      <c r="AR894" s="264"/>
      <c r="AS894" s="264"/>
      <c r="AT894" s="264"/>
      <c r="AU894" s="264"/>
      <c r="AV894" s="264"/>
      <c r="AW894" s="264"/>
      <c r="AX894" s="264"/>
      <c r="AY894" s="264"/>
      <c r="AZ894" s="264"/>
      <c r="BA894" s="264"/>
      <c r="BB894" s="264"/>
      <c r="BC894" s="264"/>
      <c r="BD894" s="264"/>
    </row>
    <row r="895">
      <c r="A895" s="264"/>
      <c r="B895" s="264"/>
      <c r="C895" s="264"/>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c r="AA895" s="264"/>
      <c r="AB895" s="264"/>
      <c r="AC895" s="264"/>
      <c r="AD895" s="264"/>
      <c r="AE895" s="264"/>
      <c r="AF895" s="264"/>
      <c r="AG895" s="264"/>
      <c r="AH895" s="264"/>
      <c r="AI895" s="264"/>
      <c r="AJ895" s="264"/>
      <c r="AK895" s="264"/>
      <c r="AL895" s="264"/>
      <c r="AM895" s="264"/>
      <c r="AN895" s="264"/>
      <c r="AO895" s="264"/>
      <c r="AP895" s="264"/>
      <c r="AQ895" s="264"/>
      <c r="AR895" s="264"/>
      <c r="AS895" s="264"/>
      <c r="AT895" s="264"/>
      <c r="AU895" s="264"/>
      <c r="AV895" s="264"/>
      <c r="AW895" s="264"/>
      <c r="AX895" s="264"/>
      <c r="AY895" s="264"/>
      <c r="AZ895" s="264"/>
      <c r="BA895" s="264"/>
      <c r="BB895" s="264"/>
      <c r="BC895" s="264"/>
      <c r="BD895" s="264"/>
    </row>
    <row r="896">
      <c r="A896" s="264"/>
      <c r="B896" s="264"/>
      <c r="C896" s="264"/>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c r="AA896" s="264"/>
      <c r="AB896" s="264"/>
      <c r="AC896" s="264"/>
      <c r="AD896" s="264"/>
      <c r="AE896" s="264"/>
      <c r="AF896" s="264"/>
      <c r="AG896" s="264"/>
      <c r="AH896" s="264"/>
      <c r="AI896" s="264"/>
      <c r="AJ896" s="264"/>
      <c r="AK896" s="264"/>
      <c r="AL896" s="264"/>
      <c r="AM896" s="264"/>
      <c r="AN896" s="264"/>
      <c r="AO896" s="264"/>
      <c r="AP896" s="264"/>
      <c r="AQ896" s="264"/>
      <c r="AR896" s="264"/>
      <c r="AS896" s="264"/>
      <c r="AT896" s="264"/>
      <c r="AU896" s="264"/>
      <c r="AV896" s="264"/>
      <c r="AW896" s="264"/>
      <c r="AX896" s="264"/>
      <c r="AY896" s="264"/>
      <c r="AZ896" s="264"/>
      <c r="BA896" s="264"/>
      <c r="BB896" s="264"/>
      <c r="BC896" s="264"/>
      <c r="BD896" s="264"/>
    </row>
    <row r="897">
      <c r="A897" s="264"/>
      <c r="B897" s="264"/>
      <c r="C897" s="264"/>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c r="AA897" s="264"/>
      <c r="AB897" s="264"/>
      <c r="AC897" s="264"/>
      <c r="AD897" s="264"/>
      <c r="AE897" s="264"/>
      <c r="AF897" s="264"/>
      <c r="AG897" s="264"/>
      <c r="AH897" s="264"/>
      <c r="AI897" s="264"/>
      <c r="AJ897" s="264"/>
      <c r="AK897" s="264"/>
      <c r="AL897" s="264"/>
      <c r="AM897" s="264"/>
      <c r="AN897" s="264"/>
      <c r="AO897" s="264"/>
      <c r="AP897" s="264"/>
      <c r="AQ897" s="264"/>
      <c r="AR897" s="264"/>
      <c r="AS897" s="264"/>
      <c r="AT897" s="264"/>
      <c r="AU897" s="264"/>
      <c r="AV897" s="264"/>
      <c r="AW897" s="264"/>
      <c r="AX897" s="264"/>
      <c r="AY897" s="264"/>
      <c r="AZ897" s="264"/>
      <c r="BA897" s="264"/>
      <c r="BB897" s="264"/>
      <c r="BC897" s="264"/>
      <c r="BD897" s="264"/>
    </row>
    <row r="898">
      <c r="A898" s="264"/>
      <c r="B898" s="264"/>
      <c r="C898" s="264"/>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c r="AA898" s="264"/>
      <c r="AB898" s="264"/>
      <c r="AC898" s="264"/>
      <c r="AD898" s="264"/>
      <c r="AE898" s="264"/>
      <c r="AF898" s="264"/>
      <c r="AG898" s="264"/>
      <c r="AH898" s="264"/>
      <c r="AI898" s="264"/>
      <c r="AJ898" s="264"/>
      <c r="AK898" s="264"/>
      <c r="AL898" s="264"/>
      <c r="AM898" s="264"/>
      <c r="AN898" s="264"/>
      <c r="AO898" s="264"/>
      <c r="AP898" s="264"/>
      <c r="AQ898" s="264"/>
      <c r="AR898" s="264"/>
      <c r="AS898" s="264"/>
      <c r="AT898" s="264"/>
      <c r="AU898" s="264"/>
      <c r="AV898" s="264"/>
      <c r="AW898" s="264"/>
      <c r="AX898" s="264"/>
      <c r="AY898" s="264"/>
      <c r="AZ898" s="264"/>
      <c r="BA898" s="264"/>
      <c r="BB898" s="264"/>
      <c r="BC898" s="264"/>
      <c r="BD898" s="264"/>
    </row>
    <row r="899">
      <c r="A899" s="264"/>
      <c r="B899" s="264"/>
      <c r="C899" s="264"/>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c r="AA899" s="264"/>
      <c r="AB899" s="264"/>
      <c r="AC899" s="264"/>
      <c r="AD899" s="264"/>
      <c r="AE899" s="264"/>
      <c r="AF899" s="264"/>
      <c r="AG899" s="264"/>
      <c r="AH899" s="264"/>
      <c r="AI899" s="264"/>
      <c r="AJ899" s="264"/>
      <c r="AK899" s="264"/>
      <c r="AL899" s="264"/>
      <c r="AM899" s="264"/>
      <c r="AN899" s="264"/>
      <c r="AO899" s="264"/>
      <c r="AP899" s="264"/>
      <c r="AQ899" s="264"/>
      <c r="AR899" s="264"/>
      <c r="AS899" s="264"/>
      <c r="AT899" s="264"/>
      <c r="AU899" s="264"/>
      <c r="AV899" s="264"/>
      <c r="AW899" s="264"/>
      <c r="AX899" s="264"/>
      <c r="AY899" s="264"/>
      <c r="AZ899" s="264"/>
      <c r="BA899" s="264"/>
      <c r="BB899" s="264"/>
      <c r="BC899" s="264"/>
      <c r="BD899" s="264"/>
    </row>
    <row r="900">
      <c r="A900" s="264"/>
      <c r="B900" s="264"/>
      <c r="C900" s="264"/>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c r="AA900" s="264"/>
      <c r="AB900" s="264"/>
      <c r="AC900" s="264"/>
      <c r="AD900" s="264"/>
      <c r="AE900" s="264"/>
      <c r="AF900" s="264"/>
      <c r="AG900" s="264"/>
      <c r="AH900" s="264"/>
      <c r="AI900" s="264"/>
      <c r="AJ900" s="264"/>
      <c r="AK900" s="264"/>
      <c r="AL900" s="264"/>
      <c r="AM900" s="264"/>
      <c r="AN900" s="264"/>
      <c r="AO900" s="264"/>
      <c r="AP900" s="264"/>
      <c r="AQ900" s="264"/>
      <c r="AR900" s="264"/>
      <c r="AS900" s="264"/>
      <c r="AT900" s="264"/>
      <c r="AU900" s="264"/>
      <c r="AV900" s="264"/>
      <c r="AW900" s="264"/>
      <c r="AX900" s="264"/>
      <c r="AY900" s="264"/>
      <c r="AZ900" s="264"/>
      <c r="BA900" s="264"/>
      <c r="BB900" s="264"/>
      <c r="BC900" s="264"/>
      <c r="BD900" s="264"/>
    </row>
    <row r="901">
      <c r="A901" s="264"/>
      <c r="B901" s="264"/>
      <c r="C901" s="264"/>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c r="AA901" s="264"/>
      <c r="AB901" s="264"/>
      <c r="AC901" s="264"/>
      <c r="AD901" s="264"/>
      <c r="AE901" s="264"/>
      <c r="AF901" s="264"/>
      <c r="AG901" s="264"/>
      <c r="AH901" s="264"/>
      <c r="AI901" s="264"/>
      <c r="AJ901" s="264"/>
      <c r="AK901" s="264"/>
      <c r="AL901" s="264"/>
      <c r="AM901" s="264"/>
      <c r="AN901" s="264"/>
      <c r="AO901" s="264"/>
      <c r="AP901" s="264"/>
      <c r="AQ901" s="264"/>
      <c r="AR901" s="264"/>
      <c r="AS901" s="264"/>
      <c r="AT901" s="264"/>
      <c r="AU901" s="264"/>
      <c r="AV901" s="264"/>
      <c r="AW901" s="264"/>
      <c r="AX901" s="264"/>
      <c r="AY901" s="264"/>
      <c r="AZ901" s="264"/>
      <c r="BA901" s="264"/>
      <c r="BB901" s="264"/>
      <c r="BC901" s="264"/>
      <c r="BD901" s="264"/>
    </row>
    <row r="902">
      <c r="A902" s="264"/>
      <c r="B902" s="264"/>
      <c r="C902" s="264"/>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c r="AA902" s="264"/>
      <c r="AB902" s="264"/>
      <c r="AC902" s="264"/>
      <c r="AD902" s="264"/>
      <c r="AE902" s="264"/>
      <c r="AF902" s="264"/>
      <c r="AG902" s="264"/>
      <c r="AH902" s="264"/>
      <c r="AI902" s="264"/>
      <c r="AJ902" s="264"/>
      <c r="AK902" s="264"/>
      <c r="AL902" s="264"/>
      <c r="AM902" s="264"/>
      <c r="AN902" s="264"/>
      <c r="AO902" s="264"/>
      <c r="AP902" s="264"/>
      <c r="AQ902" s="264"/>
      <c r="AR902" s="264"/>
      <c r="AS902" s="264"/>
      <c r="AT902" s="264"/>
      <c r="AU902" s="264"/>
      <c r="AV902" s="264"/>
      <c r="AW902" s="264"/>
      <c r="AX902" s="264"/>
      <c r="AY902" s="264"/>
      <c r="AZ902" s="264"/>
      <c r="BA902" s="264"/>
      <c r="BB902" s="264"/>
      <c r="BC902" s="264"/>
      <c r="BD902" s="264"/>
    </row>
    <row r="903">
      <c r="A903" s="264"/>
      <c r="B903" s="264"/>
      <c r="C903" s="264"/>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c r="AA903" s="264"/>
      <c r="AB903" s="264"/>
      <c r="AC903" s="264"/>
      <c r="AD903" s="264"/>
      <c r="AE903" s="264"/>
      <c r="AF903" s="264"/>
      <c r="AG903" s="264"/>
      <c r="AH903" s="264"/>
      <c r="AI903" s="264"/>
      <c r="AJ903" s="264"/>
      <c r="AK903" s="264"/>
      <c r="AL903" s="264"/>
      <c r="AM903" s="264"/>
      <c r="AN903" s="264"/>
      <c r="AO903" s="264"/>
      <c r="AP903" s="264"/>
      <c r="AQ903" s="264"/>
      <c r="AR903" s="264"/>
      <c r="AS903" s="264"/>
      <c r="AT903" s="264"/>
      <c r="AU903" s="264"/>
      <c r="AV903" s="264"/>
      <c r="AW903" s="264"/>
      <c r="AX903" s="264"/>
      <c r="AY903" s="264"/>
      <c r="AZ903" s="264"/>
      <c r="BA903" s="264"/>
      <c r="BB903" s="264"/>
      <c r="BC903" s="264"/>
      <c r="BD903" s="264"/>
    </row>
    <row r="904">
      <c r="A904" s="264"/>
      <c r="B904" s="264"/>
      <c r="C904" s="264"/>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c r="AA904" s="264"/>
      <c r="AB904" s="264"/>
      <c r="AC904" s="264"/>
      <c r="AD904" s="264"/>
      <c r="AE904" s="264"/>
      <c r="AF904" s="264"/>
      <c r="AG904" s="264"/>
      <c r="AH904" s="264"/>
      <c r="AI904" s="264"/>
      <c r="AJ904" s="264"/>
      <c r="AK904" s="264"/>
      <c r="AL904" s="264"/>
      <c r="AM904" s="264"/>
      <c r="AN904" s="264"/>
      <c r="AO904" s="264"/>
      <c r="AP904" s="264"/>
      <c r="AQ904" s="264"/>
      <c r="AR904" s="264"/>
      <c r="AS904" s="264"/>
      <c r="AT904" s="264"/>
      <c r="AU904" s="264"/>
      <c r="AV904" s="264"/>
      <c r="AW904" s="264"/>
      <c r="AX904" s="264"/>
      <c r="AY904" s="264"/>
      <c r="AZ904" s="264"/>
      <c r="BA904" s="264"/>
      <c r="BB904" s="264"/>
      <c r="BC904" s="264"/>
      <c r="BD904" s="264"/>
    </row>
    <row r="905">
      <c r="A905" s="264"/>
      <c r="B905" s="264"/>
      <c r="C905" s="264"/>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c r="AA905" s="264"/>
      <c r="AB905" s="264"/>
      <c r="AC905" s="264"/>
      <c r="AD905" s="264"/>
      <c r="AE905" s="264"/>
      <c r="AF905" s="264"/>
      <c r="AG905" s="264"/>
      <c r="AH905" s="264"/>
      <c r="AI905" s="264"/>
      <c r="AJ905" s="264"/>
      <c r="AK905" s="264"/>
      <c r="AL905" s="264"/>
      <c r="AM905" s="264"/>
      <c r="AN905" s="264"/>
      <c r="AO905" s="264"/>
      <c r="AP905" s="264"/>
      <c r="AQ905" s="264"/>
      <c r="AR905" s="264"/>
      <c r="AS905" s="264"/>
      <c r="AT905" s="264"/>
      <c r="AU905" s="264"/>
      <c r="AV905" s="264"/>
      <c r="AW905" s="264"/>
      <c r="AX905" s="264"/>
      <c r="AY905" s="264"/>
      <c r="AZ905" s="264"/>
      <c r="BA905" s="264"/>
      <c r="BB905" s="264"/>
      <c r="BC905" s="264"/>
      <c r="BD905" s="264"/>
    </row>
    <row r="906">
      <c r="A906" s="264"/>
      <c r="B906" s="264"/>
      <c r="C906" s="264"/>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c r="AA906" s="264"/>
      <c r="AB906" s="264"/>
      <c r="AC906" s="264"/>
      <c r="AD906" s="264"/>
      <c r="AE906" s="264"/>
      <c r="AF906" s="264"/>
      <c r="AG906" s="264"/>
      <c r="AH906" s="264"/>
      <c r="AI906" s="264"/>
      <c r="AJ906" s="264"/>
      <c r="AK906" s="264"/>
      <c r="AL906" s="264"/>
      <c r="AM906" s="264"/>
      <c r="AN906" s="264"/>
      <c r="AO906" s="264"/>
      <c r="AP906" s="264"/>
      <c r="AQ906" s="264"/>
      <c r="AR906" s="264"/>
      <c r="AS906" s="264"/>
      <c r="AT906" s="264"/>
      <c r="AU906" s="264"/>
      <c r="AV906" s="264"/>
      <c r="AW906" s="264"/>
      <c r="AX906" s="264"/>
      <c r="AY906" s="264"/>
      <c r="AZ906" s="264"/>
      <c r="BA906" s="264"/>
      <c r="BB906" s="264"/>
      <c r="BC906" s="264"/>
      <c r="BD906" s="264"/>
    </row>
    <row r="907">
      <c r="A907" s="264"/>
      <c r="B907" s="264"/>
      <c r="C907" s="264"/>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c r="AA907" s="264"/>
      <c r="AB907" s="264"/>
      <c r="AC907" s="264"/>
      <c r="AD907" s="264"/>
      <c r="AE907" s="264"/>
      <c r="AF907" s="264"/>
      <c r="AG907" s="264"/>
      <c r="AH907" s="264"/>
      <c r="AI907" s="264"/>
      <c r="AJ907" s="264"/>
      <c r="AK907" s="264"/>
      <c r="AL907" s="264"/>
      <c r="AM907" s="264"/>
      <c r="AN907" s="264"/>
      <c r="AO907" s="264"/>
      <c r="AP907" s="264"/>
      <c r="AQ907" s="264"/>
      <c r="AR907" s="264"/>
      <c r="AS907" s="264"/>
      <c r="AT907" s="264"/>
      <c r="AU907" s="264"/>
      <c r="AV907" s="264"/>
      <c r="AW907" s="264"/>
      <c r="AX907" s="264"/>
      <c r="AY907" s="264"/>
      <c r="AZ907" s="264"/>
      <c r="BA907" s="264"/>
      <c r="BB907" s="264"/>
      <c r="BC907" s="264"/>
      <c r="BD907" s="264"/>
    </row>
    <row r="908">
      <c r="A908" s="264"/>
      <c r="B908" s="264"/>
      <c r="C908" s="264"/>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c r="AA908" s="264"/>
      <c r="AB908" s="264"/>
      <c r="AC908" s="264"/>
      <c r="AD908" s="264"/>
      <c r="AE908" s="264"/>
      <c r="AF908" s="264"/>
      <c r="AG908" s="264"/>
      <c r="AH908" s="264"/>
      <c r="AI908" s="264"/>
      <c r="AJ908" s="264"/>
      <c r="AK908" s="264"/>
      <c r="AL908" s="264"/>
      <c r="AM908" s="264"/>
      <c r="AN908" s="264"/>
      <c r="AO908" s="264"/>
      <c r="AP908" s="264"/>
      <c r="AQ908" s="264"/>
      <c r="AR908" s="264"/>
      <c r="AS908" s="264"/>
      <c r="AT908" s="264"/>
      <c r="AU908" s="264"/>
      <c r="AV908" s="264"/>
      <c r="AW908" s="264"/>
      <c r="AX908" s="264"/>
      <c r="AY908" s="264"/>
      <c r="AZ908" s="264"/>
      <c r="BA908" s="264"/>
      <c r="BB908" s="264"/>
      <c r="BC908" s="264"/>
      <c r="BD908" s="264"/>
    </row>
    <row r="909">
      <c r="A909" s="264"/>
      <c r="B909" s="264"/>
      <c r="C909" s="264"/>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c r="AA909" s="264"/>
      <c r="AB909" s="264"/>
      <c r="AC909" s="264"/>
      <c r="AD909" s="264"/>
      <c r="AE909" s="264"/>
      <c r="AF909" s="264"/>
      <c r="AG909" s="264"/>
      <c r="AH909" s="264"/>
      <c r="AI909" s="264"/>
      <c r="AJ909" s="264"/>
      <c r="AK909" s="264"/>
      <c r="AL909" s="264"/>
      <c r="AM909" s="264"/>
      <c r="AN909" s="264"/>
      <c r="AO909" s="264"/>
      <c r="AP909" s="264"/>
      <c r="AQ909" s="264"/>
      <c r="AR909" s="264"/>
      <c r="AS909" s="264"/>
      <c r="AT909" s="264"/>
      <c r="AU909" s="264"/>
      <c r="AV909" s="264"/>
      <c r="AW909" s="264"/>
      <c r="AX909" s="264"/>
      <c r="AY909" s="264"/>
      <c r="AZ909" s="264"/>
      <c r="BA909" s="264"/>
      <c r="BB909" s="264"/>
      <c r="BC909" s="264"/>
      <c r="BD909" s="264"/>
    </row>
    <row r="910">
      <c r="A910" s="264"/>
      <c r="B910" s="264"/>
      <c r="C910" s="264"/>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c r="AA910" s="264"/>
      <c r="AB910" s="264"/>
      <c r="AC910" s="264"/>
      <c r="AD910" s="264"/>
      <c r="AE910" s="264"/>
      <c r="AF910" s="264"/>
      <c r="AG910" s="264"/>
      <c r="AH910" s="264"/>
      <c r="AI910" s="264"/>
      <c r="AJ910" s="264"/>
      <c r="AK910" s="264"/>
      <c r="AL910" s="264"/>
      <c r="AM910" s="264"/>
      <c r="AN910" s="264"/>
      <c r="AO910" s="264"/>
      <c r="AP910" s="264"/>
      <c r="AQ910" s="264"/>
      <c r="AR910" s="264"/>
      <c r="AS910" s="264"/>
      <c r="AT910" s="264"/>
      <c r="AU910" s="264"/>
      <c r="AV910" s="264"/>
      <c r="AW910" s="264"/>
      <c r="AX910" s="264"/>
      <c r="AY910" s="264"/>
      <c r="AZ910" s="264"/>
      <c r="BA910" s="264"/>
      <c r="BB910" s="264"/>
      <c r="BC910" s="264"/>
      <c r="BD910" s="264"/>
    </row>
    <row r="911">
      <c r="A911" s="264"/>
      <c r="B911" s="264"/>
      <c r="C911" s="264"/>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c r="AA911" s="264"/>
      <c r="AB911" s="264"/>
      <c r="AC911" s="264"/>
      <c r="AD911" s="264"/>
      <c r="AE911" s="264"/>
      <c r="AF911" s="264"/>
      <c r="AG911" s="264"/>
      <c r="AH911" s="264"/>
      <c r="AI911" s="264"/>
      <c r="AJ911" s="264"/>
      <c r="AK911" s="264"/>
      <c r="AL911" s="264"/>
      <c r="AM911" s="264"/>
      <c r="AN911" s="264"/>
      <c r="AO911" s="264"/>
      <c r="AP911" s="264"/>
      <c r="AQ911" s="264"/>
      <c r="AR911" s="264"/>
      <c r="AS911" s="264"/>
      <c r="AT911" s="264"/>
      <c r="AU911" s="264"/>
      <c r="AV911" s="264"/>
      <c r="AW911" s="264"/>
      <c r="AX911" s="264"/>
      <c r="AY911" s="264"/>
      <c r="AZ911" s="264"/>
      <c r="BA911" s="264"/>
      <c r="BB911" s="264"/>
      <c r="BC911" s="264"/>
      <c r="BD911" s="264"/>
    </row>
    <row r="912">
      <c r="A912" s="264"/>
      <c r="B912" s="264"/>
      <c r="C912" s="264"/>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c r="AA912" s="264"/>
      <c r="AB912" s="264"/>
      <c r="AC912" s="264"/>
      <c r="AD912" s="264"/>
      <c r="AE912" s="264"/>
      <c r="AF912" s="264"/>
      <c r="AG912" s="264"/>
      <c r="AH912" s="264"/>
      <c r="AI912" s="264"/>
      <c r="AJ912" s="264"/>
      <c r="AK912" s="264"/>
      <c r="AL912" s="264"/>
      <c r="AM912" s="264"/>
      <c r="AN912" s="264"/>
      <c r="AO912" s="264"/>
      <c r="AP912" s="264"/>
      <c r="AQ912" s="264"/>
      <c r="AR912" s="264"/>
      <c r="AS912" s="264"/>
      <c r="AT912" s="264"/>
      <c r="AU912" s="264"/>
      <c r="AV912" s="264"/>
      <c r="AW912" s="264"/>
      <c r="AX912" s="264"/>
      <c r="AY912" s="264"/>
      <c r="AZ912" s="264"/>
      <c r="BA912" s="264"/>
      <c r="BB912" s="264"/>
      <c r="BC912" s="264"/>
      <c r="BD912" s="264"/>
    </row>
    <row r="913">
      <c r="A913" s="264"/>
      <c r="B913" s="264"/>
      <c r="C913" s="264"/>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c r="AA913" s="264"/>
      <c r="AB913" s="264"/>
      <c r="AC913" s="264"/>
      <c r="AD913" s="264"/>
      <c r="AE913" s="264"/>
      <c r="AF913" s="264"/>
      <c r="AG913" s="264"/>
      <c r="AH913" s="264"/>
      <c r="AI913" s="264"/>
      <c r="AJ913" s="264"/>
      <c r="AK913" s="264"/>
      <c r="AL913" s="264"/>
      <c r="AM913" s="264"/>
      <c r="AN913" s="264"/>
      <c r="AO913" s="264"/>
      <c r="AP913" s="264"/>
      <c r="AQ913" s="264"/>
      <c r="AR913" s="264"/>
      <c r="AS913" s="264"/>
      <c r="AT913" s="264"/>
      <c r="AU913" s="264"/>
      <c r="AV913" s="264"/>
      <c r="AW913" s="264"/>
      <c r="AX913" s="264"/>
      <c r="AY913" s="264"/>
      <c r="AZ913" s="264"/>
      <c r="BA913" s="264"/>
      <c r="BB913" s="264"/>
      <c r="BC913" s="264"/>
      <c r="BD913" s="264"/>
    </row>
    <row r="914">
      <c r="A914" s="264"/>
      <c r="B914" s="264"/>
      <c r="C914" s="264"/>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c r="AA914" s="264"/>
      <c r="AB914" s="264"/>
      <c r="AC914" s="264"/>
      <c r="AD914" s="264"/>
      <c r="AE914" s="264"/>
      <c r="AF914" s="264"/>
      <c r="AG914" s="264"/>
      <c r="AH914" s="264"/>
      <c r="AI914" s="264"/>
      <c r="AJ914" s="264"/>
      <c r="AK914" s="264"/>
      <c r="AL914" s="264"/>
      <c r="AM914" s="264"/>
      <c r="AN914" s="264"/>
      <c r="AO914" s="264"/>
      <c r="AP914" s="264"/>
      <c r="AQ914" s="264"/>
      <c r="AR914" s="264"/>
      <c r="AS914" s="264"/>
      <c r="AT914" s="264"/>
      <c r="AU914" s="264"/>
      <c r="AV914" s="264"/>
      <c r="AW914" s="264"/>
      <c r="AX914" s="264"/>
      <c r="AY914" s="264"/>
      <c r="AZ914" s="264"/>
      <c r="BA914" s="264"/>
      <c r="BB914" s="264"/>
      <c r="BC914" s="264"/>
      <c r="BD914" s="264"/>
    </row>
    <row r="915">
      <c r="A915" s="264"/>
      <c r="B915" s="264"/>
      <c r="C915" s="264"/>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c r="AA915" s="264"/>
      <c r="AB915" s="264"/>
      <c r="AC915" s="264"/>
      <c r="AD915" s="264"/>
      <c r="AE915" s="264"/>
      <c r="AF915" s="264"/>
      <c r="AG915" s="264"/>
      <c r="AH915" s="264"/>
      <c r="AI915" s="264"/>
      <c r="AJ915" s="264"/>
      <c r="AK915" s="264"/>
      <c r="AL915" s="264"/>
      <c r="AM915" s="264"/>
      <c r="AN915" s="264"/>
      <c r="AO915" s="264"/>
      <c r="AP915" s="264"/>
      <c r="AQ915" s="264"/>
      <c r="AR915" s="264"/>
      <c r="AS915" s="264"/>
      <c r="AT915" s="264"/>
      <c r="AU915" s="264"/>
      <c r="AV915" s="264"/>
      <c r="AW915" s="264"/>
      <c r="AX915" s="264"/>
      <c r="AY915" s="264"/>
      <c r="AZ915" s="264"/>
      <c r="BA915" s="264"/>
      <c r="BB915" s="264"/>
      <c r="BC915" s="264"/>
      <c r="BD915" s="264"/>
    </row>
    <row r="916">
      <c r="A916" s="264"/>
      <c r="B916" s="264"/>
      <c r="C916" s="264"/>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c r="AA916" s="264"/>
      <c r="AB916" s="264"/>
      <c r="AC916" s="264"/>
      <c r="AD916" s="264"/>
      <c r="AE916" s="264"/>
      <c r="AF916" s="264"/>
      <c r="AG916" s="264"/>
      <c r="AH916" s="264"/>
      <c r="AI916" s="264"/>
      <c r="AJ916" s="264"/>
      <c r="AK916" s="264"/>
      <c r="AL916" s="264"/>
      <c r="AM916" s="264"/>
      <c r="AN916" s="264"/>
      <c r="AO916" s="264"/>
      <c r="AP916" s="264"/>
      <c r="AQ916" s="264"/>
      <c r="AR916" s="264"/>
      <c r="AS916" s="264"/>
      <c r="AT916" s="264"/>
      <c r="AU916" s="264"/>
      <c r="AV916" s="264"/>
      <c r="AW916" s="264"/>
      <c r="AX916" s="264"/>
      <c r="AY916" s="264"/>
      <c r="AZ916" s="264"/>
      <c r="BA916" s="264"/>
      <c r="BB916" s="264"/>
      <c r="BC916" s="264"/>
      <c r="BD916" s="264"/>
    </row>
    <row r="917">
      <c r="A917" s="264"/>
      <c r="B917" s="264"/>
      <c r="C917" s="264"/>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c r="AA917" s="264"/>
      <c r="AB917" s="264"/>
      <c r="AC917" s="264"/>
      <c r="AD917" s="264"/>
      <c r="AE917" s="264"/>
      <c r="AF917" s="264"/>
      <c r="AG917" s="264"/>
      <c r="AH917" s="264"/>
      <c r="AI917" s="264"/>
      <c r="AJ917" s="264"/>
      <c r="AK917" s="264"/>
      <c r="AL917" s="264"/>
      <c r="AM917" s="264"/>
      <c r="AN917" s="264"/>
      <c r="AO917" s="264"/>
      <c r="AP917" s="264"/>
      <c r="AQ917" s="264"/>
      <c r="AR917" s="264"/>
      <c r="AS917" s="264"/>
      <c r="AT917" s="264"/>
      <c r="AU917" s="264"/>
      <c r="AV917" s="264"/>
      <c r="AW917" s="264"/>
      <c r="AX917" s="264"/>
      <c r="AY917" s="264"/>
      <c r="AZ917" s="264"/>
      <c r="BA917" s="264"/>
      <c r="BB917" s="264"/>
      <c r="BC917" s="264"/>
      <c r="BD917" s="264"/>
    </row>
    <row r="918">
      <c r="A918" s="264"/>
      <c r="B918" s="264"/>
      <c r="C918" s="264"/>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c r="AA918" s="264"/>
      <c r="AB918" s="264"/>
      <c r="AC918" s="264"/>
      <c r="AD918" s="264"/>
      <c r="AE918" s="264"/>
      <c r="AF918" s="264"/>
      <c r="AG918" s="264"/>
      <c r="AH918" s="264"/>
      <c r="AI918" s="264"/>
      <c r="AJ918" s="264"/>
      <c r="AK918" s="264"/>
      <c r="AL918" s="264"/>
      <c r="AM918" s="264"/>
      <c r="AN918" s="264"/>
      <c r="AO918" s="264"/>
      <c r="AP918" s="264"/>
      <c r="AQ918" s="264"/>
      <c r="AR918" s="264"/>
      <c r="AS918" s="264"/>
      <c r="AT918" s="264"/>
      <c r="AU918" s="264"/>
      <c r="AV918" s="264"/>
      <c r="AW918" s="264"/>
      <c r="AX918" s="264"/>
      <c r="AY918" s="264"/>
      <c r="AZ918" s="264"/>
      <c r="BA918" s="264"/>
      <c r="BB918" s="264"/>
      <c r="BC918" s="264"/>
      <c r="BD918" s="264"/>
    </row>
    <row r="919">
      <c r="A919" s="264"/>
      <c r="B919" s="264"/>
      <c r="C919" s="264"/>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c r="AA919" s="264"/>
      <c r="AB919" s="264"/>
      <c r="AC919" s="264"/>
      <c r="AD919" s="264"/>
      <c r="AE919" s="264"/>
      <c r="AF919" s="264"/>
      <c r="AG919" s="264"/>
      <c r="AH919" s="264"/>
      <c r="AI919" s="264"/>
      <c r="AJ919" s="264"/>
      <c r="AK919" s="264"/>
      <c r="AL919" s="264"/>
      <c r="AM919" s="264"/>
      <c r="AN919" s="264"/>
      <c r="AO919" s="264"/>
      <c r="AP919" s="264"/>
      <c r="AQ919" s="264"/>
      <c r="AR919" s="264"/>
      <c r="AS919" s="264"/>
      <c r="AT919" s="264"/>
      <c r="AU919" s="264"/>
      <c r="AV919" s="264"/>
      <c r="AW919" s="264"/>
      <c r="AX919" s="264"/>
      <c r="AY919" s="264"/>
      <c r="AZ919" s="264"/>
      <c r="BA919" s="264"/>
      <c r="BB919" s="264"/>
      <c r="BC919" s="264"/>
      <c r="BD919" s="264"/>
    </row>
    <row r="920">
      <c r="A920" s="264"/>
      <c r="B920" s="264"/>
      <c r="C920" s="264"/>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c r="AA920" s="264"/>
      <c r="AB920" s="264"/>
      <c r="AC920" s="264"/>
      <c r="AD920" s="264"/>
      <c r="AE920" s="264"/>
      <c r="AF920" s="264"/>
      <c r="AG920" s="264"/>
      <c r="AH920" s="264"/>
      <c r="AI920" s="264"/>
      <c r="AJ920" s="264"/>
      <c r="AK920" s="264"/>
      <c r="AL920" s="264"/>
      <c r="AM920" s="264"/>
      <c r="AN920" s="264"/>
      <c r="AO920" s="264"/>
      <c r="AP920" s="264"/>
      <c r="AQ920" s="264"/>
      <c r="AR920" s="264"/>
      <c r="AS920" s="264"/>
      <c r="AT920" s="264"/>
      <c r="AU920" s="264"/>
      <c r="AV920" s="264"/>
      <c r="AW920" s="264"/>
      <c r="AX920" s="264"/>
      <c r="AY920" s="264"/>
      <c r="AZ920" s="264"/>
      <c r="BA920" s="264"/>
      <c r="BB920" s="264"/>
      <c r="BC920" s="264"/>
      <c r="BD920" s="264"/>
    </row>
    <row r="921">
      <c r="A921" s="264"/>
      <c r="B921" s="264"/>
      <c r="C921" s="264"/>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c r="AA921" s="264"/>
      <c r="AB921" s="264"/>
      <c r="AC921" s="264"/>
      <c r="AD921" s="264"/>
      <c r="AE921" s="264"/>
      <c r="AF921" s="264"/>
      <c r="AG921" s="264"/>
      <c r="AH921" s="264"/>
      <c r="AI921" s="264"/>
      <c r="AJ921" s="264"/>
      <c r="AK921" s="264"/>
      <c r="AL921" s="264"/>
      <c r="AM921" s="264"/>
      <c r="AN921" s="264"/>
      <c r="AO921" s="264"/>
      <c r="AP921" s="264"/>
      <c r="AQ921" s="264"/>
      <c r="AR921" s="264"/>
      <c r="AS921" s="264"/>
      <c r="AT921" s="264"/>
      <c r="AU921" s="264"/>
      <c r="AV921" s="264"/>
      <c r="AW921" s="264"/>
      <c r="AX921" s="264"/>
      <c r="AY921" s="264"/>
      <c r="AZ921" s="264"/>
      <c r="BA921" s="264"/>
      <c r="BB921" s="264"/>
      <c r="BC921" s="264"/>
      <c r="BD921" s="264"/>
    </row>
    <row r="922">
      <c r="A922" s="264"/>
      <c r="B922" s="264"/>
      <c r="C922" s="264"/>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c r="AA922" s="264"/>
      <c r="AB922" s="264"/>
      <c r="AC922" s="264"/>
      <c r="AD922" s="264"/>
      <c r="AE922" s="264"/>
      <c r="AF922" s="264"/>
      <c r="AG922" s="264"/>
      <c r="AH922" s="264"/>
      <c r="AI922" s="264"/>
      <c r="AJ922" s="264"/>
      <c r="AK922" s="264"/>
      <c r="AL922" s="264"/>
      <c r="AM922" s="264"/>
      <c r="AN922" s="264"/>
      <c r="AO922" s="264"/>
      <c r="AP922" s="264"/>
      <c r="AQ922" s="264"/>
      <c r="AR922" s="264"/>
      <c r="AS922" s="264"/>
      <c r="AT922" s="264"/>
      <c r="AU922" s="264"/>
      <c r="AV922" s="264"/>
      <c r="AW922" s="264"/>
      <c r="AX922" s="264"/>
      <c r="AY922" s="264"/>
      <c r="AZ922" s="264"/>
      <c r="BA922" s="264"/>
      <c r="BB922" s="264"/>
      <c r="BC922" s="264"/>
      <c r="BD922" s="264"/>
    </row>
    <row r="923">
      <c r="A923" s="264"/>
      <c r="B923" s="264"/>
      <c r="C923" s="264"/>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c r="AA923" s="264"/>
      <c r="AB923" s="264"/>
      <c r="AC923" s="264"/>
      <c r="AD923" s="264"/>
      <c r="AE923" s="264"/>
      <c r="AF923" s="264"/>
      <c r="AG923" s="264"/>
      <c r="AH923" s="264"/>
      <c r="AI923" s="264"/>
      <c r="AJ923" s="264"/>
      <c r="AK923" s="264"/>
      <c r="AL923" s="264"/>
      <c r="AM923" s="264"/>
      <c r="AN923" s="264"/>
      <c r="AO923" s="264"/>
      <c r="AP923" s="264"/>
      <c r="AQ923" s="264"/>
      <c r="AR923" s="264"/>
      <c r="AS923" s="264"/>
      <c r="AT923" s="264"/>
      <c r="AU923" s="264"/>
      <c r="AV923" s="264"/>
      <c r="AW923" s="264"/>
      <c r="AX923" s="264"/>
      <c r="AY923" s="264"/>
      <c r="AZ923" s="264"/>
      <c r="BA923" s="264"/>
      <c r="BB923" s="264"/>
      <c r="BC923" s="264"/>
      <c r="BD923" s="264"/>
    </row>
    <row r="924">
      <c r="A924" s="264"/>
      <c r="B924" s="264"/>
      <c r="C924" s="264"/>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c r="AA924" s="264"/>
      <c r="AB924" s="264"/>
      <c r="AC924" s="264"/>
      <c r="AD924" s="264"/>
      <c r="AE924" s="264"/>
      <c r="AF924" s="264"/>
      <c r="AG924" s="264"/>
      <c r="AH924" s="264"/>
      <c r="AI924" s="264"/>
      <c r="AJ924" s="264"/>
      <c r="AK924" s="264"/>
      <c r="AL924" s="264"/>
      <c r="AM924" s="264"/>
      <c r="AN924" s="264"/>
      <c r="AO924" s="264"/>
      <c r="AP924" s="264"/>
      <c r="AQ924" s="264"/>
      <c r="AR924" s="264"/>
      <c r="AS924" s="264"/>
      <c r="AT924" s="264"/>
      <c r="AU924" s="264"/>
      <c r="AV924" s="264"/>
      <c r="AW924" s="264"/>
      <c r="AX924" s="264"/>
      <c r="AY924" s="264"/>
      <c r="AZ924" s="264"/>
      <c r="BA924" s="264"/>
      <c r="BB924" s="264"/>
      <c r="BC924" s="264"/>
      <c r="BD924" s="264"/>
    </row>
    <row r="925">
      <c r="A925" s="264"/>
      <c r="B925" s="264"/>
      <c r="C925" s="264"/>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c r="AA925" s="264"/>
      <c r="AB925" s="264"/>
      <c r="AC925" s="264"/>
      <c r="AD925" s="264"/>
      <c r="AE925" s="264"/>
      <c r="AF925" s="264"/>
      <c r="AG925" s="264"/>
      <c r="AH925" s="264"/>
      <c r="AI925" s="264"/>
      <c r="AJ925" s="264"/>
      <c r="AK925" s="264"/>
      <c r="AL925" s="264"/>
      <c r="AM925" s="264"/>
      <c r="AN925" s="264"/>
      <c r="AO925" s="264"/>
      <c r="AP925" s="264"/>
      <c r="AQ925" s="264"/>
      <c r="AR925" s="264"/>
      <c r="AS925" s="264"/>
      <c r="AT925" s="264"/>
      <c r="AU925" s="264"/>
      <c r="AV925" s="264"/>
      <c r="AW925" s="264"/>
      <c r="AX925" s="264"/>
      <c r="AY925" s="264"/>
      <c r="AZ925" s="264"/>
      <c r="BA925" s="264"/>
      <c r="BB925" s="264"/>
      <c r="BC925" s="264"/>
      <c r="BD925" s="264"/>
    </row>
    <row r="926">
      <c r="A926" s="264"/>
      <c r="B926" s="264"/>
      <c r="C926" s="264"/>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c r="AA926" s="264"/>
      <c r="AB926" s="264"/>
      <c r="AC926" s="264"/>
      <c r="AD926" s="264"/>
      <c r="AE926" s="264"/>
      <c r="AF926" s="264"/>
      <c r="AG926" s="264"/>
      <c r="AH926" s="264"/>
      <c r="AI926" s="264"/>
      <c r="AJ926" s="264"/>
      <c r="AK926" s="264"/>
      <c r="AL926" s="264"/>
      <c r="AM926" s="264"/>
      <c r="AN926" s="264"/>
      <c r="AO926" s="264"/>
      <c r="AP926" s="264"/>
      <c r="AQ926" s="264"/>
      <c r="AR926" s="264"/>
      <c r="AS926" s="264"/>
      <c r="AT926" s="264"/>
      <c r="AU926" s="264"/>
      <c r="AV926" s="264"/>
      <c r="AW926" s="264"/>
      <c r="AX926" s="264"/>
      <c r="AY926" s="264"/>
      <c r="AZ926" s="264"/>
      <c r="BA926" s="264"/>
      <c r="BB926" s="264"/>
      <c r="BC926" s="264"/>
      <c r="BD926" s="264"/>
    </row>
    <row r="927">
      <c r="A927" s="264"/>
      <c r="B927" s="264"/>
      <c r="C927" s="264"/>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c r="AA927" s="264"/>
      <c r="AB927" s="264"/>
      <c r="AC927" s="264"/>
      <c r="AD927" s="264"/>
      <c r="AE927" s="264"/>
      <c r="AF927" s="264"/>
      <c r="AG927" s="264"/>
      <c r="AH927" s="264"/>
      <c r="AI927" s="264"/>
      <c r="AJ927" s="264"/>
      <c r="AK927" s="264"/>
      <c r="AL927" s="264"/>
      <c r="AM927" s="264"/>
      <c r="AN927" s="264"/>
      <c r="AO927" s="264"/>
      <c r="AP927" s="264"/>
      <c r="AQ927" s="264"/>
      <c r="AR927" s="264"/>
      <c r="AS927" s="264"/>
      <c r="AT927" s="264"/>
      <c r="AU927" s="264"/>
      <c r="AV927" s="264"/>
      <c r="AW927" s="264"/>
      <c r="AX927" s="264"/>
      <c r="AY927" s="264"/>
      <c r="AZ927" s="264"/>
      <c r="BA927" s="264"/>
      <c r="BB927" s="264"/>
      <c r="BC927" s="264"/>
      <c r="BD927" s="264"/>
    </row>
    <row r="928">
      <c r="A928" s="264"/>
      <c r="B928" s="264"/>
      <c r="C928" s="264"/>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c r="AA928" s="264"/>
      <c r="AB928" s="264"/>
      <c r="AC928" s="264"/>
      <c r="AD928" s="264"/>
      <c r="AE928" s="264"/>
      <c r="AF928" s="264"/>
      <c r="AG928" s="264"/>
      <c r="AH928" s="264"/>
      <c r="AI928" s="264"/>
      <c r="AJ928" s="264"/>
      <c r="AK928" s="264"/>
      <c r="AL928" s="264"/>
      <c r="AM928" s="264"/>
      <c r="AN928" s="264"/>
      <c r="AO928" s="264"/>
      <c r="AP928" s="264"/>
      <c r="AQ928" s="264"/>
      <c r="AR928" s="264"/>
      <c r="AS928" s="264"/>
      <c r="AT928" s="264"/>
      <c r="AU928" s="264"/>
      <c r="AV928" s="264"/>
      <c r="AW928" s="264"/>
      <c r="AX928" s="264"/>
      <c r="AY928" s="264"/>
      <c r="AZ928" s="264"/>
      <c r="BA928" s="264"/>
      <c r="BB928" s="264"/>
      <c r="BC928" s="264"/>
      <c r="BD928" s="264"/>
    </row>
    <row r="929">
      <c r="A929" s="264"/>
      <c r="B929" s="264"/>
      <c r="C929" s="264"/>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c r="AA929" s="264"/>
      <c r="AB929" s="264"/>
      <c r="AC929" s="264"/>
      <c r="AD929" s="264"/>
      <c r="AE929" s="264"/>
      <c r="AF929" s="264"/>
      <c r="AG929" s="264"/>
      <c r="AH929" s="264"/>
      <c r="AI929" s="264"/>
      <c r="AJ929" s="264"/>
      <c r="AK929" s="264"/>
      <c r="AL929" s="264"/>
      <c r="AM929" s="264"/>
      <c r="AN929" s="264"/>
      <c r="AO929" s="264"/>
      <c r="AP929" s="264"/>
      <c r="AQ929" s="264"/>
      <c r="AR929" s="264"/>
      <c r="AS929" s="264"/>
      <c r="AT929" s="264"/>
      <c r="AU929" s="264"/>
      <c r="AV929" s="264"/>
      <c r="AW929" s="264"/>
      <c r="AX929" s="264"/>
      <c r="AY929" s="264"/>
      <c r="AZ929" s="264"/>
      <c r="BA929" s="264"/>
      <c r="BB929" s="264"/>
      <c r="BC929" s="264"/>
      <c r="BD929" s="264"/>
    </row>
    <row r="930">
      <c r="A930" s="264"/>
      <c r="B930" s="264"/>
      <c r="C930" s="264"/>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c r="AA930" s="264"/>
      <c r="AB930" s="264"/>
      <c r="AC930" s="264"/>
      <c r="AD930" s="264"/>
      <c r="AE930" s="264"/>
      <c r="AF930" s="264"/>
      <c r="AG930" s="264"/>
      <c r="AH930" s="264"/>
      <c r="AI930" s="264"/>
      <c r="AJ930" s="264"/>
      <c r="AK930" s="264"/>
      <c r="AL930" s="264"/>
      <c r="AM930" s="264"/>
      <c r="AN930" s="264"/>
      <c r="AO930" s="264"/>
      <c r="AP930" s="264"/>
      <c r="AQ930" s="264"/>
      <c r="AR930" s="264"/>
      <c r="AS930" s="264"/>
      <c r="AT930" s="264"/>
      <c r="AU930" s="264"/>
      <c r="AV930" s="264"/>
      <c r="AW930" s="264"/>
      <c r="AX930" s="264"/>
      <c r="AY930" s="264"/>
      <c r="AZ930" s="264"/>
      <c r="BA930" s="264"/>
      <c r="BB930" s="264"/>
      <c r="BC930" s="264"/>
      <c r="BD930" s="264"/>
    </row>
    <row r="931">
      <c r="A931" s="264"/>
      <c r="B931" s="264"/>
      <c r="C931" s="264"/>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c r="AA931" s="264"/>
      <c r="AB931" s="264"/>
      <c r="AC931" s="264"/>
      <c r="AD931" s="264"/>
      <c r="AE931" s="264"/>
      <c r="AF931" s="264"/>
      <c r="AG931" s="264"/>
      <c r="AH931" s="264"/>
      <c r="AI931" s="264"/>
      <c r="AJ931" s="264"/>
      <c r="AK931" s="264"/>
      <c r="AL931" s="264"/>
      <c r="AM931" s="264"/>
      <c r="AN931" s="264"/>
      <c r="AO931" s="264"/>
      <c r="AP931" s="264"/>
      <c r="AQ931" s="264"/>
      <c r="AR931" s="264"/>
      <c r="AS931" s="264"/>
      <c r="AT931" s="264"/>
      <c r="AU931" s="264"/>
      <c r="AV931" s="264"/>
      <c r="AW931" s="264"/>
      <c r="AX931" s="264"/>
      <c r="AY931" s="264"/>
      <c r="AZ931" s="264"/>
      <c r="BA931" s="264"/>
      <c r="BB931" s="264"/>
      <c r="BC931" s="264"/>
      <c r="BD931" s="264"/>
    </row>
    <row r="932">
      <c r="A932" s="264"/>
      <c r="B932" s="264"/>
      <c r="C932" s="264"/>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c r="AA932" s="264"/>
      <c r="AB932" s="264"/>
      <c r="AC932" s="264"/>
      <c r="AD932" s="264"/>
      <c r="AE932" s="264"/>
      <c r="AF932" s="264"/>
      <c r="AG932" s="264"/>
      <c r="AH932" s="264"/>
      <c r="AI932" s="264"/>
      <c r="AJ932" s="264"/>
      <c r="AK932" s="264"/>
      <c r="AL932" s="264"/>
      <c r="AM932" s="264"/>
      <c r="AN932" s="264"/>
      <c r="AO932" s="264"/>
      <c r="AP932" s="264"/>
      <c r="AQ932" s="264"/>
      <c r="AR932" s="264"/>
      <c r="AS932" s="264"/>
      <c r="AT932" s="264"/>
      <c r="AU932" s="264"/>
      <c r="AV932" s="264"/>
      <c r="AW932" s="264"/>
      <c r="AX932" s="264"/>
      <c r="AY932" s="264"/>
      <c r="AZ932" s="264"/>
      <c r="BA932" s="264"/>
      <c r="BB932" s="264"/>
      <c r="BC932" s="264"/>
      <c r="BD932" s="264"/>
    </row>
    <row r="933">
      <c r="A933" s="264"/>
      <c r="B933" s="264"/>
      <c r="C933" s="264"/>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c r="AA933" s="264"/>
      <c r="AB933" s="264"/>
      <c r="AC933" s="264"/>
      <c r="AD933" s="264"/>
      <c r="AE933" s="264"/>
      <c r="AF933" s="264"/>
      <c r="AG933" s="264"/>
      <c r="AH933" s="264"/>
      <c r="AI933" s="264"/>
      <c r="AJ933" s="264"/>
      <c r="AK933" s="264"/>
      <c r="AL933" s="264"/>
      <c r="AM933" s="264"/>
      <c r="AN933" s="264"/>
      <c r="AO933" s="264"/>
      <c r="AP933" s="264"/>
      <c r="AQ933" s="264"/>
      <c r="AR933" s="264"/>
      <c r="AS933" s="264"/>
      <c r="AT933" s="264"/>
      <c r="AU933" s="264"/>
      <c r="AV933" s="264"/>
      <c r="AW933" s="264"/>
      <c r="AX933" s="264"/>
      <c r="AY933" s="264"/>
      <c r="AZ933" s="264"/>
      <c r="BA933" s="264"/>
      <c r="BB933" s="264"/>
      <c r="BC933" s="264"/>
      <c r="BD933" s="264"/>
    </row>
    <row r="934">
      <c r="A934" s="264"/>
      <c r="B934" s="264"/>
      <c r="C934" s="264"/>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c r="AA934" s="264"/>
      <c r="AB934" s="264"/>
      <c r="AC934" s="264"/>
      <c r="AD934" s="264"/>
      <c r="AE934" s="264"/>
      <c r="AF934" s="264"/>
      <c r="AG934" s="264"/>
      <c r="AH934" s="264"/>
      <c r="AI934" s="264"/>
      <c r="AJ934" s="264"/>
      <c r="AK934" s="264"/>
      <c r="AL934" s="264"/>
      <c r="AM934" s="264"/>
      <c r="AN934" s="264"/>
      <c r="AO934" s="264"/>
      <c r="AP934" s="264"/>
      <c r="AQ934" s="264"/>
      <c r="AR934" s="264"/>
      <c r="AS934" s="264"/>
      <c r="AT934" s="264"/>
      <c r="AU934" s="264"/>
      <c r="AV934" s="264"/>
      <c r="AW934" s="264"/>
      <c r="AX934" s="264"/>
      <c r="AY934" s="264"/>
      <c r="AZ934" s="264"/>
      <c r="BA934" s="264"/>
      <c r="BB934" s="264"/>
      <c r="BC934" s="264"/>
      <c r="BD934" s="264"/>
    </row>
    <row r="935">
      <c r="A935" s="264"/>
      <c r="B935" s="264"/>
      <c r="C935" s="264"/>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c r="AA935" s="264"/>
      <c r="AB935" s="264"/>
      <c r="AC935" s="264"/>
      <c r="AD935" s="264"/>
      <c r="AE935" s="264"/>
      <c r="AF935" s="264"/>
      <c r="AG935" s="264"/>
      <c r="AH935" s="264"/>
      <c r="AI935" s="264"/>
      <c r="AJ935" s="264"/>
      <c r="AK935" s="264"/>
      <c r="AL935" s="264"/>
      <c r="AM935" s="264"/>
      <c r="AN935" s="264"/>
      <c r="AO935" s="264"/>
      <c r="AP935" s="264"/>
      <c r="AQ935" s="264"/>
      <c r="AR935" s="264"/>
      <c r="AS935" s="264"/>
      <c r="AT935" s="264"/>
      <c r="AU935" s="264"/>
      <c r="AV935" s="264"/>
      <c r="AW935" s="264"/>
      <c r="AX935" s="264"/>
      <c r="AY935" s="264"/>
      <c r="AZ935" s="264"/>
      <c r="BA935" s="264"/>
      <c r="BB935" s="264"/>
      <c r="BC935" s="264"/>
      <c r="BD935" s="264"/>
    </row>
    <row r="936">
      <c r="A936" s="264"/>
      <c r="B936" s="264"/>
      <c r="C936" s="264"/>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c r="AA936" s="264"/>
      <c r="AB936" s="264"/>
      <c r="AC936" s="264"/>
      <c r="AD936" s="264"/>
      <c r="AE936" s="264"/>
      <c r="AF936" s="264"/>
      <c r="AG936" s="264"/>
      <c r="AH936" s="264"/>
      <c r="AI936" s="264"/>
      <c r="AJ936" s="264"/>
      <c r="AK936" s="264"/>
      <c r="AL936" s="264"/>
      <c r="AM936" s="264"/>
      <c r="AN936" s="264"/>
      <c r="AO936" s="264"/>
      <c r="AP936" s="264"/>
      <c r="AQ936" s="264"/>
      <c r="AR936" s="264"/>
      <c r="AS936" s="264"/>
      <c r="AT936" s="264"/>
      <c r="AU936" s="264"/>
      <c r="AV936" s="264"/>
      <c r="AW936" s="264"/>
      <c r="AX936" s="264"/>
      <c r="AY936" s="264"/>
      <c r="AZ936" s="264"/>
      <c r="BA936" s="264"/>
      <c r="BB936" s="264"/>
      <c r="BC936" s="264"/>
      <c r="BD936" s="264"/>
    </row>
    <row r="937">
      <c r="A937" s="264"/>
      <c r="B937" s="264"/>
      <c r="C937" s="264"/>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c r="AA937" s="264"/>
      <c r="AB937" s="264"/>
      <c r="AC937" s="264"/>
      <c r="AD937" s="264"/>
      <c r="AE937" s="264"/>
      <c r="AF937" s="264"/>
      <c r="AG937" s="264"/>
      <c r="AH937" s="264"/>
      <c r="AI937" s="264"/>
      <c r="AJ937" s="264"/>
      <c r="AK937" s="264"/>
      <c r="AL937" s="264"/>
      <c r="AM937" s="264"/>
      <c r="AN937" s="264"/>
      <c r="AO937" s="264"/>
      <c r="AP937" s="264"/>
      <c r="AQ937" s="264"/>
      <c r="AR937" s="264"/>
      <c r="AS937" s="264"/>
      <c r="AT937" s="264"/>
      <c r="AU937" s="264"/>
      <c r="AV937" s="264"/>
      <c r="AW937" s="264"/>
      <c r="AX937" s="264"/>
      <c r="AY937" s="264"/>
      <c r="AZ937" s="264"/>
      <c r="BA937" s="264"/>
      <c r="BB937" s="264"/>
      <c r="BC937" s="264"/>
      <c r="BD937" s="264"/>
    </row>
    <row r="938">
      <c r="A938" s="264"/>
      <c r="B938" s="264"/>
      <c r="C938" s="264"/>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c r="AA938" s="264"/>
      <c r="AB938" s="264"/>
      <c r="AC938" s="264"/>
      <c r="AD938" s="264"/>
      <c r="AE938" s="264"/>
      <c r="AF938" s="264"/>
      <c r="AG938" s="264"/>
      <c r="AH938" s="264"/>
      <c r="AI938" s="264"/>
      <c r="AJ938" s="264"/>
      <c r="AK938" s="264"/>
      <c r="AL938" s="264"/>
      <c r="AM938" s="264"/>
      <c r="AN938" s="264"/>
      <c r="AO938" s="264"/>
      <c r="AP938" s="264"/>
      <c r="AQ938" s="264"/>
      <c r="AR938" s="264"/>
      <c r="AS938" s="264"/>
      <c r="AT938" s="264"/>
      <c r="AU938" s="264"/>
      <c r="AV938" s="264"/>
      <c r="AW938" s="264"/>
      <c r="AX938" s="264"/>
      <c r="AY938" s="264"/>
      <c r="AZ938" s="264"/>
      <c r="BA938" s="264"/>
      <c r="BB938" s="264"/>
      <c r="BC938" s="264"/>
      <c r="BD938" s="264"/>
    </row>
    <row r="939">
      <c r="A939" s="264"/>
      <c r="B939" s="264"/>
      <c r="C939" s="264"/>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c r="AA939" s="264"/>
      <c r="AB939" s="264"/>
      <c r="AC939" s="264"/>
      <c r="AD939" s="264"/>
      <c r="AE939" s="264"/>
      <c r="AF939" s="264"/>
      <c r="AG939" s="264"/>
      <c r="AH939" s="264"/>
      <c r="AI939" s="264"/>
      <c r="AJ939" s="264"/>
      <c r="AK939" s="264"/>
      <c r="AL939" s="264"/>
      <c r="AM939" s="264"/>
      <c r="AN939" s="264"/>
      <c r="AO939" s="264"/>
      <c r="AP939" s="264"/>
      <c r="AQ939" s="264"/>
      <c r="AR939" s="264"/>
      <c r="AS939" s="264"/>
      <c r="AT939" s="264"/>
      <c r="AU939" s="264"/>
      <c r="AV939" s="264"/>
      <c r="AW939" s="264"/>
      <c r="AX939" s="264"/>
      <c r="AY939" s="264"/>
      <c r="AZ939" s="264"/>
      <c r="BA939" s="264"/>
      <c r="BB939" s="264"/>
      <c r="BC939" s="264"/>
      <c r="BD939" s="264"/>
    </row>
    <row r="940">
      <c r="A940" s="264"/>
      <c r="B940" s="264"/>
      <c r="C940" s="264"/>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c r="AA940" s="264"/>
      <c r="AB940" s="264"/>
      <c r="AC940" s="264"/>
      <c r="AD940" s="264"/>
      <c r="AE940" s="264"/>
      <c r="AF940" s="264"/>
      <c r="AG940" s="264"/>
      <c r="AH940" s="264"/>
      <c r="AI940" s="264"/>
      <c r="AJ940" s="264"/>
      <c r="AK940" s="264"/>
      <c r="AL940" s="264"/>
      <c r="AM940" s="264"/>
      <c r="AN940" s="264"/>
      <c r="AO940" s="264"/>
      <c r="AP940" s="264"/>
      <c r="AQ940" s="264"/>
      <c r="AR940" s="264"/>
      <c r="AS940" s="264"/>
      <c r="AT940" s="264"/>
      <c r="AU940" s="264"/>
      <c r="AV940" s="264"/>
      <c r="AW940" s="264"/>
      <c r="AX940" s="264"/>
      <c r="AY940" s="264"/>
      <c r="AZ940" s="264"/>
      <c r="BA940" s="264"/>
      <c r="BB940" s="264"/>
      <c r="BC940" s="264"/>
      <c r="BD940" s="264"/>
    </row>
    <row r="941">
      <c r="A941" s="264"/>
      <c r="B941" s="264"/>
      <c r="C941" s="264"/>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c r="AA941" s="264"/>
      <c r="AB941" s="264"/>
      <c r="AC941" s="264"/>
      <c r="AD941" s="264"/>
      <c r="AE941" s="264"/>
      <c r="AF941" s="264"/>
      <c r="AG941" s="264"/>
      <c r="AH941" s="264"/>
      <c r="AI941" s="264"/>
      <c r="AJ941" s="264"/>
      <c r="AK941" s="264"/>
      <c r="AL941" s="264"/>
      <c r="AM941" s="264"/>
      <c r="AN941" s="264"/>
      <c r="AO941" s="264"/>
      <c r="AP941" s="264"/>
      <c r="AQ941" s="264"/>
      <c r="AR941" s="264"/>
      <c r="AS941" s="264"/>
      <c r="AT941" s="264"/>
      <c r="AU941" s="264"/>
      <c r="AV941" s="264"/>
      <c r="AW941" s="264"/>
      <c r="AX941" s="264"/>
      <c r="AY941" s="264"/>
      <c r="AZ941" s="264"/>
      <c r="BA941" s="264"/>
      <c r="BB941" s="264"/>
      <c r="BC941" s="264"/>
      <c r="BD941" s="264"/>
    </row>
    <row r="942">
      <c r="A942" s="264"/>
      <c r="B942" s="264"/>
      <c r="C942" s="264"/>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c r="AA942" s="264"/>
      <c r="AB942" s="264"/>
      <c r="AC942" s="264"/>
      <c r="AD942" s="264"/>
      <c r="AE942" s="264"/>
      <c r="AF942" s="264"/>
      <c r="AG942" s="264"/>
      <c r="AH942" s="264"/>
      <c r="AI942" s="264"/>
      <c r="AJ942" s="264"/>
      <c r="AK942" s="264"/>
      <c r="AL942" s="264"/>
      <c r="AM942" s="264"/>
      <c r="AN942" s="264"/>
      <c r="AO942" s="264"/>
      <c r="AP942" s="264"/>
      <c r="AQ942" s="264"/>
      <c r="AR942" s="264"/>
      <c r="AS942" s="264"/>
      <c r="AT942" s="264"/>
      <c r="AU942" s="264"/>
      <c r="AV942" s="264"/>
      <c r="AW942" s="264"/>
      <c r="AX942" s="264"/>
      <c r="AY942" s="264"/>
      <c r="AZ942" s="264"/>
      <c r="BA942" s="264"/>
      <c r="BB942" s="264"/>
      <c r="BC942" s="264"/>
      <c r="BD942" s="264"/>
    </row>
    <row r="943">
      <c r="A943" s="264"/>
      <c r="B943" s="264"/>
      <c r="C943" s="264"/>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c r="AA943" s="264"/>
      <c r="AB943" s="264"/>
      <c r="AC943" s="264"/>
      <c r="AD943" s="264"/>
      <c r="AE943" s="264"/>
      <c r="AF943" s="264"/>
      <c r="AG943" s="264"/>
      <c r="AH943" s="264"/>
      <c r="AI943" s="264"/>
      <c r="AJ943" s="264"/>
      <c r="AK943" s="264"/>
      <c r="AL943" s="264"/>
      <c r="AM943" s="264"/>
      <c r="AN943" s="264"/>
      <c r="AO943" s="264"/>
      <c r="AP943" s="264"/>
      <c r="AQ943" s="264"/>
      <c r="AR943" s="264"/>
      <c r="AS943" s="264"/>
      <c r="AT943" s="264"/>
      <c r="AU943" s="264"/>
      <c r="AV943" s="264"/>
      <c r="AW943" s="264"/>
      <c r="AX943" s="264"/>
      <c r="AY943" s="264"/>
      <c r="AZ943" s="264"/>
      <c r="BA943" s="264"/>
      <c r="BB943" s="264"/>
      <c r="BC943" s="264"/>
      <c r="BD943" s="264"/>
    </row>
    <row r="944">
      <c r="A944" s="264"/>
      <c r="B944" s="264"/>
      <c r="C944" s="264"/>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c r="AA944" s="264"/>
      <c r="AB944" s="264"/>
      <c r="AC944" s="264"/>
      <c r="AD944" s="264"/>
      <c r="AE944" s="264"/>
      <c r="AF944" s="264"/>
      <c r="AG944" s="264"/>
      <c r="AH944" s="264"/>
      <c r="AI944" s="264"/>
      <c r="AJ944" s="264"/>
      <c r="AK944" s="264"/>
      <c r="AL944" s="264"/>
      <c r="AM944" s="264"/>
      <c r="AN944" s="264"/>
      <c r="AO944" s="264"/>
      <c r="AP944" s="264"/>
      <c r="AQ944" s="264"/>
      <c r="AR944" s="264"/>
      <c r="AS944" s="264"/>
      <c r="AT944" s="264"/>
      <c r="AU944" s="264"/>
      <c r="AV944" s="264"/>
      <c r="AW944" s="264"/>
      <c r="AX944" s="264"/>
      <c r="AY944" s="264"/>
      <c r="AZ944" s="264"/>
      <c r="BA944" s="264"/>
      <c r="BB944" s="264"/>
      <c r="BC944" s="264"/>
      <c r="BD944" s="264"/>
    </row>
    <row r="945">
      <c r="A945" s="264"/>
      <c r="B945" s="264"/>
      <c r="C945" s="264"/>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c r="AA945" s="264"/>
      <c r="AB945" s="264"/>
      <c r="AC945" s="264"/>
      <c r="AD945" s="264"/>
      <c r="AE945" s="264"/>
      <c r="AF945" s="264"/>
      <c r="AG945" s="264"/>
      <c r="AH945" s="264"/>
      <c r="AI945" s="264"/>
      <c r="AJ945" s="264"/>
      <c r="AK945" s="264"/>
      <c r="AL945" s="264"/>
      <c r="AM945" s="264"/>
      <c r="AN945" s="264"/>
      <c r="AO945" s="264"/>
      <c r="AP945" s="264"/>
      <c r="AQ945" s="264"/>
      <c r="AR945" s="264"/>
      <c r="AS945" s="264"/>
      <c r="AT945" s="264"/>
      <c r="AU945" s="264"/>
      <c r="AV945" s="264"/>
      <c r="AW945" s="264"/>
      <c r="AX945" s="264"/>
      <c r="AY945" s="264"/>
      <c r="AZ945" s="264"/>
      <c r="BA945" s="264"/>
      <c r="BB945" s="264"/>
      <c r="BC945" s="264"/>
      <c r="BD945" s="264"/>
    </row>
    <row r="946">
      <c r="A946" s="264"/>
      <c r="B946" s="264"/>
      <c r="C946" s="264"/>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c r="AA946" s="264"/>
      <c r="AB946" s="264"/>
      <c r="AC946" s="264"/>
      <c r="AD946" s="264"/>
      <c r="AE946" s="264"/>
      <c r="AF946" s="264"/>
      <c r="AG946" s="264"/>
      <c r="AH946" s="264"/>
      <c r="AI946" s="264"/>
      <c r="AJ946" s="264"/>
      <c r="AK946" s="264"/>
      <c r="AL946" s="264"/>
      <c r="AM946" s="264"/>
      <c r="AN946" s="264"/>
      <c r="AO946" s="264"/>
      <c r="AP946" s="264"/>
      <c r="AQ946" s="264"/>
      <c r="AR946" s="264"/>
      <c r="AS946" s="264"/>
      <c r="AT946" s="264"/>
      <c r="AU946" s="264"/>
      <c r="AV946" s="264"/>
      <c r="AW946" s="264"/>
      <c r="AX946" s="264"/>
      <c r="AY946" s="264"/>
      <c r="AZ946" s="264"/>
      <c r="BA946" s="264"/>
      <c r="BB946" s="264"/>
      <c r="BC946" s="264"/>
      <c r="BD946" s="264"/>
    </row>
    <row r="947">
      <c r="A947" s="264"/>
      <c r="B947" s="264"/>
      <c r="C947" s="264"/>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c r="AA947" s="264"/>
      <c r="AB947" s="264"/>
      <c r="AC947" s="264"/>
      <c r="AD947" s="264"/>
      <c r="AE947" s="264"/>
      <c r="AF947" s="264"/>
      <c r="AG947" s="264"/>
      <c r="AH947" s="264"/>
      <c r="AI947" s="264"/>
      <c r="AJ947" s="264"/>
      <c r="AK947" s="264"/>
      <c r="AL947" s="264"/>
      <c r="AM947" s="264"/>
      <c r="AN947" s="264"/>
      <c r="AO947" s="264"/>
      <c r="AP947" s="264"/>
      <c r="AQ947" s="264"/>
      <c r="AR947" s="264"/>
      <c r="AS947" s="264"/>
      <c r="AT947" s="264"/>
      <c r="AU947" s="264"/>
      <c r="AV947" s="264"/>
      <c r="AW947" s="264"/>
      <c r="AX947" s="264"/>
      <c r="AY947" s="264"/>
      <c r="AZ947" s="264"/>
      <c r="BA947" s="264"/>
      <c r="BB947" s="264"/>
      <c r="BC947" s="264"/>
      <c r="BD947" s="264"/>
    </row>
    <row r="948">
      <c r="A948" s="264"/>
      <c r="B948" s="264"/>
      <c r="C948" s="264"/>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c r="AA948" s="264"/>
      <c r="AB948" s="264"/>
      <c r="AC948" s="264"/>
      <c r="AD948" s="264"/>
      <c r="AE948" s="264"/>
      <c r="AF948" s="264"/>
      <c r="AG948" s="264"/>
      <c r="AH948" s="264"/>
      <c r="AI948" s="264"/>
      <c r="AJ948" s="264"/>
      <c r="AK948" s="264"/>
      <c r="AL948" s="264"/>
      <c r="AM948" s="264"/>
      <c r="AN948" s="264"/>
      <c r="AO948" s="264"/>
      <c r="AP948" s="264"/>
      <c r="AQ948" s="264"/>
      <c r="AR948" s="264"/>
      <c r="AS948" s="264"/>
      <c r="AT948" s="264"/>
      <c r="AU948" s="264"/>
      <c r="AV948" s="264"/>
      <c r="AW948" s="264"/>
      <c r="AX948" s="264"/>
      <c r="AY948" s="264"/>
      <c r="AZ948" s="264"/>
      <c r="BA948" s="264"/>
      <c r="BB948" s="264"/>
      <c r="BC948" s="264"/>
      <c r="BD948" s="264"/>
    </row>
    <row r="949">
      <c r="A949" s="264"/>
      <c r="B949" s="264"/>
      <c r="C949" s="264"/>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c r="AA949" s="264"/>
      <c r="AB949" s="264"/>
      <c r="AC949" s="264"/>
      <c r="AD949" s="264"/>
      <c r="AE949" s="264"/>
      <c r="AF949" s="264"/>
      <c r="AG949" s="264"/>
      <c r="AH949" s="264"/>
      <c r="AI949" s="264"/>
      <c r="AJ949" s="264"/>
      <c r="AK949" s="264"/>
      <c r="AL949" s="264"/>
      <c r="AM949" s="264"/>
      <c r="AN949" s="264"/>
      <c r="AO949" s="264"/>
      <c r="AP949" s="264"/>
      <c r="AQ949" s="264"/>
      <c r="AR949" s="264"/>
      <c r="AS949" s="264"/>
      <c r="AT949" s="264"/>
      <c r="AU949" s="264"/>
      <c r="AV949" s="264"/>
      <c r="AW949" s="264"/>
      <c r="AX949" s="264"/>
      <c r="AY949" s="264"/>
      <c r="AZ949" s="264"/>
      <c r="BA949" s="264"/>
      <c r="BB949" s="264"/>
      <c r="BC949" s="264"/>
      <c r="BD949" s="264"/>
    </row>
    <row r="950">
      <c r="A950" s="264"/>
      <c r="B950" s="264"/>
      <c r="C950" s="264"/>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c r="AA950" s="264"/>
      <c r="AB950" s="264"/>
      <c r="AC950" s="264"/>
      <c r="AD950" s="264"/>
      <c r="AE950" s="264"/>
      <c r="AF950" s="264"/>
      <c r="AG950" s="264"/>
      <c r="AH950" s="264"/>
      <c r="AI950" s="264"/>
      <c r="AJ950" s="264"/>
      <c r="AK950" s="264"/>
      <c r="AL950" s="264"/>
      <c r="AM950" s="264"/>
      <c r="AN950" s="264"/>
      <c r="AO950" s="264"/>
      <c r="AP950" s="264"/>
      <c r="AQ950" s="264"/>
      <c r="AR950" s="264"/>
      <c r="AS950" s="264"/>
      <c r="AT950" s="264"/>
      <c r="AU950" s="264"/>
      <c r="AV950" s="264"/>
      <c r="AW950" s="264"/>
      <c r="AX950" s="264"/>
      <c r="AY950" s="264"/>
      <c r="AZ950" s="264"/>
      <c r="BA950" s="264"/>
      <c r="BB950" s="264"/>
      <c r="BC950" s="264"/>
      <c r="BD950" s="264"/>
    </row>
    <row r="951">
      <c r="A951" s="264"/>
      <c r="B951" s="264"/>
      <c r="C951" s="264"/>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c r="AA951" s="264"/>
      <c r="AB951" s="264"/>
      <c r="AC951" s="264"/>
      <c r="AD951" s="264"/>
      <c r="AE951" s="264"/>
      <c r="AF951" s="264"/>
      <c r="AG951" s="264"/>
      <c r="AH951" s="264"/>
      <c r="AI951" s="264"/>
      <c r="AJ951" s="264"/>
      <c r="AK951" s="264"/>
      <c r="AL951" s="264"/>
      <c r="AM951" s="264"/>
      <c r="AN951" s="264"/>
      <c r="AO951" s="264"/>
      <c r="AP951" s="264"/>
      <c r="AQ951" s="264"/>
      <c r="AR951" s="264"/>
      <c r="AS951" s="264"/>
      <c r="AT951" s="264"/>
      <c r="AU951" s="264"/>
      <c r="AV951" s="264"/>
      <c r="AW951" s="264"/>
      <c r="AX951" s="264"/>
      <c r="AY951" s="264"/>
      <c r="AZ951" s="264"/>
      <c r="BA951" s="264"/>
      <c r="BB951" s="264"/>
      <c r="BC951" s="264"/>
      <c r="BD951" s="264"/>
    </row>
    <row r="952">
      <c r="A952" s="264"/>
      <c r="B952" s="264"/>
      <c r="C952" s="264"/>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c r="AA952" s="264"/>
      <c r="AB952" s="264"/>
      <c r="AC952" s="264"/>
      <c r="AD952" s="264"/>
      <c r="AE952" s="264"/>
      <c r="AF952" s="264"/>
      <c r="AG952" s="264"/>
      <c r="AH952" s="264"/>
      <c r="AI952" s="264"/>
      <c r="AJ952" s="264"/>
      <c r="AK952" s="264"/>
      <c r="AL952" s="264"/>
      <c r="AM952" s="264"/>
      <c r="AN952" s="264"/>
      <c r="AO952" s="264"/>
      <c r="AP952" s="264"/>
      <c r="AQ952" s="264"/>
      <c r="AR952" s="264"/>
      <c r="AS952" s="264"/>
      <c r="AT952" s="264"/>
      <c r="AU952" s="264"/>
      <c r="AV952" s="264"/>
      <c r="AW952" s="264"/>
      <c r="AX952" s="264"/>
      <c r="AY952" s="264"/>
      <c r="AZ952" s="264"/>
      <c r="BA952" s="264"/>
      <c r="BB952" s="264"/>
      <c r="BC952" s="264"/>
      <c r="BD952" s="264"/>
    </row>
    <row r="953">
      <c r="A953" s="264"/>
      <c r="B953" s="264"/>
      <c r="C953" s="264"/>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c r="AA953" s="264"/>
      <c r="AB953" s="264"/>
      <c r="AC953" s="264"/>
      <c r="AD953" s="264"/>
      <c r="AE953" s="264"/>
      <c r="AF953" s="264"/>
      <c r="AG953" s="264"/>
      <c r="AH953" s="264"/>
      <c r="AI953" s="264"/>
      <c r="AJ953" s="264"/>
      <c r="AK953" s="264"/>
      <c r="AL953" s="264"/>
      <c r="AM953" s="264"/>
      <c r="AN953" s="264"/>
      <c r="AO953" s="264"/>
      <c r="AP953" s="264"/>
      <c r="AQ953" s="264"/>
      <c r="AR953" s="264"/>
      <c r="AS953" s="264"/>
      <c r="AT953" s="264"/>
      <c r="AU953" s="264"/>
      <c r="AV953" s="264"/>
      <c r="AW953" s="264"/>
      <c r="AX953" s="264"/>
      <c r="AY953" s="264"/>
      <c r="AZ953" s="264"/>
      <c r="BA953" s="264"/>
      <c r="BB953" s="264"/>
      <c r="BC953" s="264"/>
      <c r="BD953" s="264"/>
    </row>
    <row r="954">
      <c r="A954" s="264"/>
      <c r="B954" s="264"/>
      <c r="C954" s="264"/>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c r="AA954" s="264"/>
      <c r="AB954" s="264"/>
      <c r="AC954" s="264"/>
      <c r="AD954" s="264"/>
      <c r="AE954" s="264"/>
      <c r="AF954" s="264"/>
      <c r="AG954" s="264"/>
      <c r="AH954" s="264"/>
      <c r="AI954" s="264"/>
      <c r="AJ954" s="264"/>
      <c r="AK954" s="264"/>
      <c r="AL954" s="264"/>
      <c r="AM954" s="264"/>
      <c r="AN954" s="264"/>
      <c r="AO954" s="264"/>
      <c r="AP954" s="264"/>
      <c r="AQ954" s="264"/>
      <c r="AR954" s="264"/>
      <c r="AS954" s="264"/>
      <c r="AT954" s="264"/>
      <c r="AU954" s="264"/>
      <c r="AV954" s="264"/>
      <c r="AW954" s="264"/>
      <c r="AX954" s="264"/>
      <c r="AY954" s="264"/>
      <c r="AZ954" s="264"/>
      <c r="BA954" s="264"/>
      <c r="BB954" s="264"/>
      <c r="BC954" s="264"/>
      <c r="BD954" s="264"/>
    </row>
    <row r="955">
      <c r="A955" s="264"/>
      <c r="B955" s="264"/>
      <c r="C955" s="264"/>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c r="AA955" s="264"/>
      <c r="AB955" s="264"/>
      <c r="AC955" s="264"/>
      <c r="AD955" s="264"/>
      <c r="AE955" s="264"/>
      <c r="AF955" s="264"/>
      <c r="AG955" s="264"/>
      <c r="AH955" s="264"/>
      <c r="AI955" s="264"/>
      <c r="AJ955" s="264"/>
      <c r="AK955" s="264"/>
      <c r="AL955" s="264"/>
      <c r="AM955" s="264"/>
      <c r="AN955" s="264"/>
      <c r="AO955" s="264"/>
      <c r="AP955" s="264"/>
      <c r="AQ955" s="264"/>
      <c r="AR955" s="264"/>
      <c r="AS955" s="264"/>
      <c r="AT955" s="264"/>
      <c r="AU955" s="264"/>
      <c r="AV955" s="264"/>
      <c r="AW955" s="264"/>
      <c r="AX955" s="264"/>
      <c r="AY955" s="264"/>
      <c r="AZ955" s="264"/>
      <c r="BA955" s="264"/>
      <c r="BB955" s="264"/>
      <c r="BC955" s="264"/>
      <c r="BD955" s="264"/>
    </row>
    <row r="956">
      <c r="A956" s="264"/>
      <c r="B956" s="264"/>
      <c r="C956" s="264"/>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c r="AA956" s="264"/>
      <c r="AB956" s="264"/>
      <c r="AC956" s="264"/>
      <c r="AD956" s="264"/>
      <c r="AE956" s="264"/>
      <c r="AF956" s="264"/>
      <c r="AG956" s="264"/>
      <c r="AH956" s="264"/>
      <c r="AI956" s="264"/>
      <c r="AJ956" s="264"/>
      <c r="AK956" s="264"/>
      <c r="AL956" s="264"/>
      <c r="AM956" s="264"/>
      <c r="AN956" s="264"/>
      <c r="AO956" s="264"/>
      <c r="AP956" s="264"/>
      <c r="AQ956" s="264"/>
      <c r="AR956" s="264"/>
      <c r="AS956" s="264"/>
      <c r="AT956" s="264"/>
      <c r="AU956" s="264"/>
      <c r="AV956" s="264"/>
      <c r="AW956" s="264"/>
      <c r="AX956" s="264"/>
      <c r="AY956" s="264"/>
      <c r="AZ956" s="264"/>
      <c r="BA956" s="264"/>
      <c r="BB956" s="264"/>
      <c r="BC956" s="264"/>
      <c r="BD956" s="264"/>
    </row>
    <row r="957">
      <c r="A957" s="264"/>
      <c r="B957" s="264"/>
      <c r="C957" s="264"/>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c r="AA957" s="264"/>
      <c r="AB957" s="264"/>
      <c r="AC957" s="264"/>
      <c r="AD957" s="264"/>
      <c r="AE957" s="264"/>
      <c r="AF957" s="264"/>
      <c r="AG957" s="264"/>
      <c r="AH957" s="264"/>
      <c r="AI957" s="264"/>
      <c r="AJ957" s="264"/>
      <c r="AK957" s="264"/>
      <c r="AL957" s="264"/>
      <c r="AM957" s="264"/>
      <c r="AN957" s="264"/>
      <c r="AO957" s="264"/>
      <c r="AP957" s="264"/>
      <c r="AQ957" s="264"/>
      <c r="AR957" s="264"/>
      <c r="AS957" s="264"/>
      <c r="AT957" s="264"/>
      <c r="AU957" s="264"/>
      <c r="AV957" s="264"/>
      <c r="AW957" s="264"/>
      <c r="AX957" s="264"/>
      <c r="AY957" s="264"/>
      <c r="AZ957" s="264"/>
      <c r="BA957" s="264"/>
      <c r="BB957" s="264"/>
      <c r="BC957" s="264"/>
      <c r="BD957" s="264"/>
    </row>
    <row r="958">
      <c r="A958" s="264"/>
      <c r="B958" s="264"/>
      <c r="C958" s="264"/>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c r="AA958" s="264"/>
      <c r="AB958" s="264"/>
      <c r="AC958" s="264"/>
      <c r="AD958" s="264"/>
      <c r="AE958" s="264"/>
      <c r="AF958" s="264"/>
      <c r="AG958" s="264"/>
      <c r="AH958" s="264"/>
      <c r="AI958" s="264"/>
      <c r="AJ958" s="264"/>
      <c r="AK958" s="264"/>
      <c r="AL958" s="264"/>
      <c r="AM958" s="264"/>
      <c r="AN958" s="264"/>
      <c r="AO958" s="264"/>
      <c r="AP958" s="264"/>
      <c r="AQ958" s="264"/>
      <c r="AR958" s="264"/>
      <c r="AS958" s="264"/>
      <c r="AT958" s="264"/>
      <c r="AU958" s="264"/>
      <c r="AV958" s="264"/>
      <c r="AW958" s="264"/>
      <c r="AX958" s="264"/>
      <c r="AY958" s="264"/>
      <c r="AZ958" s="264"/>
      <c r="BA958" s="264"/>
      <c r="BB958" s="264"/>
      <c r="BC958" s="264"/>
      <c r="BD958" s="264"/>
    </row>
    <row r="959">
      <c r="A959" s="264"/>
      <c r="B959" s="264"/>
      <c r="C959" s="264"/>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c r="AA959" s="264"/>
      <c r="AB959" s="264"/>
      <c r="AC959" s="264"/>
      <c r="AD959" s="264"/>
      <c r="AE959" s="264"/>
      <c r="AF959" s="264"/>
      <c r="AG959" s="264"/>
      <c r="AH959" s="264"/>
      <c r="AI959" s="264"/>
      <c r="AJ959" s="264"/>
      <c r="AK959" s="264"/>
      <c r="AL959" s="264"/>
      <c r="AM959" s="264"/>
      <c r="AN959" s="264"/>
      <c r="AO959" s="264"/>
      <c r="AP959" s="264"/>
      <c r="AQ959" s="264"/>
      <c r="AR959" s="264"/>
      <c r="AS959" s="264"/>
      <c r="AT959" s="264"/>
      <c r="AU959" s="264"/>
      <c r="AV959" s="264"/>
      <c r="AW959" s="264"/>
      <c r="AX959" s="264"/>
      <c r="AY959" s="264"/>
      <c r="AZ959" s="264"/>
      <c r="BA959" s="264"/>
      <c r="BB959" s="264"/>
      <c r="BC959" s="264"/>
      <c r="BD959" s="264"/>
    </row>
    <row r="960">
      <c r="A960" s="264"/>
      <c r="B960" s="264"/>
      <c r="C960" s="264"/>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c r="AA960" s="264"/>
      <c r="AB960" s="264"/>
      <c r="AC960" s="264"/>
      <c r="AD960" s="264"/>
      <c r="AE960" s="264"/>
      <c r="AF960" s="264"/>
      <c r="AG960" s="264"/>
      <c r="AH960" s="264"/>
      <c r="AI960" s="264"/>
      <c r="AJ960" s="264"/>
      <c r="AK960" s="264"/>
      <c r="AL960" s="264"/>
      <c r="AM960" s="264"/>
      <c r="AN960" s="264"/>
      <c r="AO960" s="264"/>
      <c r="AP960" s="264"/>
      <c r="AQ960" s="264"/>
      <c r="AR960" s="264"/>
      <c r="AS960" s="264"/>
      <c r="AT960" s="264"/>
      <c r="AU960" s="264"/>
      <c r="AV960" s="264"/>
      <c r="AW960" s="264"/>
      <c r="AX960" s="264"/>
      <c r="AY960" s="264"/>
      <c r="AZ960" s="264"/>
      <c r="BA960" s="264"/>
      <c r="BB960" s="264"/>
      <c r="BC960" s="264"/>
      <c r="BD960" s="264"/>
    </row>
    <row r="961">
      <c r="A961" s="264"/>
      <c r="B961" s="264"/>
      <c r="C961" s="264"/>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c r="AA961" s="264"/>
      <c r="AB961" s="264"/>
      <c r="AC961" s="264"/>
      <c r="AD961" s="264"/>
      <c r="AE961" s="264"/>
      <c r="AF961" s="264"/>
      <c r="AG961" s="264"/>
      <c r="AH961" s="264"/>
      <c r="AI961" s="264"/>
      <c r="AJ961" s="264"/>
      <c r="AK961" s="264"/>
      <c r="AL961" s="264"/>
      <c r="AM961" s="264"/>
      <c r="AN961" s="264"/>
      <c r="AO961" s="264"/>
      <c r="AP961" s="264"/>
      <c r="AQ961" s="264"/>
      <c r="AR961" s="264"/>
      <c r="AS961" s="264"/>
      <c r="AT961" s="264"/>
      <c r="AU961" s="264"/>
      <c r="AV961" s="264"/>
      <c r="AW961" s="264"/>
      <c r="AX961" s="264"/>
      <c r="AY961" s="264"/>
      <c r="AZ961" s="264"/>
      <c r="BA961" s="264"/>
      <c r="BB961" s="264"/>
      <c r="BC961" s="264"/>
      <c r="BD961" s="264"/>
    </row>
    <row r="962">
      <c r="A962" s="264"/>
      <c r="B962" s="264"/>
      <c r="C962" s="264"/>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c r="AA962" s="264"/>
      <c r="AB962" s="264"/>
      <c r="AC962" s="264"/>
      <c r="AD962" s="264"/>
      <c r="AE962" s="264"/>
      <c r="AF962" s="264"/>
      <c r="AG962" s="264"/>
      <c r="AH962" s="264"/>
      <c r="AI962" s="264"/>
      <c r="AJ962" s="264"/>
      <c r="AK962" s="264"/>
      <c r="AL962" s="264"/>
      <c r="AM962" s="264"/>
      <c r="AN962" s="264"/>
      <c r="AO962" s="264"/>
      <c r="AP962" s="264"/>
      <c r="AQ962" s="264"/>
      <c r="AR962" s="264"/>
      <c r="AS962" s="264"/>
      <c r="AT962" s="264"/>
      <c r="AU962" s="264"/>
      <c r="AV962" s="264"/>
      <c r="AW962" s="264"/>
      <c r="AX962" s="264"/>
      <c r="AY962" s="264"/>
      <c r="AZ962" s="264"/>
      <c r="BA962" s="264"/>
      <c r="BB962" s="264"/>
      <c r="BC962" s="264"/>
      <c r="BD962" s="264"/>
    </row>
    <row r="963">
      <c r="A963" s="264"/>
      <c r="B963" s="264"/>
      <c r="C963" s="264"/>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c r="AA963" s="264"/>
      <c r="AB963" s="264"/>
      <c r="AC963" s="264"/>
      <c r="AD963" s="264"/>
      <c r="AE963" s="264"/>
      <c r="AF963" s="264"/>
      <c r="AG963" s="264"/>
      <c r="AH963" s="264"/>
      <c r="AI963" s="264"/>
      <c r="AJ963" s="264"/>
      <c r="AK963" s="264"/>
      <c r="AL963" s="264"/>
      <c r="AM963" s="264"/>
      <c r="AN963" s="264"/>
      <c r="AO963" s="264"/>
      <c r="AP963" s="264"/>
      <c r="AQ963" s="264"/>
      <c r="AR963" s="264"/>
      <c r="AS963" s="264"/>
      <c r="AT963" s="264"/>
      <c r="AU963" s="264"/>
      <c r="AV963" s="264"/>
      <c r="AW963" s="264"/>
      <c r="AX963" s="264"/>
      <c r="AY963" s="264"/>
      <c r="AZ963" s="264"/>
      <c r="BA963" s="264"/>
      <c r="BB963" s="264"/>
      <c r="BC963" s="264"/>
      <c r="BD963" s="264"/>
    </row>
    <row r="964">
      <c r="A964" s="264"/>
      <c r="B964" s="264"/>
      <c r="C964" s="264"/>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c r="AA964" s="264"/>
      <c r="AB964" s="264"/>
      <c r="AC964" s="264"/>
      <c r="AD964" s="264"/>
      <c r="AE964" s="264"/>
      <c r="AF964" s="264"/>
      <c r="AG964" s="264"/>
      <c r="AH964" s="264"/>
      <c r="AI964" s="264"/>
      <c r="AJ964" s="264"/>
      <c r="AK964" s="264"/>
      <c r="AL964" s="264"/>
      <c r="AM964" s="264"/>
      <c r="AN964" s="264"/>
      <c r="AO964" s="264"/>
      <c r="AP964" s="264"/>
      <c r="AQ964" s="264"/>
      <c r="AR964" s="264"/>
      <c r="AS964" s="264"/>
      <c r="AT964" s="264"/>
      <c r="AU964" s="264"/>
      <c r="AV964" s="264"/>
      <c r="AW964" s="264"/>
      <c r="AX964" s="264"/>
      <c r="AY964" s="264"/>
      <c r="AZ964" s="264"/>
      <c r="BA964" s="264"/>
      <c r="BB964" s="264"/>
      <c r="BC964" s="264"/>
      <c r="BD964" s="264"/>
    </row>
    <row r="965">
      <c r="A965" s="264"/>
      <c r="B965" s="264"/>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c r="AA965" s="264"/>
      <c r="AB965" s="264"/>
      <c r="AC965" s="264"/>
      <c r="AD965" s="264"/>
      <c r="AE965" s="264"/>
      <c r="AF965" s="264"/>
      <c r="AG965" s="264"/>
      <c r="AH965" s="264"/>
      <c r="AI965" s="264"/>
      <c r="AJ965" s="264"/>
      <c r="AK965" s="264"/>
      <c r="AL965" s="264"/>
      <c r="AM965" s="264"/>
      <c r="AN965" s="264"/>
      <c r="AO965" s="264"/>
      <c r="AP965" s="264"/>
      <c r="AQ965" s="264"/>
      <c r="AR965" s="264"/>
      <c r="AS965" s="264"/>
      <c r="AT965" s="264"/>
      <c r="AU965" s="264"/>
      <c r="AV965" s="264"/>
      <c r="AW965" s="264"/>
      <c r="AX965" s="264"/>
      <c r="AY965" s="264"/>
      <c r="AZ965" s="264"/>
      <c r="BA965" s="264"/>
      <c r="BB965" s="264"/>
      <c r="BC965" s="264"/>
      <c r="BD965" s="264"/>
    </row>
    <row r="966">
      <c r="A966" s="264"/>
      <c r="B966" s="264"/>
      <c r="C966" s="264"/>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c r="AA966" s="264"/>
      <c r="AB966" s="264"/>
      <c r="AC966" s="264"/>
      <c r="AD966" s="264"/>
      <c r="AE966" s="264"/>
      <c r="AF966" s="264"/>
      <c r="AG966" s="264"/>
      <c r="AH966" s="264"/>
      <c r="AI966" s="264"/>
      <c r="AJ966" s="264"/>
      <c r="AK966" s="264"/>
      <c r="AL966" s="264"/>
      <c r="AM966" s="264"/>
      <c r="AN966" s="264"/>
      <c r="AO966" s="264"/>
      <c r="AP966" s="264"/>
      <c r="AQ966" s="264"/>
      <c r="AR966" s="264"/>
      <c r="AS966" s="264"/>
      <c r="AT966" s="264"/>
      <c r="AU966" s="264"/>
      <c r="AV966" s="264"/>
      <c r="AW966" s="264"/>
      <c r="AX966" s="264"/>
      <c r="AY966" s="264"/>
      <c r="AZ966" s="264"/>
      <c r="BA966" s="264"/>
      <c r="BB966" s="264"/>
      <c r="BC966" s="264"/>
      <c r="BD966" s="264"/>
    </row>
    <row r="967">
      <c r="A967" s="264"/>
      <c r="B967" s="264"/>
      <c r="C967" s="264"/>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c r="AA967" s="264"/>
      <c r="AB967" s="264"/>
      <c r="AC967" s="264"/>
      <c r="AD967" s="264"/>
      <c r="AE967" s="264"/>
      <c r="AF967" s="264"/>
      <c r="AG967" s="264"/>
      <c r="AH967" s="264"/>
      <c r="AI967" s="264"/>
      <c r="AJ967" s="264"/>
      <c r="AK967" s="264"/>
      <c r="AL967" s="264"/>
      <c r="AM967" s="264"/>
      <c r="AN967" s="264"/>
      <c r="AO967" s="264"/>
      <c r="AP967" s="264"/>
      <c r="AQ967" s="264"/>
      <c r="AR967" s="264"/>
      <c r="AS967" s="264"/>
      <c r="AT967" s="264"/>
      <c r="AU967" s="264"/>
      <c r="AV967" s="264"/>
      <c r="AW967" s="264"/>
      <c r="AX967" s="264"/>
      <c r="AY967" s="264"/>
      <c r="AZ967" s="264"/>
      <c r="BA967" s="264"/>
      <c r="BB967" s="264"/>
      <c r="BC967" s="264"/>
      <c r="BD967" s="264"/>
    </row>
    <row r="968">
      <c r="A968" s="264"/>
      <c r="B968" s="264"/>
      <c r="C968" s="264"/>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c r="AA968" s="264"/>
      <c r="AB968" s="264"/>
      <c r="AC968" s="264"/>
      <c r="AD968" s="264"/>
      <c r="AE968" s="264"/>
      <c r="AF968" s="264"/>
      <c r="AG968" s="264"/>
      <c r="AH968" s="264"/>
      <c r="AI968" s="264"/>
      <c r="AJ968" s="264"/>
      <c r="AK968" s="264"/>
      <c r="AL968" s="264"/>
      <c r="AM968" s="264"/>
      <c r="AN968" s="264"/>
      <c r="AO968" s="264"/>
      <c r="AP968" s="264"/>
      <c r="AQ968" s="264"/>
      <c r="AR968" s="264"/>
      <c r="AS968" s="264"/>
      <c r="AT968" s="264"/>
      <c r="AU968" s="264"/>
      <c r="AV968" s="264"/>
      <c r="AW968" s="264"/>
      <c r="AX968" s="264"/>
      <c r="AY968" s="264"/>
      <c r="AZ968" s="264"/>
      <c r="BA968" s="264"/>
      <c r="BB968" s="264"/>
      <c r="BC968" s="264"/>
      <c r="BD968" s="264"/>
    </row>
    <row r="969">
      <c r="A969" s="264"/>
      <c r="B969" s="264"/>
      <c r="C969" s="264"/>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c r="AA969" s="264"/>
      <c r="AB969" s="264"/>
      <c r="AC969" s="264"/>
      <c r="AD969" s="264"/>
      <c r="AE969" s="264"/>
      <c r="AF969" s="264"/>
      <c r="AG969" s="264"/>
      <c r="AH969" s="264"/>
      <c r="AI969" s="264"/>
      <c r="AJ969" s="264"/>
      <c r="AK969" s="264"/>
      <c r="AL969" s="264"/>
      <c r="AM969" s="264"/>
      <c r="AN969" s="264"/>
      <c r="AO969" s="264"/>
      <c r="AP969" s="264"/>
      <c r="AQ969" s="264"/>
      <c r="AR969" s="264"/>
      <c r="AS969" s="264"/>
      <c r="AT969" s="264"/>
      <c r="AU969" s="264"/>
      <c r="AV969" s="264"/>
      <c r="AW969" s="264"/>
      <c r="AX969" s="264"/>
      <c r="AY969" s="264"/>
      <c r="AZ969" s="264"/>
      <c r="BA969" s="264"/>
      <c r="BB969" s="264"/>
      <c r="BC969" s="264"/>
      <c r="BD969" s="264"/>
    </row>
    <row r="970">
      <c r="A970" s="264"/>
      <c r="B970" s="264"/>
      <c r="C970" s="264"/>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c r="AA970" s="264"/>
      <c r="AB970" s="264"/>
      <c r="AC970" s="264"/>
      <c r="AD970" s="264"/>
      <c r="AE970" s="264"/>
      <c r="AF970" s="264"/>
      <c r="AG970" s="264"/>
      <c r="AH970" s="264"/>
      <c r="AI970" s="264"/>
      <c r="AJ970" s="264"/>
      <c r="AK970" s="264"/>
      <c r="AL970" s="264"/>
      <c r="AM970" s="264"/>
      <c r="AN970" s="264"/>
      <c r="AO970" s="264"/>
      <c r="AP970" s="264"/>
      <c r="AQ970" s="264"/>
      <c r="AR970" s="264"/>
      <c r="AS970" s="264"/>
      <c r="AT970" s="264"/>
      <c r="AU970" s="264"/>
      <c r="AV970" s="264"/>
      <c r="AW970" s="264"/>
      <c r="AX970" s="264"/>
      <c r="AY970" s="264"/>
      <c r="AZ970" s="264"/>
      <c r="BA970" s="264"/>
      <c r="BB970" s="264"/>
      <c r="BC970" s="264"/>
      <c r="BD970" s="264"/>
    </row>
    <row r="971">
      <c r="A971" s="264"/>
      <c r="B971" s="264"/>
      <c r="C971" s="264"/>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c r="AA971" s="264"/>
      <c r="AB971" s="264"/>
      <c r="AC971" s="264"/>
      <c r="AD971" s="264"/>
      <c r="AE971" s="264"/>
      <c r="AF971" s="264"/>
      <c r="AG971" s="264"/>
      <c r="AH971" s="264"/>
      <c r="AI971" s="264"/>
      <c r="AJ971" s="264"/>
      <c r="AK971" s="264"/>
      <c r="AL971" s="264"/>
      <c r="AM971" s="264"/>
      <c r="AN971" s="264"/>
      <c r="AO971" s="264"/>
      <c r="AP971" s="264"/>
      <c r="AQ971" s="264"/>
      <c r="AR971" s="264"/>
      <c r="AS971" s="264"/>
      <c r="AT971" s="264"/>
      <c r="AU971" s="264"/>
      <c r="AV971" s="264"/>
      <c r="AW971" s="264"/>
      <c r="AX971" s="264"/>
      <c r="AY971" s="264"/>
      <c r="AZ971" s="264"/>
      <c r="BA971" s="264"/>
      <c r="BB971" s="264"/>
      <c r="BC971" s="264"/>
      <c r="BD971" s="264"/>
    </row>
    <row r="972">
      <c r="A972" s="264"/>
      <c r="B972" s="264"/>
      <c r="C972" s="264"/>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c r="AA972" s="264"/>
      <c r="AB972" s="264"/>
      <c r="AC972" s="264"/>
      <c r="AD972" s="264"/>
      <c r="AE972" s="264"/>
      <c r="AF972" s="264"/>
      <c r="AG972" s="264"/>
      <c r="AH972" s="264"/>
      <c r="AI972" s="264"/>
      <c r="AJ972" s="264"/>
      <c r="AK972" s="264"/>
      <c r="AL972" s="264"/>
      <c r="AM972" s="264"/>
      <c r="AN972" s="264"/>
      <c r="AO972" s="264"/>
      <c r="AP972" s="264"/>
      <c r="AQ972" s="264"/>
      <c r="AR972" s="264"/>
      <c r="AS972" s="264"/>
      <c r="AT972" s="264"/>
      <c r="AU972" s="264"/>
      <c r="AV972" s="264"/>
      <c r="AW972" s="264"/>
      <c r="AX972" s="264"/>
      <c r="AY972" s="264"/>
      <c r="AZ972" s="264"/>
      <c r="BA972" s="264"/>
      <c r="BB972" s="264"/>
      <c r="BC972" s="264"/>
      <c r="BD972" s="264"/>
    </row>
    <row r="973">
      <c r="A973" s="264"/>
      <c r="B973" s="264"/>
      <c r="C973" s="264"/>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c r="AA973" s="264"/>
      <c r="AB973" s="264"/>
      <c r="AC973" s="264"/>
      <c r="AD973" s="264"/>
      <c r="AE973" s="264"/>
      <c r="AF973" s="264"/>
      <c r="AG973" s="264"/>
      <c r="AH973" s="264"/>
      <c r="AI973" s="264"/>
      <c r="AJ973" s="264"/>
      <c r="AK973" s="264"/>
      <c r="AL973" s="264"/>
      <c r="AM973" s="264"/>
      <c r="AN973" s="264"/>
      <c r="AO973" s="264"/>
      <c r="AP973" s="264"/>
      <c r="AQ973" s="264"/>
      <c r="AR973" s="264"/>
      <c r="AS973" s="264"/>
      <c r="AT973" s="264"/>
      <c r="AU973" s="264"/>
      <c r="AV973" s="264"/>
      <c r="AW973" s="264"/>
      <c r="AX973" s="264"/>
      <c r="AY973" s="264"/>
      <c r="AZ973" s="264"/>
      <c r="BA973" s="264"/>
      <c r="BB973" s="264"/>
      <c r="BC973" s="264"/>
      <c r="BD973" s="264"/>
    </row>
    <row r="974">
      <c r="A974" s="264"/>
      <c r="B974" s="264"/>
      <c r="C974" s="264"/>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c r="AA974" s="264"/>
      <c r="AB974" s="264"/>
      <c r="AC974" s="264"/>
      <c r="AD974" s="264"/>
      <c r="AE974" s="264"/>
      <c r="AF974" s="264"/>
      <c r="AG974" s="264"/>
      <c r="AH974" s="264"/>
      <c r="AI974" s="264"/>
      <c r="AJ974" s="264"/>
      <c r="AK974" s="264"/>
      <c r="AL974" s="264"/>
      <c r="AM974" s="264"/>
      <c r="AN974" s="264"/>
      <c r="AO974" s="264"/>
      <c r="AP974" s="264"/>
      <c r="AQ974" s="264"/>
      <c r="AR974" s="264"/>
      <c r="AS974" s="264"/>
      <c r="AT974" s="264"/>
      <c r="AU974" s="264"/>
      <c r="AV974" s="264"/>
      <c r="AW974" s="264"/>
      <c r="AX974" s="264"/>
      <c r="AY974" s="264"/>
      <c r="AZ974" s="264"/>
      <c r="BA974" s="264"/>
      <c r="BB974" s="264"/>
      <c r="BC974" s="264"/>
      <c r="BD974" s="264"/>
    </row>
    <row r="975">
      <c r="A975" s="264"/>
      <c r="B975" s="264"/>
      <c r="C975" s="264"/>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c r="AA975" s="264"/>
      <c r="AB975" s="264"/>
      <c r="AC975" s="264"/>
      <c r="AD975" s="264"/>
      <c r="AE975" s="264"/>
      <c r="AF975" s="264"/>
      <c r="AG975" s="264"/>
      <c r="AH975" s="264"/>
      <c r="AI975" s="264"/>
      <c r="AJ975" s="264"/>
      <c r="AK975" s="264"/>
      <c r="AL975" s="264"/>
      <c r="AM975" s="264"/>
      <c r="AN975" s="264"/>
      <c r="AO975" s="264"/>
      <c r="AP975" s="264"/>
      <c r="AQ975" s="264"/>
      <c r="AR975" s="264"/>
      <c r="AS975" s="264"/>
      <c r="AT975" s="264"/>
      <c r="AU975" s="264"/>
      <c r="AV975" s="264"/>
      <c r="AW975" s="264"/>
      <c r="AX975" s="264"/>
      <c r="AY975" s="264"/>
      <c r="AZ975" s="264"/>
      <c r="BA975" s="264"/>
      <c r="BB975" s="264"/>
      <c r="BC975" s="264"/>
      <c r="BD975" s="264"/>
    </row>
    <row r="976">
      <c r="A976" s="264"/>
      <c r="B976" s="264"/>
      <c r="C976" s="264"/>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c r="AA976" s="264"/>
      <c r="AB976" s="264"/>
      <c r="AC976" s="264"/>
      <c r="AD976" s="264"/>
      <c r="AE976" s="264"/>
      <c r="AF976" s="264"/>
      <c r="AG976" s="264"/>
      <c r="AH976" s="264"/>
      <c r="AI976" s="264"/>
      <c r="AJ976" s="264"/>
      <c r="AK976" s="264"/>
      <c r="AL976" s="264"/>
      <c r="AM976" s="264"/>
      <c r="AN976" s="264"/>
      <c r="AO976" s="264"/>
      <c r="AP976" s="264"/>
      <c r="AQ976" s="264"/>
      <c r="AR976" s="264"/>
      <c r="AS976" s="264"/>
      <c r="AT976" s="264"/>
      <c r="AU976" s="264"/>
      <c r="AV976" s="264"/>
      <c r="AW976" s="264"/>
      <c r="AX976" s="264"/>
      <c r="AY976" s="264"/>
      <c r="AZ976" s="264"/>
      <c r="BA976" s="264"/>
      <c r="BB976" s="264"/>
      <c r="BC976" s="264"/>
      <c r="BD976" s="264"/>
    </row>
    <row r="977">
      <c r="A977" s="264"/>
      <c r="B977" s="264"/>
      <c r="C977" s="264"/>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c r="AA977" s="264"/>
      <c r="AB977" s="264"/>
      <c r="AC977" s="264"/>
      <c r="AD977" s="264"/>
      <c r="AE977" s="264"/>
      <c r="AF977" s="264"/>
      <c r="AG977" s="264"/>
      <c r="AH977" s="264"/>
      <c r="AI977" s="264"/>
      <c r="AJ977" s="264"/>
      <c r="AK977" s="264"/>
      <c r="AL977" s="264"/>
      <c r="AM977" s="264"/>
      <c r="AN977" s="264"/>
      <c r="AO977" s="264"/>
      <c r="AP977" s="264"/>
      <c r="AQ977" s="264"/>
      <c r="AR977" s="264"/>
      <c r="AS977" s="264"/>
      <c r="AT977" s="264"/>
      <c r="AU977" s="264"/>
      <c r="AV977" s="264"/>
      <c r="AW977" s="264"/>
      <c r="AX977" s="264"/>
      <c r="AY977" s="264"/>
      <c r="AZ977" s="264"/>
      <c r="BA977" s="264"/>
      <c r="BB977" s="264"/>
      <c r="BC977" s="264"/>
      <c r="BD977" s="264"/>
    </row>
    <row r="978">
      <c r="A978" s="264"/>
      <c r="B978" s="264"/>
      <c r="C978" s="264"/>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c r="AA978" s="264"/>
      <c r="AB978" s="264"/>
      <c r="AC978" s="264"/>
      <c r="AD978" s="264"/>
      <c r="AE978" s="264"/>
      <c r="AF978" s="264"/>
      <c r="AG978" s="264"/>
      <c r="AH978" s="264"/>
      <c r="AI978" s="264"/>
      <c r="AJ978" s="264"/>
      <c r="AK978" s="264"/>
      <c r="AL978" s="264"/>
      <c r="AM978" s="264"/>
      <c r="AN978" s="264"/>
      <c r="AO978" s="264"/>
      <c r="AP978" s="264"/>
      <c r="AQ978" s="264"/>
      <c r="AR978" s="264"/>
      <c r="AS978" s="264"/>
      <c r="AT978" s="264"/>
      <c r="AU978" s="264"/>
      <c r="AV978" s="264"/>
      <c r="AW978" s="264"/>
      <c r="AX978" s="264"/>
      <c r="AY978" s="264"/>
      <c r="AZ978" s="264"/>
      <c r="BA978" s="264"/>
      <c r="BB978" s="264"/>
      <c r="BC978" s="264"/>
      <c r="BD978" s="264"/>
    </row>
    <row r="979">
      <c r="A979" s="264"/>
      <c r="B979" s="264"/>
      <c r="C979" s="264"/>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c r="AA979" s="264"/>
      <c r="AB979" s="264"/>
      <c r="AC979" s="264"/>
      <c r="AD979" s="264"/>
      <c r="AE979" s="264"/>
      <c r="AF979" s="264"/>
      <c r="AG979" s="264"/>
      <c r="AH979" s="264"/>
      <c r="AI979" s="264"/>
      <c r="AJ979" s="264"/>
      <c r="AK979" s="264"/>
      <c r="AL979" s="264"/>
      <c r="AM979" s="264"/>
      <c r="AN979" s="264"/>
      <c r="AO979" s="264"/>
      <c r="AP979" s="264"/>
      <c r="AQ979" s="264"/>
      <c r="AR979" s="264"/>
      <c r="AS979" s="264"/>
      <c r="AT979" s="264"/>
      <c r="AU979" s="264"/>
      <c r="AV979" s="264"/>
      <c r="AW979" s="264"/>
      <c r="AX979" s="264"/>
      <c r="AY979" s="264"/>
      <c r="AZ979" s="264"/>
      <c r="BA979" s="264"/>
      <c r="BB979" s="264"/>
      <c r="BC979" s="264"/>
      <c r="BD979" s="264"/>
    </row>
    <row r="980">
      <c r="A980" s="264"/>
      <c r="B980" s="264"/>
      <c r="C980" s="264"/>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c r="AA980" s="264"/>
      <c r="AB980" s="264"/>
      <c r="AC980" s="264"/>
      <c r="AD980" s="264"/>
      <c r="AE980" s="264"/>
      <c r="AF980" s="264"/>
      <c r="AG980" s="264"/>
      <c r="AH980" s="264"/>
      <c r="AI980" s="264"/>
      <c r="AJ980" s="264"/>
      <c r="AK980" s="264"/>
      <c r="AL980" s="264"/>
      <c r="AM980" s="264"/>
      <c r="AN980" s="264"/>
      <c r="AO980" s="264"/>
      <c r="AP980" s="264"/>
      <c r="AQ980" s="264"/>
      <c r="AR980" s="264"/>
      <c r="AS980" s="264"/>
      <c r="AT980" s="264"/>
      <c r="AU980" s="264"/>
      <c r="AV980" s="264"/>
      <c r="AW980" s="264"/>
      <c r="AX980" s="264"/>
      <c r="AY980" s="264"/>
      <c r="AZ980" s="264"/>
      <c r="BA980" s="264"/>
      <c r="BB980" s="264"/>
      <c r="BC980" s="264"/>
      <c r="BD980" s="264"/>
    </row>
    <row r="981">
      <c r="A981" s="264"/>
      <c r="B981" s="264"/>
      <c r="C981" s="264"/>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c r="AA981" s="264"/>
      <c r="AB981" s="264"/>
      <c r="AC981" s="264"/>
      <c r="AD981" s="264"/>
      <c r="AE981" s="264"/>
      <c r="AF981" s="264"/>
      <c r="AG981" s="264"/>
      <c r="AH981" s="264"/>
      <c r="AI981" s="264"/>
      <c r="AJ981" s="264"/>
      <c r="AK981" s="264"/>
      <c r="AL981" s="264"/>
      <c r="AM981" s="264"/>
      <c r="AN981" s="264"/>
      <c r="AO981" s="264"/>
      <c r="AP981" s="264"/>
      <c r="AQ981" s="264"/>
      <c r="AR981" s="264"/>
      <c r="AS981" s="264"/>
      <c r="AT981" s="264"/>
      <c r="AU981" s="264"/>
      <c r="AV981" s="264"/>
      <c r="AW981" s="264"/>
      <c r="AX981" s="264"/>
      <c r="AY981" s="264"/>
      <c r="AZ981" s="264"/>
      <c r="BA981" s="264"/>
      <c r="BB981" s="264"/>
      <c r="BC981" s="264"/>
      <c r="BD981" s="264"/>
    </row>
    <row r="982">
      <c r="A982" s="264"/>
      <c r="B982" s="264"/>
      <c r="C982" s="264"/>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c r="AA982" s="264"/>
      <c r="AB982" s="264"/>
      <c r="AC982" s="264"/>
      <c r="AD982" s="264"/>
      <c r="AE982" s="264"/>
      <c r="AF982" s="264"/>
      <c r="AG982" s="264"/>
      <c r="AH982" s="264"/>
      <c r="AI982" s="264"/>
      <c r="AJ982" s="264"/>
      <c r="AK982" s="264"/>
      <c r="AL982" s="264"/>
      <c r="AM982" s="264"/>
      <c r="AN982" s="264"/>
      <c r="AO982" s="264"/>
      <c r="AP982" s="264"/>
      <c r="AQ982" s="264"/>
      <c r="AR982" s="264"/>
      <c r="AS982" s="264"/>
      <c r="AT982" s="264"/>
      <c r="AU982" s="264"/>
      <c r="AV982" s="264"/>
      <c r="AW982" s="264"/>
      <c r="AX982" s="264"/>
      <c r="AY982" s="264"/>
      <c r="AZ982" s="264"/>
      <c r="BA982" s="264"/>
      <c r="BB982" s="264"/>
      <c r="BC982" s="264"/>
      <c r="BD982" s="264"/>
    </row>
    <row r="983">
      <c r="A983" s="264"/>
      <c r="B983" s="264"/>
      <c r="C983" s="264"/>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c r="AA983" s="264"/>
      <c r="AB983" s="264"/>
      <c r="AC983" s="264"/>
      <c r="AD983" s="264"/>
      <c r="AE983" s="264"/>
      <c r="AF983" s="264"/>
      <c r="AG983" s="264"/>
      <c r="AH983" s="264"/>
      <c r="AI983" s="264"/>
      <c r="AJ983" s="264"/>
      <c r="AK983" s="264"/>
      <c r="AL983" s="264"/>
      <c r="AM983" s="264"/>
      <c r="AN983" s="264"/>
      <c r="AO983" s="264"/>
      <c r="AP983" s="264"/>
      <c r="AQ983" s="264"/>
      <c r="AR983" s="264"/>
      <c r="AS983" s="264"/>
      <c r="AT983" s="264"/>
      <c r="AU983" s="264"/>
      <c r="AV983" s="264"/>
      <c r="AW983" s="264"/>
      <c r="AX983" s="264"/>
      <c r="AY983" s="264"/>
      <c r="AZ983" s="264"/>
      <c r="BA983" s="264"/>
      <c r="BB983" s="264"/>
      <c r="BC983" s="264"/>
      <c r="BD983" s="264"/>
    </row>
    <row r="984">
      <c r="A984" s="264"/>
      <c r="B984" s="264"/>
      <c r="C984" s="264"/>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c r="AA984" s="264"/>
      <c r="AB984" s="264"/>
      <c r="AC984" s="264"/>
      <c r="AD984" s="264"/>
      <c r="AE984" s="264"/>
      <c r="AF984" s="264"/>
      <c r="AG984" s="264"/>
      <c r="AH984" s="264"/>
      <c r="AI984" s="264"/>
      <c r="AJ984" s="264"/>
      <c r="AK984" s="264"/>
      <c r="AL984" s="264"/>
      <c r="AM984" s="264"/>
      <c r="AN984" s="264"/>
      <c r="AO984" s="264"/>
      <c r="AP984" s="264"/>
      <c r="AQ984" s="264"/>
      <c r="AR984" s="264"/>
      <c r="AS984" s="264"/>
      <c r="AT984" s="264"/>
      <c r="AU984" s="264"/>
      <c r="AV984" s="264"/>
      <c r="AW984" s="264"/>
      <c r="AX984" s="264"/>
      <c r="AY984" s="264"/>
      <c r="AZ984" s="264"/>
      <c r="BA984" s="264"/>
      <c r="BB984" s="264"/>
      <c r="BC984" s="264"/>
      <c r="BD984" s="264"/>
    </row>
    <row r="985">
      <c r="A985" s="264"/>
      <c r="B985" s="264"/>
      <c r="C985" s="264"/>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c r="AA985" s="264"/>
      <c r="AB985" s="264"/>
      <c r="AC985" s="264"/>
      <c r="AD985" s="264"/>
      <c r="AE985" s="264"/>
      <c r="AF985" s="264"/>
      <c r="AG985" s="264"/>
      <c r="AH985" s="264"/>
      <c r="AI985" s="264"/>
      <c r="AJ985" s="264"/>
      <c r="AK985" s="264"/>
      <c r="AL985" s="264"/>
      <c r="AM985" s="264"/>
      <c r="AN985" s="264"/>
      <c r="AO985" s="264"/>
      <c r="AP985" s="264"/>
      <c r="AQ985" s="264"/>
      <c r="AR985" s="264"/>
      <c r="AS985" s="264"/>
      <c r="AT985" s="264"/>
      <c r="AU985" s="264"/>
      <c r="AV985" s="264"/>
      <c r="AW985" s="264"/>
      <c r="AX985" s="264"/>
      <c r="AY985" s="264"/>
      <c r="AZ985" s="264"/>
      <c r="BA985" s="264"/>
      <c r="BB985" s="264"/>
      <c r="BC985" s="264"/>
      <c r="BD985" s="264"/>
    </row>
    <row r="986">
      <c r="A986" s="264"/>
      <c r="B986" s="264"/>
      <c r="C986" s="264"/>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c r="AA986" s="264"/>
      <c r="AB986" s="264"/>
      <c r="AC986" s="264"/>
      <c r="AD986" s="264"/>
      <c r="AE986" s="264"/>
      <c r="AF986" s="264"/>
      <c r="AG986" s="264"/>
      <c r="AH986" s="264"/>
      <c r="AI986" s="264"/>
      <c r="AJ986" s="264"/>
      <c r="AK986" s="264"/>
      <c r="AL986" s="264"/>
      <c r="AM986" s="264"/>
      <c r="AN986" s="264"/>
      <c r="AO986" s="264"/>
      <c r="AP986" s="264"/>
      <c r="AQ986" s="264"/>
      <c r="AR986" s="264"/>
      <c r="AS986" s="264"/>
      <c r="AT986" s="264"/>
      <c r="AU986" s="264"/>
      <c r="AV986" s="264"/>
      <c r="AW986" s="264"/>
      <c r="AX986" s="264"/>
      <c r="AY986" s="264"/>
      <c r="AZ986" s="264"/>
      <c r="BA986" s="264"/>
      <c r="BB986" s="264"/>
      <c r="BC986" s="264"/>
      <c r="BD986" s="264"/>
    </row>
    <row r="987">
      <c r="A987" s="264"/>
      <c r="B987" s="264"/>
      <c r="C987" s="264"/>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c r="AA987" s="264"/>
      <c r="AB987" s="264"/>
      <c r="AC987" s="264"/>
      <c r="AD987" s="264"/>
      <c r="AE987" s="264"/>
      <c r="AF987" s="264"/>
      <c r="AG987" s="264"/>
      <c r="AH987" s="264"/>
      <c r="AI987" s="264"/>
      <c r="AJ987" s="264"/>
      <c r="AK987" s="264"/>
      <c r="AL987" s="264"/>
      <c r="AM987" s="264"/>
      <c r="AN987" s="264"/>
      <c r="AO987" s="264"/>
      <c r="AP987" s="264"/>
      <c r="AQ987" s="264"/>
      <c r="AR987" s="264"/>
      <c r="AS987" s="264"/>
      <c r="AT987" s="264"/>
      <c r="AU987" s="264"/>
      <c r="AV987" s="264"/>
      <c r="AW987" s="264"/>
      <c r="AX987" s="264"/>
      <c r="AY987" s="264"/>
      <c r="AZ987" s="264"/>
      <c r="BA987" s="264"/>
      <c r="BB987" s="264"/>
      <c r="BC987" s="264"/>
      <c r="BD987" s="264"/>
    </row>
    <row r="988">
      <c r="A988" s="264"/>
      <c r="B988" s="264"/>
      <c r="C988" s="264"/>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c r="AA988" s="264"/>
      <c r="AB988" s="264"/>
      <c r="AC988" s="264"/>
      <c r="AD988" s="264"/>
      <c r="AE988" s="264"/>
      <c r="AF988" s="264"/>
      <c r="AG988" s="264"/>
      <c r="AH988" s="264"/>
      <c r="AI988" s="264"/>
      <c r="AJ988" s="264"/>
      <c r="AK988" s="264"/>
      <c r="AL988" s="264"/>
      <c r="AM988" s="264"/>
      <c r="AN988" s="264"/>
      <c r="AO988" s="264"/>
      <c r="AP988" s="264"/>
      <c r="AQ988" s="264"/>
      <c r="AR988" s="264"/>
      <c r="AS988" s="264"/>
      <c r="AT988" s="264"/>
      <c r="AU988" s="264"/>
      <c r="AV988" s="264"/>
      <c r="AW988" s="264"/>
      <c r="AX988" s="264"/>
      <c r="AY988" s="264"/>
      <c r="AZ988" s="264"/>
      <c r="BA988" s="264"/>
      <c r="BB988" s="264"/>
      <c r="BC988" s="264"/>
      <c r="BD988" s="264"/>
    </row>
    <row r="989">
      <c r="A989" s="264"/>
      <c r="B989" s="264"/>
      <c r="C989" s="264"/>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c r="AA989" s="264"/>
      <c r="AB989" s="264"/>
      <c r="AC989" s="264"/>
      <c r="AD989" s="264"/>
      <c r="AE989" s="264"/>
      <c r="AF989" s="264"/>
      <c r="AG989" s="264"/>
      <c r="AH989" s="264"/>
      <c r="AI989" s="264"/>
      <c r="AJ989" s="264"/>
      <c r="AK989" s="264"/>
      <c r="AL989" s="264"/>
      <c r="AM989" s="264"/>
      <c r="AN989" s="264"/>
      <c r="AO989" s="264"/>
      <c r="AP989" s="264"/>
      <c r="AQ989" s="264"/>
      <c r="AR989" s="264"/>
      <c r="AS989" s="264"/>
      <c r="AT989" s="264"/>
      <c r="AU989" s="264"/>
      <c r="AV989" s="264"/>
      <c r="AW989" s="264"/>
      <c r="AX989" s="264"/>
      <c r="AY989" s="264"/>
      <c r="AZ989" s="264"/>
      <c r="BA989" s="264"/>
      <c r="BB989" s="264"/>
      <c r="BC989" s="264"/>
      <c r="BD989" s="264"/>
    </row>
    <row r="990">
      <c r="A990" s="264"/>
      <c r="B990" s="264"/>
      <c r="C990" s="264"/>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c r="AA990" s="264"/>
      <c r="AB990" s="264"/>
      <c r="AC990" s="264"/>
      <c r="AD990" s="264"/>
      <c r="AE990" s="264"/>
      <c r="AF990" s="264"/>
      <c r="AG990" s="264"/>
      <c r="AH990" s="264"/>
      <c r="AI990" s="264"/>
      <c r="AJ990" s="264"/>
      <c r="AK990" s="264"/>
      <c r="AL990" s="264"/>
      <c r="AM990" s="264"/>
      <c r="AN990" s="264"/>
      <c r="AO990" s="264"/>
      <c r="AP990" s="264"/>
      <c r="AQ990" s="264"/>
      <c r="AR990" s="264"/>
      <c r="AS990" s="264"/>
      <c r="AT990" s="264"/>
      <c r="AU990" s="264"/>
      <c r="AV990" s="264"/>
      <c r="AW990" s="264"/>
      <c r="AX990" s="264"/>
      <c r="AY990" s="264"/>
      <c r="AZ990" s="264"/>
      <c r="BA990" s="264"/>
      <c r="BB990" s="264"/>
      <c r="BC990" s="264"/>
      <c r="BD990" s="264"/>
    </row>
    <row r="991">
      <c r="A991" s="264"/>
      <c r="B991" s="264"/>
      <c r="C991" s="264"/>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c r="AA991" s="264"/>
      <c r="AB991" s="264"/>
      <c r="AC991" s="264"/>
      <c r="AD991" s="264"/>
      <c r="AE991" s="264"/>
      <c r="AF991" s="264"/>
      <c r="AG991" s="264"/>
      <c r="AH991" s="264"/>
      <c r="AI991" s="264"/>
      <c r="AJ991" s="264"/>
      <c r="AK991" s="264"/>
      <c r="AL991" s="264"/>
      <c r="AM991" s="264"/>
      <c r="AN991" s="264"/>
      <c r="AO991" s="264"/>
      <c r="AP991" s="264"/>
      <c r="AQ991" s="264"/>
      <c r="AR991" s="264"/>
      <c r="AS991" s="264"/>
      <c r="AT991" s="264"/>
      <c r="AU991" s="264"/>
      <c r="AV991" s="264"/>
      <c r="AW991" s="264"/>
      <c r="AX991" s="264"/>
      <c r="AY991" s="264"/>
      <c r="AZ991" s="264"/>
      <c r="BA991" s="264"/>
      <c r="BB991" s="264"/>
      <c r="BC991" s="264"/>
      <c r="BD991" s="264"/>
    </row>
    <row r="992">
      <c r="A992" s="264"/>
      <c r="B992" s="264"/>
      <c r="C992" s="264"/>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c r="AA992" s="264"/>
      <c r="AB992" s="264"/>
      <c r="AC992" s="264"/>
      <c r="AD992" s="264"/>
      <c r="AE992" s="264"/>
      <c r="AF992" s="264"/>
      <c r="AG992" s="264"/>
      <c r="AH992" s="264"/>
      <c r="AI992" s="264"/>
      <c r="AJ992" s="264"/>
      <c r="AK992" s="264"/>
      <c r="AL992" s="264"/>
      <c r="AM992" s="264"/>
      <c r="AN992" s="264"/>
      <c r="AO992" s="264"/>
      <c r="AP992" s="264"/>
      <c r="AQ992" s="264"/>
      <c r="AR992" s="264"/>
      <c r="AS992" s="264"/>
      <c r="AT992" s="264"/>
      <c r="AU992" s="264"/>
      <c r="AV992" s="264"/>
      <c r="AW992" s="264"/>
      <c r="AX992" s="264"/>
      <c r="AY992" s="264"/>
      <c r="AZ992" s="264"/>
      <c r="BA992" s="264"/>
      <c r="BB992" s="264"/>
      <c r="BC992" s="264"/>
      <c r="BD992" s="264"/>
    </row>
    <row r="993">
      <c r="A993" s="264"/>
      <c r="B993" s="264"/>
      <c r="C993" s="264"/>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c r="AA993" s="264"/>
      <c r="AB993" s="264"/>
      <c r="AC993" s="264"/>
      <c r="AD993" s="264"/>
      <c r="AE993" s="264"/>
      <c r="AF993" s="264"/>
      <c r="AG993" s="264"/>
      <c r="AH993" s="264"/>
      <c r="AI993" s="264"/>
      <c r="AJ993" s="264"/>
      <c r="AK993" s="264"/>
      <c r="AL993" s="264"/>
      <c r="AM993" s="264"/>
      <c r="AN993" s="264"/>
      <c r="AO993" s="264"/>
      <c r="AP993" s="264"/>
      <c r="AQ993" s="264"/>
      <c r="AR993" s="264"/>
      <c r="AS993" s="264"/>
      <c r="AT993" s="264"/>
      <c r="AU993" s="264"/>
      <c r="AV993" s="264"/>
      <c r="AW993" s="264"/>
      <c r="AX993" s="264"/>
      <c r="AY993" s="264"/>
      <c r="AZ993" s="264"/>
      <c r="BA993" s="264"/>
      <c r="BB993" s="264"/>
      <c r="BC993" s="264"/>
      <c r="BD993" s="264"/>
    </row>
    <row r="994">
      <c r="A994" s="264"/>
      <c r="B994" s="264"/>
      <c r="C994" s="264"/>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c r="AA994" s="264"/>
      <c r="AB994" s="264"/>
      <c r="AC994" s="264"/>
      <c r="AD994" s="264"/>
      <c r="AE994" s="264"/>
      <c r="AF994" s="264"/>
      <c r="AG994" s="264"/>
      <c r="AH994" s="264"/>
      <c r="AI994" s="264"/>
      <c r="AJ994" s="264"/>
      <c r="AK994" s="264"/>
      <c r="AL994" s="264"/>
      <c r="AM994" s="264"/>
      <c r="AN994" s="264"/>
      <c r="AO994" s="264"/>
      <c r="AP994" s="264"/>
      <c r="AQ994" s="264"/>
      <c r="AR994" s="264"/>
      <c r="AS994" s="264"/>
      <c r="AT994" s="264"/>
      <c r="AU994" s="264"/>
      <c r="AV994" s="264"/>
      <c r="AW994" s="264"/>
      <c r="AX994" s="264"/>
      <c r="AY994" s="264"/>
      <c r="AZ994" s="264"/>
      <c r="BA994" s="264"/>
      <c r="BB994" s="264"/>
      <c r="BC994" s="264"/>
      <c r="BD994" s="264"/>
    </row>
    <row r="995">
      <c r="A995" s="264"/>
      <c r="B995" s="264"/>
      <c r="C995" s="264"/>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c r="AA995" s="264"/>
      <c r="AB995" s="264"/>
      <c r="AC995" s="264"/>
      <c r="AD995" s="264"/>
      <c r="AE995" s="264"/>
      <c r="AF995" s="264"/>
      <c r="AG995" s="264"/>
      <c r="AH995" s="264"/>
      <c r="AI995" s="264"/>
      <c r="AJ995" s="264"/>
      <c r="AK995" s="264"/>
      <c r="AL995" s="264"/>
      <c r="AM995" s="264"/>
      <c r="AN995" s="264"/>
      <c r="AO995" s="264"/>
      <c r="AP995" s="264"/>
      <c r="AQ995" s="264"/>
      <c r="AR995" s="264"/>
      <c r="AS995" s="264"/>
      <c r="AT995" s="264"/>
      <c r="AU995" s="264"/>
      <c r="AV995" s="264"/>
      <c r="AW995" s="264"/>
      <c r="AX995" s="264"/>
      <c r="AY995" s="264"/>
      <c r="AZ995" s="264"/>
      <c r="BA995" s="264"/>
      <c r="BB995" s="264"/>
      <c r="BC995" s="264"/>
      <c r="BD995" s="264"/>
    </row>
    <row r="996">
      <c r="A996" s="264"/>
      <c r="B996" s="264"/>
      <c r="C996" s="264"/>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c r="AA996" s="264"/>
      <c r="AB996" s="264"/>
      <c r="AC996" s="264"/>
      <c r="AD996" s="264"/>
      <c r="AE996" s="264"/>
      <c r="AF996" s="264"/>
      <c r="AG996" s="264"/>
      <c r="AH996" s="264"/>
      <c r="AI996" s="264"/>
      <c r="AJ996" s="264"/>
      <c r="AK996" s="264"/>
      <c r="AL996" s="264"/>
      <c r="AM996" s="264"/>
      <c r="AN996" s="264"/>
      <c r="AO996" s="264"/>
      <c r="AP996" s="264"/>
      <c r="AQ996" s="264"/>
      <c r="AR996" s="264"/>
      <c r="AS996" s="264"/>
      <c r="AT996" s="264"/>
      <c r="AU996" s="264"/>
      <c r="AV996" s="264"/>
      <c r="AW996" s="264"/>
      <c r="AX996" s="264"/>
      <c r="AY996" s="264"/>
      <c r="AZ996" s="264"/>
      <c r="BA996" s="264"/>
      <c r="BB996" s="264"/>
      <c r="BC996" s="264"/>
      <c r="BD996" s="264"/>
    </row>
    <row r="997">
      <c r="A997" s="264"/>
      <c r="B997" s="264"/>
      <c r="C997" s="264"/>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c r="AA997" s="264"/>
      <c r="AB997" s="264"/>
      <c r="AC997" s="264"/>
      <c r="AD997" s="264"/>
      <c r="AE997" s="264"/>
      <c r="AF997" s="264"/>
      <c r="AG997" s="264"/>
      <c r="AH997" s="264"/>
      <c r="AI997" s="264"/>
      <c r="AJ997" s="264"/>
      <c r="AK997" s="264"/>
      <c r="AL997" s="264"/>
      <c r="AM997" s="264"/>
      <c r="AN997" s="264"/>
      <c r="AO997" s="264"/>
      <c r="AP997" s="264"/>
      <c r="AQ997" s="264"/>
      <c r="AR997" s="264"/>
      <c r="AS997" s="264"/>
      <c r="AT997" s="264"/>
      <c r="AU997" s="264"/>
      <c r="AV997" s="264"/>
      <c r="AW997" s="264"/>
      <c r="AX997" s="264"/>
      <c r="AY997" s="264"/>
      <c r="AZ997" s="264"/>
      <c r="BA997" s="264"/>
      <c r="BB997" s="264"/>
      <c r="BC997" s="264"/>
      <c r="BD997" s="264"/>
    </row>
    <row r="998">
      <c r="A998" s="264"/>
      <c r="B998" s="264"/>
      <c r="C998" s="264"/>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c r="AA998" s="264"/>
      <c r="AB998" s="264"/>
      <c r="AC998" s="264"/>
      <c r="AD998" s="264"/>
      <c r="AE998" s="264"/>
      <c r="AF998" s="264"/>
      <c r="AG998" s="264"/>
      <c r="AH998" s="264"/>
      <c r="AI998" s="264"/>
      <c r="AJ998" s="264"/>
      <c r="AK998" s="264"/>
      <c r="AL998" s="264"/>
      <c r="AM998" s="264"/>
      <c r="AN998" s="264"/>
      <c r="AO998" s="264"/>
      <c r="AP998" s="264"/>
      <c r="AQ998" s="264"/>
      <c r="AR998" s="264"/>
      <c r="AS998" s="264"/>
      <c r="AT998" s="264"/>
      <c r="AU998" s="264"/>
      <c r="AV998" s="264"/>
      <c r="AW998" s="264"/>
      <c r="AX998" s="264"/>
      <c r="AY998" s="264"/>
      <c r="AZ998" s="264"/>
      <c r="BA998" s="264"/>
      <c r="BB998" s="264"/>
      <c r="BC998" s="264"/>
      <c r="BD998" s="264"/>
    </row>
    <row r="999">
      <c r="A999" s="264"/>
      <c r="B999" s="264"/>
      <c r="C999" s="264"/>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c r="AA999" s="264"/>
      <c r="AB999" s="264"/>
      <c r="AC999" s="264"/>
      <c r="AD999" s="264"/>
      <c r="AE999" s="264"/>
      <c r="AF999" s="264"/>
      <c r="AG999" s="264"/>
      <c r="AH999" s="264"/>
      <c r="AI999" s="264"/>
      <c r="AJ999" s="264"/>
      <c r="AK999" s="264"/>
      <c r="AL999" s="264"/>
      <c r="AM999" s="264"/>
      <c r="AN999" s="264"/>
      <c r="AO999" s="264"/>
      <c r="AP999" s="264"/>
      <c r="AQ999" s="264"/>
      <c r="AR999" s="264"/>
      <c r="AS999" s="264"/>
      <c r="AT999" s="264"/>
      <c r="AU999" s="264"/>
      <c r="AV999" s="264"/>
      <c r="AW999" s="264"/>
      <c r="AX999" s="264"/>
      <c r="AY999" s="264"/>
      <c r="AZ999" s="264"/>
      <c r="BA999" s="264"/>
      <c r="BB999" s="264"/>
      <c r="BC999" s="264"/>
      <c r="BD999" s="264"/>
    </row>
    <row r="1000">
      <c r="A1000" s="264"/>
      <c r="B1000" s="264"/>
      <c r="C1000" s="264"/>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c r="Y1000" s="264"/>
      <c r="Z1000" s="264"/>
      <c r="AA1000" s="264"/>
      <c r="AB1000" s="264"/>
      <c r="AC1000" s="264"/>
      <c r="AD1000" s="264"/>
      <c r="AE1000" s="264"/>
      <c r="AF1000" s="264"/>
      <c r="AG1000" s="264"/>
      <c r="AH1000" s="264"/>
      <c r="AI1000" s="264"/>
      <c r="AJ1000" s="264"/>
      <c r="AK1000" s="264"/>
      <c r="AL1000" s="264"/>
      <c r="AM1000" s="264"/>
      <c r="AN1000" s="264"/>
      <c r="AO1000" s="264"/>
      <c r="AP1000" s="264"/>
      <c r="AQ1000" s="264"/>
      <c r="AR1000" s="264"/>
      <c r="AS1000" s="264"/>
      <c r="AT1000" s="264"/>
      <c r="AU1000" s="264"/>
      <c r="AV1000" s="264"/>
      <c r="AW1000" s="264"/>
      <c r="AX1000" s="264"/>
      <c r="AY1000" s="264"/>
      <c r="AZ1000" s="264"/>
      <c r="BA1000" s="264"/>
      <c r="BB1000" s="264"/>
      <c r="BC1000" s="264"/>
      <c r="BD1000" s="264"/>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1" max="1" width="9.57"/>
    <col customWidth="1" min="2" max="2" width="9.29"/>
    <col customWidth="1" min="3" max="3" width="16.14"/>
    <col customWidth="1" min="4" max="4" width="20.43"/>
    <col customWidth="1" min="5" max="5" width="20.0"/>
    <col customWidth="1" min="6" max="6" width="16.86"/>
    <col customWidth="1" min="7" max="7" width="21.71"/>
    <col customWidth="1" min="8" max="8" width="30.43"/>
  </cols>
  <sheetData>
    <row r="1">
      <c r="A1" s="274" t="str">
        <f>Raw!A1</f>
        <v>Reference</v>
      </c>
      <c r="B1" s="275" t="str">
        <f>Raw!E1</f>
        <v>Date</v>
      </c>
      <c r="C1" s="276" t="str">
        <f>Raw!B1</f>
        <v>Name</v>
      </c>
      <c r="D1" s="276" t="str">
        <f>Raw!C1</f>
        <v>Smelt Group (Team?)</v>
      </c>
      <c r="E1" s="276" t="str">
        <f>Raw!D1</f>
        <v>Location</v>
      </c>
      <c r="F1" s="276" t="str">
        <f>Raw!F1</f>
        <v>Period</v>
      </c>
      <c r="G1" s="276" t="str">
        <f>Raw!DA1</f>
        <v>Reference</v>
      </c>
      <c r="H1" s="277" t="str">
        <f>Raw!DB1</f>
        <v>Objectives</v>
      </c>
      <c r="I1" s="264" t="str">
        <f>Raw!H1</f>
        <v>Expt Group</v>
      </c>
      <c r="J1" s="264" t="str">
        <f>Raw!G1</f>
        <v>Demo</v>
      </c>
      <c r="K1" s="264"/>
      <c r="L1" s="264"/>
      <c r="M1" s="264"/>
      <c r="N1" s="264"/>
      <c r="O1" s="264"/>
      <c r="P1" s="264"/>
      <c r="Q1" s="264"/>
      <c r="R1" s="264"/>
      <c r="S1" s="264"/>
      <c r="T1" s="264"/>
      <c r="U1" s="264"/>
      <c r="V1" s="264"/>
      <c r="W1" s="264"/>
      <c r="X1" s="264"/>
      <c r="Y1" s="264"/>
      <c r="Z1" s="264"/>
    </row>
    <row r="2">
      <c r="A2" s="238">
        <f>Raw!A2</f>
        <v>1</v>
      </c>
      <c r="B2" s="240">
        <f>Raw!E2</f>
        <v>37069</v>
      </c>
      <c r="C2" s="239" t="str">
        <f>Raw!B2</f>
        <v>Vinland Theory</v>
      </c>
      <c r="D2" s="239" t="str">
        <f>Raw!C2</f>
        <v>Parks Canada</v>
      </c>
      <c r="E2" s="239" t="str">
        <f>Raw!D2</f>
        <v>L'Anse aux Meadows NL</v>
      </c>
      <c r="F2" s="239" t="str">
        <f>Raw!F2</f>
        <v>Viking Age</v>
      </c>
      <c r="G2" s="239" t="str">
        <f>Raw!DA2</f>
        <v>B Wallace, A Espelund</v>
      </c>
      <c r="H2" s="278" t="str">
        <f>Raw!DB2</f>
        <v>primary experiment on forms suggested by LAM</v>
      </c>
      <c r="I2" s="264" t="str">
        <f>Raw!H2</f>
        <v>Vinland</v>
      </c>
      <c r="J2" s="264" t="str">
        <f>Raw!G2</f>
        <v>N</v>
      </c>
      <c r="K2" s="264"/>
      <c r="L2" s="264"/>
      <c r="M2" s="264"/>
      <c r="N2" s="264"/>
      <c r="O2" s="264"/>
      <c r="P2" s="264"/>
      <c r="Q2" s="264"/>
      <c r="R2" s="264"/>
      <c r="S2" s="264"/>
      <c r="T2" s="264"/>
      <c r="U2" s="264"/>
      <c r="V2" s="264"/>
      <c r="W2" s="264"/>
      <c r="X2" s="264"/>
      <c r="Y2" s="264"/>
      <c r="Z2" s="264"/>
    </row>
    <row r="3">
      <c r="A3" s="249" t="str">
        <f>Raw!A3</f>
        <v>2 / D1</v>
      </c>
      <c r="B3" s="251">
        <f>Raw!E3</f>
        <v>37402</v>
      </c>
      <c r="C3" s="250" t="str">
        <f>Raw!B3</f>
        <v>Vinland Theory</v>
      </c>
      <c r="D3" s="250" t="str">
        <f>Raw!C3</f>
        <v>DARC</v>
      </c>
      <c r="E3" s="250" t="str">
        <f>Raw!D3</f>
        <v>Wareham ON</v>
      </c>
      <c r="F3" s="250" t="str">
        <f>Raw!F3</f>
        <v>Viking Age</v>
      </c>
      <c r="G3" s="250" t="str">
        <f>Raw!DA3</f>
        <v>B Wallace, A Espelund</v>
      </c>
      <c r="H3" s="279" t="str">
        <f>Raw!DB3</f>
        <v>repeat #1 with shop support</v>
      </c>
      <c r="I3" s="264" t="str">
        <f>Raw!H3</f>
        <v>Vinland</v>
      </c>
      <c r="J3" s="264" t="str">
        <f>Raw!G3</f>
        <v>N</v>
      </c>
      <c r="K3" s="264"/>
      <c r="L3" s="264"/>
      <c r="M3" s="264"/>
      <c r="N3" s="264"/>
      <c r="O3" s="264"/>
      <c r="P3" s="264"/>
      <c r="Q3" s="264"/>
      <c r="R3" s="264"/>
      <c r="S3" s="264"/>
      <c r="T3" s="264"/>
      <c r="U3" s="264"/>
      <c r="V3" s="264"/>
      <c r="W3" s="264"/>
      <c r="X3" s="264"/>
      <c r="Y3" s="264"/>
      <c r="Z3" s="264"/>
    </row>
    <row r="4">
      <c r="A4" s="249" t="str">
        <f>Raw!A4</f>
        <v>3 / D2</v>
      </c>
      <c r="B4" s="251">
        <f>Raw!E4</f>
        <v>37778</v>
      </c>
      <c r="C4" s="250" t="str">
        <f>Raw!B4</f>
        <v>Taller Stack</v>
      </c>
      <c r="D4" s="250" t="str">
        <f>Raw!C4</f>
        <v>DARC</v>
      </c>
      <c r="E4" s="250" t="str">
        <f>Raw!D4</f>
        <v>Wareham ON</v>
      </c>
      <c r="F4" s="250" t="str">
        <f>Raw!F4</f>
        <v>Romano British</v>
      </c>
      <c r="G4" s="250" t="str">
        <f>Raw!DA4</f>
        <v>after Sauder &amp; Williams</v>
      </c>
      <c r="H4" s="279" t="str">
        <f>Raw!DB4</f>
        <v>application of learned techniques</v>
      </c>
      <c r="I4" s="264" t="str">
        <f>Raw!H4</f>
        <v/>
      </c>
      <c r="J4" s="264" t="str">
        <f>Raw!G4</f>
        <v>N</v>
      </c>
      <c r="K4" s="264"/>
      <c r="L4" s="264"/>
      <c r="M4" s="264"/>
      <c r="N4" s="264"/>
      <c r="O4" s="264"/>
      <c r="P4" s="264"/>
      <c r="Q4" s="264"/>
      <c r="R4" s="264"/>
      <c r="S4" s="264"/>
      <c r="T4" s="264"/>
      <c r="U4" s="264"/>
      <c r="V4" s="264"/>
      <c r="W4" s="264"/>
      <c r="X4" s="264"/>
      <c r="Y4" s="264"/>
      <c r="Z4" s="264"/>
    </row>
    <row r="5">
      <c r="A5" s="249" t="str">
        <f>Raw!A5</f>
        <v>4 / D3</v>
      </c>
      <c r="B5" s="251">
        <f>Raw!E5</f>
        <v>38150</v>
      </c>
      <c r="C5" s="250" t="str">
        <f>Raw!B5</f>
        <v>Low Stack</v>
      </c>
      <c r="D5" s="250" t="str">
        <f>Raw!C5</f>
        <v>DARC</v>
      </c>
      <c r="E5" s="250" t="str">
        <f>Raw!D5</f>
        <v>Wareham ON</v>
      </c>
      <c r="F5" s="250" t="str">
        <f>Raw!F5</f>
        <v>Viking Age</v>
      </c>
      <c r="G5" s="250" t="str">
        <f>Raw!DA5</f>
        <v>after P. Crew</v>
      </c>
      <c r="H5" s="279" t="str">
        <f>Raw!DB5</f>
        <v>establish standard smelter</v>
      </c>
      <c r="I5" s="264" t="str">
        <f>Raw!H5</f>
        <v/>
      </c>
      <c r="J5" s="264" t="str">
        <f>Raw!G5</f>
        <v>N</v>
      </c>
      <c r="K5" s="264"/>
      <c r="L5" s="264"/>
      <c r="M5" s="264"/>
      <c r="N5" s="264"/>
      <c r="O5" s="264"/>
      <c r="P5" s="264"/>
      <c r="Q5" s="264"/>
      <c r="R5" s="264"/>
      <c r="S5" s="264"/>
      <c r="T5" s="264"/>
      <c r="U5" s="264"/>
      <c r="V5" s="264"/>
      <c r="W5" s="264"/>
      <c r="X5" s="264"/>
      <c r="Y5" s="264"/>
      <c r="Z5" s="264"/>
    </row>
    <row r="6">
      <c r="A6" s="249">
        <f>Raw!A6</f>
        <v>5</v>
      </c>
      <c r="B6" s="251">
        <f>Raw!E6</f>
        <v>38271</v>
      </c>
      <c r="C6" s="250" t="str">
        <f>Raw!B6</f>
        <v>Early Iron 1</v>
      </c>
      <c r="D6" s="250" t="str">
        <f>Raw!C6</f>
        <v>Early Iron 1</v>
      </c>
      <c r="E6" s="250" t="str">
        <f>Raw!D6</f>
        <v>Cooperstown NY</v>
      </c>
      <c r="F6" s="250" t="str">
        <f>Raw!F6</f>
        <v>Viking Age</v>
      </c>
      <c r="G6" s="250" t="str">
        <f>Raw!DA6</f>
        <v>combined above</v>
      </c>
      <c r="H6" s="279" t="str">
        <f>Raw!DB6</f>
        <v>application of historic methods</v>
      </c>
      <c r="I6" s="264" t="str">
        <f>Raw!H6</f>
        <v/>
      </c>
      <c r="J6" s="264" t="str">
        <f>Raw!G6</f>
        <v>Y</v>
      </c>
      <c r="K6" s="264"/>
      <c r="L6" s="264"/>
      <c r="M6" s="264"/>
      <c r="N6" s="264"/>
      <c r="O6" s="264"/>
      <c r="P6" s="264"/>
      <c r="Q6" s="264"/>
      <c r="R6" s="264"/>
      <c r="S6" s="264"/>
      <c r="T6" s="264"/>
      <c r="U6" s="264"/>
      <c r="V6" s="264"/>
      <c r="W6" s="264"/>
      <c r="X6" s="264"/>
      <c r="Y6" s="264"/>
      <c r="Z6" s="264"/>
    </row>
    <row r="7">
      <c r="A7" s="249" t="str">
        <f>Raw!A7</f>
        <v>6 / D4</v>
      </c>
      <c r="B7" s="251">
        <f>Raw!E7</f>
        <v>38283</v>
      </c>
      <c r="C7" s="250" t="str">
        <f>Raw!B7</f>
        <v>Econo Norse test</v>
      </c>
      <c r="D7" s="250" t="str">
        <f>Raw!C7</f>
        <v>DARC</v>
      </c>
      <c r="E7" s="250" t="str">
        <f>Raw!D7</f>
        <v>Wareham ON</v>
      </c>
      <c r="F7" s="250" t="str">
        <f>Raw!F7</f>
        <v>modern</v>
      </c>
      <c r="G7" s="250" t="str">
        <f>Raw!DA7</f>
        <v>group design</v>
      </c>
      <c r="H7" s="279" t="str">
        <f>Raw!DB7</f>
        <v>develop easy to build test furnace</v>
      </c>
      <c r="I7" s="264" t="str">
        <f>Raw!H7</f>
        <v/>
      </c>
      <c r="J7" s="264" t="str">
        <f>Raw!G7</f>
        <v>N</v>
      </c>
      <c r="K7" s="264"/>
      <c r="L7" s="264"/>
      <c r="M7" s="264"/>
      <c r="N7" s="264"/>
      <c r="O7" s="264"/>
      <c r="P7" s="264"/>
      <c r="Q7" s="264"/>
      <c r="R7" s="264"/>
      <c r="S7" s="264"/>
      <c r="T7" s="264"/>
      <c r="U7" s="264"/>
      <c r="V7" s="264"/>
      <c r="W7" s="264"/>
      <c r="X7" s="264"/>
      <c r="Y7" s="264"/>
      <c r="Z7" s="264"/>
    </row>
    <row r="8">
      <c r="A8" s="249">
        <f>Raw!A8</f>
        <v>7</v>
      </c>
      <c r="B8" s="251">
        <f>Raw!E8</f>
        <v>38408</v>
      </c>
      <c r="C8" s="250" t="str">
        <f>Raw!B8</f>
        <v>Econo Norse test</v>
      </c>
      <c r="D8" s="250" t="str">
        <f>Raw!C8</f>
        <v>Smeltfest</v>
      </c>
      <c r="E8" s="250" t="str">
        <f>Raw!D8</f>
        <v>Lexington VA</v>
      </c>
      <c r="F8" s="250" t="str">
        <f>Raw!F8</f>
        <v>modern</v>
      </c>
      <c r="G8" s="250" t="str">
        <f>Raw!DA8</f>
        <v>teaching model</v>
      </c>
      <c r="H8" s="279" t="str">
        <f>Raw!DB8</f>
        <v>refine test / teaching furnace</v>
      </c>
      <c r="I8" s="264" t="str">
        <f>Raw!H8</f>
        <v/>
      </c>
      <c r="J8" s="264" t="str">
        <f>Raw!G8</f>
        <v>N</v>
      </c>
      <c r="K8" s="264"/>
      <c r="L8" s="264"/>
      <c r="M8" s="264"/>
      <c r="N8" s="264"/>
      <c r="O8" s="264"/>
      <c r="P8" s="264"/>
      <c r="Q8" s="264"/>
      <c r="R8" s="264"/>
      <c r="S8" s="264"/>
      <c r="T8" s="264"/>
      <c r="U8" s="264"/>
      <c r="V8" s="264"/>
      <c r="W8" s="264"/>
      <c r="X8" s="264"/>
      <c r="Y8" s="264"/>
      <c r="Z8" s="264"/>
    </row>
    <row r="9">
      <c r="A9" s="249">
        <f>Raw!A9</f>
        <v>8</v>
      </c>
      <c r="B9" s="251">
        <f>Raw!E9</f>
        <v>38410</v>
      </c>
      <c r="C9" s="250" t="str">
        <f>Raw!B9</f>
        <v>Econo Norse test</v>
      </c>
      <c r="D9" s="250" t="str">
        <f>Raw!C9</f>
        <v>Smeltfest</v>
      </c>
      <c r="E9" s="250" t="str">
        <f>Raw!D9</f>
        <v>Lexington VA</v>
      </c>
      <c r="F9" s="250" t="str">
        <f>Raw!F9</f>
        <v>modern</v>
      </c>
      <c r="G9" s="250" t="str">
        <f>Raw!DA9</f>
        <v>teaching model</v>
      </c>
      <c r="H9" s="279" t="str">
        <f>Raw!DB9</f>
        <v>refine test / teaching furnace</v>
      </c>
      <c r="I9" s="264" t="str">
        <f>Raw!H9</f>
        <v/>
      </c>
      <c r="J9" s="264" t="str">
        <f>Raw!G9</f>
        <v>N</v>
      </c>
      <c r="K9" s="264"/>
      <c r="L9" s="264"/>
      <c r="M9" s="264"/>
      <c r="N9" s="264"/>
      <c r="O9" s="264"/>
      <c r="P9" s="264"/>
      <c r="Q9" s="264"/>
      <c r="R9" s="264"/>
      <c r="S9" s="264"/>
      <c r="T9" s="264"/>
      <c r="U9" s="264"/>
      <c r="V9" s="264"/>
      <c r="W9" s="264"/>
      <c r="X9" s="264"/>
      <c r="Y9" s="264"/>
      <c r="Z9" s="264"/>
    </row>
    <row r="10">
      <c r="A10" s="249">
        <f>Raw!A10</f>
        <v>9</v>
      </c>
      <c r="B10" s="251">
        <f>Raw!E10</f>
        <v>38486</v>
      </c>
      <c r="C10" s="250" t="str">
        <f>Raw!B10</f>
        <v>OABA demo</v>
      </c>
      <c r="D10" s="250" t="str">
        <f>Raw!C10</f>
        <v>OABA</v>
      </c>
      <c r="E10" s="250" t="str">
        <f>Raw!D10</f>
        <v>Wareham ON</v>
      </c>
      <c r="F10" s="250" t="str">
        <f>Raw!F10</f>
        <v>modern</v>
      </c>
      <c r="G10" s="250" t="str">
        <f>Raw!DA10</f>
        <v>demonstration</v>
      </c>
      <c r="H10" s="279" t="str">
        <f>Raw!DB10</f>
        <v>introduce method to Ontario Blacksmiths</v>
      </c>
      <c r="I10" s="264" t="str">
        <f>Raw!H10</f>
        <v/>
      </c>
      <c r="J10" s="264" t="str">
        <f>Raw!G10</f>
        <v>Y</v>
      </c>
      <c r="K10" s="264"/>
      <c r="L10" s="264"/>
      <c r="M10" s="264"/>
      <c r="N10" s="264"/>
      <c r="O10" s="264"/>
      <c r="P10" s="264"/>
      <c r="Q10" s="264"/>
      <c r="R10" s="264"/>
      <c r="S10" s="264"/>
      <c r="T10" s="264"/>
      <c r="U10" s="264"/>
      <c r="V10" s="264"/>
      <c r="W10" s="264"/>
      <c r="X10" s="264"/>
      <c r="Y10" s="264"/>
      <c r="Z10" s="264"/>
    </row>
    <row r="11">
      <c r="A11" s="249" t="str">
        <f>Raw!A11</f>
        <v>10 / D5</v>
      </c>
      <c r="B11" s="251">
        <f>Raw!E11</f>
        <v>38514</v>
      </c>
      <c r="C11" s="250" t="str">
        <f>Raw!B11</f>
        <v>CanIRON test</v>
      </c>
      <c r="D11" s="250" t="str">
        <f>Raw!C11</f>
        <v>DARC</v>
      </c>
      <c r="E11" s="250" t="str">
        <f>Raw!D11</f>
        <v>Wareham ON</v>
      </c>
      <c r="F11" s="250" t="str">
        <f>Raw!F11</f>
        <v>Viking Age</v>
      </c>
      <c r="G11" s="250" t="str">
        <f>Raw!DA11</f>
        <v>Viking Age demonstration</v>
      </c>
      <c r="H11" s="279" t="str">
        <f>Raw!DB11</f>
        <v>develop VA demonstration methods</v>
      </c>
      <c r="I11" s="264" t="str">
        <f>Raw!H11</f>
        <v/>
      </c>
      <c r="J11" s="264" t="str">
        <f>Raw!G11</f>
        <v>N</v>
      </c>
      <c r="K11" s="264"/>
      <c r="L11" s="264"/>
      <c r="M11" s="264"/>
      <c r="N11" s="264"/>
      <c r="O11" s="264"/>
      <c r="P11" s="264"/>
      <c r="Q11" s="264"/>
      <c r="R11" s="264"/>
      <c r="S11" s="264"/>
      <c r="T11" s="264"/>
      <c r="U11" s="264"/>
      <c r="V11" s="264"/>
      <c r="W11" s="264"/>
      <c r="X11" s="264"/>
      <c r="Y11" s="264"/>
      <c r="Z11" s="264"/>
    </row>
    <row r="12">
      <c r="A12" s="249" t="str">
        <f>Raw!A12</f>
        <v>11 / D6</v>
      </c>
      <c r="B12" s="251">
        <f>Raw!E12</f>
        <v>38596</v>
      </c>
      <c r="C12" s="250" t="str">
        <f>Raw!B12</f>
        <v>CanIRON 5</v>
      </c>
      <c r="D12" s="250" t="str">
        <f>Raw!C12</f>
        <v>DARC</v>
      </c>
      <c r="E12" s="250" t="str">
        <f>Raw!D12</f>
        <v>Annapolis Royal NS</v>
      </c>
      <c r="F12" s="250" t="str">
        <f>Raw!F12</f>
        <v>Viking Age</v>
      </c>
      <c r="G12" s="250" t="str">
        <f>Raw!DA12</f>
        <v>Viking Age demonstration</v>
      </c>
      <c r="H12" s="279" t="str">
        <f>Raw!DB12</f>
        <v>CANIRON 4  - historic demonstration</v>
      </c>
      <c r="I12" s="264" t="str">
        <f>Raw!H12</f>
        <v/>
      </c>
      <c r="J12" s="264" t="str">
        <f>Raw!G12</f>
        <v>Y</v>
      </c>
      <c r="K12" s="264"/>
      <c r="L12" s="264"/>
      <c r="M12" s="264"/>
      <c r="N12" s="264"/>
      <c r="O12" s="264"/>
      <c r="P12" s="264"/>
      <c r="Q12" s="264"/>
      <c r="R12" s="264"/>
      <c r="S12" s="264"/>
      <c r="T12" s="264"/>
      <c r="U12" s="264"/>
      <c r="V12" s="264"/>
      <c r="W12" s="264"/>
      <c r="X12" s="264"/>
      <c r="Y12" s="264"/>
      <c r="Z12" s="264"/>
    </row>
    <row r="13">
      <c r="A13" s="249">
        <f>Raw!A13</f>
        <v>12</v>
      </c>
      <c r="B13" s="251">
        <f>Raw!E13</f>
        <v>38626</v>
      </c>
      <c r="C13" s="250" t="str">
        <f>Raw!B13</f>
        <v>Early Iron 2</v>
      </c>
      <c r="D13" s="250" t="str">
        <f>Raw!C13</f>
        <v>recover from Hendrix</v>
      </c>
      <c r="E13" s="250" t="str">
        <f>Raw!D13</f>
        <v>Cooperstown NY</v>
      </c>
      <c r="F13" s="250" t="str">
        <f>Raw!F13</f>
        <v>modern</v>
      </c>
      <c r="G13" s="250" t="str">
        <f>Raw!DA13</f>
        <v>teaching</v>
      </c>
      <c r="H13" s="279" t="str">
        <f>Raw!DB13</f>
        <v>teaching</v>
      </c>
      <c r="I13" s="264" t="str">
        <f>Raw!H13</f>
        <v>Teaching</v>
      </c>
      <c r="J13" s="264" t="str">
        <f>Raw!G13</f>
        <v>N</v>
      </c>
      <c r="K13" s="264"/>
      <c r="L13" s="264"/>
      <c r="M13" s="264"/>
      <c r="N13" s="264"/>
      <c r="O13" s="264"/>
      <c r="P13" s="264"/>
      <c r="Q13" s="264"/>
      <c r="R13" s="264"/>
      <c r="S13" s="264"/>
      <c r="T13" s="264"/>
      <c r="U13" s="264"/>
      <c r="V13" s="264"/>
      <c r="W13" s="264"/>
      <c r="X13" s="264"/>
      <c r="Y13" s="264"/>
      <c r="Z13" s="264"/>
    </row>
    <row r="14">
      <c r="A14" s="249" t="str">
        <f>Raw!A14</f>
        <v>13 / D7</v>
      </c>
      <c r="B14" s="251">
        <f>Raw!E14</f>
        <v>38668</v>
      </c>
      <c r="C14" s="250" t="str">
        <f>Raw!B14</f>
        <v>Short Shaft</v>
      </c>
      <c r="D14" s="250" t="str">
        <f>Raw!C14</f>
        <v>DARC</v>
      </c>
      <c r="E14" s="250" t="str">
        <f>Raw!D14</f>
        <v>Wareham ON</v>
      </c>
      <c r="F14" s="250" t="str">
        <f>Raw!F14</f>
        <v>Viking Age</v>
      </c>
      <c r="G14" s="250" t="str">
        <f>Raw!DA14</f>
        <v>established design</v>
      </c>
      <c r="H14" s="279" t="str">
        <f>Raw!DB14</f>
        <v>establish repeatable methods</v>
      </c>
      <c r="I14" s="264" t="str">
        <f>Raw!H14</f>
        <v/>
      </c>
      <c r="J14" s="264" t="str">
        <f>Raw!G14</f>
        <v>N</v>
      </c>
      <c r="K14" s="264"/>
      <c r="L14" s="264"/>
      <c r="M14" s="264"/>
      <c r="N14" s="264"/>
      <c r="O14" s="264"/>
      <c r="P14" s="264"/>
      <c r="Q14" s="264"/>
      <c r="R14" s="264"/>
      <c r="S14" s="264"/>
      <c r="T14" s="264"/>
      <c r="U14" s="264"/>
      <c r="V14" s="264"/>
      <c r="W14" s="264"/>
      <c r="X14" s="264"/>
      <c r="Y14" s="264"/>
      <c r="Z14" s="264"/>
    </row>
    <row r="15">
      <c r="A15" s="249">
        <f>Raw!A15</f>
        <v>14</v>
      </c>
      <c r="B15" s="251">
        <f>Raw!E15</f>
        <v>38766</v>
      </c>
      <c r="C15" s="250" t="str">
        <f>Raw!B15</f>
        <v>Black Rock demo</v>
      </c>
      <c r="D15" s="250" t="str">
        <f>Raw!C15</f>
        <v>Michigan blacksmiths</v>
      </c>
      <c r="E15" s="250" t="str">
        <f>Raw!D15</f>
        <v>Traverse City MN</v>
      </c>
      <c r="F15" s="250" t="str">
        <f>Raw!F15</f>
        <v>modern</v>
      </c>
      <c r="G15" s="250" t="str">
        <f>Raw!DA15</f>
        <v>demonstration</v>
      </c>
      <c r="H15" s="279" t="str">
        <f>Raw!DB15</f>
        <v>teaching</v>
      </c>
      <c r="I15" s="264" t="str">
        <f>Raw!H15</f>
        <v/>
      </c>
      <c r="J15" s="264" t="str">
        <f>Raw!G15</f>
        <v>Y</v>
      </c>
      <c r="K15" s="264"/>
      <c r="L15" s="264"/>
      <c r="M15" s="264"/>
      <c r="N15" s="264"/>
      <c r="O15" s="264"/>
      <c r="P15" s="264"/>
      <c r="Q15" s="264"/>
      <c r="R15" s="264"/>
      <c r="S15" s="264"/>
      <c r="T15" s="264"/>
      <c r="U15" s="264"/>
      <c r="V15" s="264"/>
      <c r="W15" s="264"/>
      <c r="X15" s="264"/>
      <c r="Y15" s="264"/>
      <c r="Z15" s="264"/>
    </row>
    <row r="16">
      <c r="A16" s="249">
        <f>Raw!A16</f>
        <v>15</v>
      </c>
      <c r="B16" s="251">
        <f>Raw!E16</f>
        <v>38784</v>
      </c>
      <c r="C16" s="250" t="str">
        <f>Raw!B16</f>
        <v>Smeltfest 06</v>
      </c>
      <c r="D16" s="250" t="str">
        <f>Raw!C16</f>
        <v>Sargent</v>
      </c>
      <c r="E16" s="250" t="str">
        <f>Raw!D16</f>
        <v>Lexington VA</v>
      </c>
      <c r="F16" s="250" t="str">
        <f>Raw!F16</f>
        <v>Viking Age</v>
      </c>
      <c r="G16" s="250" t="str">
        <f>Raw!DA16</f>
        <v>development</v>
      </c>
      <c r="H16" s="279" t="str">
        <f>Raw!DB16</f>
        <v>use of hematite, modifications to furnace</v>
      </c>
      <c r="I16" s="264" t="str">
        <f>Raw!H16</f>
        <v/>
      </c>
      <c r="J16" s="264" t="str">
        <f>Raw!G16</f>
        <v>N</v>
      </c>
      <c r="K16" s="264"/>
      <c r="L16" s="264"/>
      <c r="M16" s="264"/>
      <c r="N16" s="264"/>
      <c r="O16" s="264"/>
      <c r="P16" s="264"/>
      <c r="Q16" s="264"/>
      <c r="R16" s="264"/>
      <c r="S16" s="264"/>
      <c r="T16" s="264"/>
      <c r="U16" s="264"/>
      <c r="V16" s="264"/>
      <c r="W16" s="264"/>
      <c r="X16" s="264"/>
      <c r="Y16" s="264"/>
      <c r="Z16" s="264"/>
    </row>
    <row r="17">
      <c r="A17" s="249">
        <f>Raw!A17</f>
        <v>16</v>
      </c>
      <c r="B17" s="251">
        <f>Raw!E17</f>
        <v>38786</v>
      </c>
      <c r="C17" s="250" t="str">
        <f>Raw!B17</f>
        <v>Smeltfest 06</v>
      </c>
      <c r="D17" s="250" t="str">
        <f>Raw!C17</f>
        <v>Sargent</v>
      </c>
      <c r="E17" s="250" t="str">
        <f>Raw!D17</f>
        <v>Lexington VA</v>
      </c>
      <c r="F17" s="250" t="str">
        <f>Raw!F17</f>
        <v>Viking Age</v>
      </c>
      <c r="G17" s="250" t="str">
        <f>Raw!DA17</f>
        <v>development</v>
      </c>
      <c r="H17" s="279" t="str">
        <f>Raw!DB17</f>
        <v>repeat above</v>
      </c>
      <c r="I17" s="264" t="str">
        <f>Raw!H17</f>
        <v/>
      </c>
      <c r="J17" s="264" t="str">
        <f>Raw!G17</f>
        <v>N</v>
      </c>
      <c r="K17" s="264"/>
      <c r="L17" s="264"/>
      <c r="M17" s="264"/>
      <c r="N17" s="264"/>
      <c r="O17" s="264"/>
      <c r="P17" s="264"/>
      <c r="Q17" s="264"/>
      <c r="R17" s="264"/>
      <c r="S17" s="264"/>
      <c r="T17" s="264"/>
      <c r="U17" s="264"/>
      <c r="V17" s="264"/>
      <c r="W17" s="264"/>
      <c r="X17" s="264"/>
      <c r="Y17" s="264"/>
      <c r="Z17" s="264"/>
    </row>
    <row r="18">
      <c r="A18" s="249" t="str">
        <f>Raw!A18</f>
        <v>17 / D8</v>
      </c>
      <c r="B18" s="251">
        <f>Raw!E18</f>
        <v>38878</v>
      </c>
      <c r="C18" s="250" t="str">
        <f>Raw!B18</f>
        <v>Spring Smelt</v>
      </c>
      <c r="D18" s="250" t="str">
        <f>Raw!C18</f>
        <v>DARC</v>
      </c>
      <c r="E18" s="250" t="str">
        <f>Raw!D18</f>
        <v>Wareham ON</v>
      </c>
      <c r="F18" s="250" t="str">
        <f>Raw!F18</f>
        <v>Viking Age</v>
      </c>
      <c r="G18" s="250" t="str">
        <f>Raw!DA18</f>
        <v>development</v>
      </c>
      <c r="H18" s="279" t="str">
        <f>Raw!DB18</f>
        <v>use of half banked furnace construction</v>
      </c>
      <c r="I18" s="264" t="str">
        <f>Raw!H18</f>
        <v/>
      </c>
      <c r="J18" s="264" t="str">
        <f>Raw!G18</f>
        <v>N</v>
      </c>
      <c r="K18" s="264"/>
      <c r="L18" s="264"/>
      <c r="M18" s="264"/>
      <c r="N18" s="264"/>
      <c r="O18" s="264"/>
      <c r="P18" s="264"/>
      <c r="Q18" s="264"/>
      <c r="R18" s="264"/>
      <c r="S18" s="264"/>
      <c r="T18" s="264"/>
      <c r="U18" s="264"/>
      <c r="V18" s="264"/>
      <c r="W18" s="264"/>
      <c r="X18" s="264"/>
      <c r="Y18" s="264"/>
      <c r="Z18" s="264"/>
    </row>
    <row r="19">
      <c r="A19" s="249" t="str">
        <f>Raw!A19</f>
        <v>18 / D9</v>
      </c>
      <c r="B19" s="251">
        <f>Raw!E19</f>
        <v>38962</v>
      </c>
      <c r="C19" s="250" t="str">
        <f>Raw!B19</f>
        <v>SCA Bonfield demo</v>
      </c>
      <c r="D19" s="250" t="str">
        <f>Raw!C19</f>
        <v>DARC</v>
      </c>
      <c r="E19" s="250" t="str">
        <f>Raw!D19</f>
        <v>Bonfield ON</v>
      </c>
      <c r="F19" s="250" t="str">
        <f>Raw!F19</f>
        <v>Viking Age</v>
      </c>
      <c r="G19" s="250" t="str">
        <f>Raw!DA19</f>
        <v>L'Anse aux Meadows</v>
      </c>
      <c r="H19" s="279" t="str">
        <f>Raw!DB19</f>
        <v>layout based on LAM - use of Ubber Bellows</v>
      </c>
      <c r="I19" s="264" t="str">
        <f>Raw!H19</f>
        <v>Air</v>
      </c>
      <c r="J19" s="264" t="str">
        <f>Raw!G19</f>
        <v>N</v>
      </c>
      <c r="K19" s="264"/>
      <c r="L19" s="264"/>
      <c r="M19" s="264"/>
      <c r="N19" s="264"/>
      <c r="O19" s="264"/>
      <c r="P19" s="264"/>
      <c r="Q19" s="264"/>
      <c r="R19" s="264"/>
      <c r="S19" s="264"/>
      <c r="T19" s="264"/>
      <c r="U19" s="264"/>
      <c r="V19" s="264"/>
      <c r="W19" s="264"/>
      <c r="X19" s="264"/>
      <c r="Y19" s="264"/>
      <c r="Z19" s="264"/>
    </row>
    <row r="20">
      <c r="A20" s="249">
        <f>Raw!A20</f>
        <v>19</v>
      </c>
      <c r="B20" s="251">
        <f>Raw!E20</f>
        <v>38997</v>
      </c>
      <c r="C20" s="250" t="str">
        <f>Raw!B20</f>
        <v>Loki' / Minden</v>
      </c>
      <c r="D20" s="250" t="str">
        <f>Raw!C20</f>
        <v>Early Iron 3</v>
      </c>
      <c r="E20" s="250" t="str">
        <f>Raw!D20</f>
        <v>Peters Valley NJ</v>
      </c>
      <c r="F20" s="250" t="str">
        <f>Raw!F20</f>
        <v>Viking Age</v>
      </c>
      <c r="G20" s="250" t="str">
        <f>Raw!DA20</f>
        <v>established design</v>
      </c>
      <c r="H20" s="279" t="str">
        <f>Raw!DB20</f>
        <v>test of ore body</v>
      </c>
      <c r="I20" s="264" t="str">
        <f>Raw!H20</f>
        <v/>
      </c>
      <c r="J20" s="264" t="str">
        <f>Raw!G20</f>
        <v>N</v>
      </c>
      <c r="K20" s="264"/>
      <c r="L20" s="264"/>
      <c r="M20" s="264"/>
      <c r="N20" s="264"/>
      <c r="O20" s="264"/>
      <c r="P20" s="264"/>
      <c r="Q20" s="264"/>
      <c r="R20" s="264"/>
      <c r="S20" s="264"/>
      <c r="T20" s="264"/>
      <c r="U20" s="264"/>
      <c r="V20" s="264"/>
      <c r="W20" s="264"/>
      <c r="X20" s="264"/>
      <c r="Y20" s="264"/>
      <c r="Z20" s="264"/>
    </row>
    <row r="21">
      <c r="A21" s="249">
        <f>Raw!A21</f>
        <v>20</v>
      </c>
      <c r="B21" s="251">
        <f>Raw!E21</f>
        <v>38999</v>
      </c>
      <c r="C21" s="250" t="str">
        <f>Raw!B21</f>
        <v>Early Iron 3</v>
      </c>
      <c r="D21" s="250" t="str">
        <f>Raw!C21</f>
        <v>Sargent</v>
      </c>
      <c r="E21" s="250" t="str">
        <f>Raw!D21</f>
        <v>Peters Valley NJ</v>
      </c>
      <c r="F21" s="250" t="str">
        <f>Raw!F21</f>
        <v>modern</v>
      </c>
      <c r="G21" s="250" t="str">
        <f>Raw!DA21</f>
        <v>established design</v>
      </c>
      <c r="H21" s="279" t="str">
        <f>Raw!DB21</f>
        <v>none specifically</v>
      </c>
      <c r="I21" s="264" t="str">
        <f>Raw!H21</f>
        <v/>
      </c>
      <c r="J21" s="264" t="str">
        <f>Raw!G21</f>
        <v>N</v>
      </c>
      <c r="K21" s="264"/>
      <c r="L21" s="264"/>
      <c r="M21" s="264"/>
      <c r="N21" s="264"/>
      <c r="O21" s="264"/>
      <c r="P21" s="264"/>
      <c r="Q21" s="264"/>
      <c r="R21" s="264"/>
      <c r="S21" s="264"/>
      <c r="T21" s="264"/>
      <c r="U21" s="264"/>
      <c r="V21" s="264"/>
      <c r="W21" s="264"/>
      <c r="X21" s="264"/>
      <c r="Y21" s="264"/>
      <c r="Z21" s="264"/>
    </row>
    <row r="22">
      <c r="A22" s="249" t="str">
        <f>Raw!A22</f>
        <v>21 / D10</v>
      </c>
      <c r="B22" s="251">
        <f>Raw!E22</f>
        <v>39026</v>
      </c>
      <c r="C22" s="250" t="str">
        <f>Raw!B22</f>
        <v>Fall Smelt</v>
      </c>
      <c r="D22" s="250" t="str">
        <f>Raw!C22</f>
        <v>DARC</v>
      </c>
      <c r="E22" s="250" t="str">
        <f>Raw!D22</f>
        <v>Wareham ON</v>
      </c>
      <c r="F22" s="250" t="str">
        <f>Raw!F22</f>
        <v>Viking Age</v>
      </c>
      <c r="G22" s="250" t="str">
        <f>Raw!DA22</f>
        <v>established design</v>
      </c>
      <c r="H22" s="279" t="str">
        <f>Raw!DB22</f>
        <v>none specifically</v>
      </c>
      <c r="I22" s="264" t="str">
        <f>Raw!H22</f>
        <v/>
      </c>
      <c r="J22" s="264" t="str">
        <f>Raw!G22</f>
        <v>N</v>
      </c>
      <c r="K22" s="264"/>
      <c r="L22" s="264"/>
      <c r="M22" s="264"/>
      <c r="N22" s="264"/>
      <c r="O22" s="264"/>
      <c r="P22" s="264"/>
      <c r="Q22" s="264"/>
      <c r="R22" s="264"/>
      <c r="S22" s="264"/>
      <c r="T22" s="264"/>
      <c r="U22" s="264"/>
      <c r="V22" s="264"/>
      <c r="W22" s="264"/>
      <c r="X22" s="264"/>
      <c r="Y22" s="264"/>
      <c r="Z22" s="264"/>
    </row>
    <row r="23">
      <c r="A23" s="249">
        <f>Raw!A23</f>
        <v>22</v>
      </c>
      <c r="B23" s="251">
        <f>Raw!E23</f>
        <v>39027</v>
      </c>
      <c r="C23" s="250" t="str">
        <f>Raw!B23</f>
        <v>Redemption'</v>
      </c>
      <c r="D23" s="250" t="str">
        <f>Raw!C23</f>
        <v/>
      </c>
      <c r="E23" s="250" t="str">
        <f>Raw!D23</f>
        <v>Wareham ON</v>
      </c>
      <c r="F23" s="250" t="str">
        <f>Raw!F23</f>
        <v>Viking Age</v>
      </c>
      <c r="G23" s="250" t="str">
        <f>Raw!DA23</f>
        <v>established design</v>
      </c>
      <c r="H23" s="279" t="str">
        <f>Raw!DB23</f>
        <v>Reserection' for # 21</v>
      </c>
      <c r="I23" s="264" t="str">
        <f>Raw!H23</f>
        <v/>
      </c>
      <c r="J23" s="264" t="str">
        <f>Raw!G23</f>
        <v>N</v>
      </c>
      <c r="K23" s="264"/>
      <c r="L23" s="264"/>
      <c r="M23" s="264"/>
      <c r="N23" s="264"/>
      <c r="O23" s="264"/>
      <c r="P23" s="264"/>
      <c r="Q23" s="264"/>
      <c r="R23" s="264"/>
      <c r="S23" s="264"/>
      <c r="T23" s="264"/>
      <c r="U23" s="264"/>
      <c r="V23" s="264"/>
      <c r="W23" s="264"/>
      <c r="X23" s="264"/>
      <c r="Y23" s="264"/>
      <c r="Z23" s="264"/>
    </row>
    <row r="24">
      <c r="A24" s="249">
        <f>Raw!A24</f>
        <v>23</v>
      </c>
      <c r="B24" s="251">
        <f>Raw!E24</f>
        <v>39235</v>
      </c>
      <c r="C24" s="250" t="str">
        <f>Raw!B24</f>
        <v>Intro Smelting</v>
      </c>
      <c r="D24" s="250" t="str">
        <f>Raw!C24</f>
        <v>Mikaff, Paddon</v>
      </c>
      <c r="E24" s="250" t="str">
        <f>Raw!D24</f>
        <v>Wareham ON</v>
      </c>
      <c r="F24" s="250" t="str">
        <f>Raw!F24</f>
        <v>modern</v>
      </c>
      <c r="G24" s="250" t="str">
        <f>Raw!DA24</f>
        <v>established design</v>
      </c>
      <c r="H24" s="279" t="str">
        <f>Raw!DB24</f>
        <v>course</v>
      </c>
      <c r="I24" s="264" t="str">
        <f>Raw!H24</f>
        <v>Teaching</v>
      </c>
      <c r="J24" s="264" t="str">
        <f>Raw!G24</f>
        <v>N</v>
      </c>
      <c r="K24" s="264"/>
      <c r="L24" s="264"/>
      <c r="M24" s="264"/>
      <c r="N24" s="264"/>
      <c r="O24" s="264"/>
      <c r="P24" s="264"/>
      <c r="Q24" s="264"/>
      <c r="R24" s="264"/>
      <c r="S24" s="264"/>
      <c r="T24" s="264"/>
      <c r="U24" s="264"/>
      <c r="V24" s="264"/>
      <c r="W24" s="264"/>
      <c r="X24" s="264"/>
      <c r="Y24" s="264"/>
      <c r="Z24" s="264"/>
    </row>
    <row r="25">
      <c r="A25" s="249" t="str">
        <f>Raw!A25</f>
        <v>24 / D11</v>
      </c>
      <c r="B25" s="251">
        <f>Raw!E25</f>
        <v>39242</v>
      </c>
      <c r="C25" s="250" t="str">
        <f>Raw!B25</f>
        <v>Hot Swap</v>
      </c>
      <c r="D25" s="250" t="str">
        <f>Raw!C25</f>
        <v>DARC</v>
      </c>
      <c r="E25" s="250" t="str">
        <f>Raw!D25</f>
        <v>Wareham ON</v>
      </c>
      <c r="F25" s="250" t="str">
        <f>Raw!F25</f>
        <v>Viking Age</v>
      </c>
      <c r="G25" s="250" t="str">
        <f>Raw!DA25</f>
        <v>established design</v>
      </c>
      <c r="H25" s="279" t="str">
        <f>Raw!DB25</f>
        <v>hot swap' doouble smelt</v>
      </c>
      <c r="I25" s="264" t="str">
        <f>Raw!H25</f>
        <v/>
      </c>
      <c r="J25" s="264" t="str">
        <f>Raw!G25</f>
        <v>N</v>
      </c>
      <c r="K25" s="264"/>
      <c r="L25" s="264"/>
      <c r="M25" s="264"/>
      <c r="N25" s="264"/>
      <c r="O25" s="264"/>
      <c r="P25" s="264"/>
      <c r="Q25" s="264"/>
      <c r="R25" s="264"/>
      <c r="S25" s="264"/>
      <c r="T25" s="264"/>
      <c r="U25" s="264"/>
      <c r="V25" s="264"/>
      <c r="W25" s="264"/>
      <c r="X25" s="264"/>
      <c r="Y25" s="264"/>
      <c r="Z25" s="264"/>
    </row>
    <row r="26">
      <c r="A26" s="249" t="str">
        <f>Raw!A26</f>
        <v>25 / D12</v>
      </c>
      <c r="B26" s="251">
        <f>Raw!E26</f>
        <v>39242</v>
      </c>
      <c r="C26" s="250" t="str">
        <f>Raw!B26</f>
        <v>Hot Swap</v>
      </c>
      <c r="D26" s="250" t="str">
        <f>Raw!C26</f>
        <v>DARC</v>
      </c>
      <c r="E26" s="250" t="str">
        <f>Raw!D26</f>
        <v>Wareham ON</v>
      </c>
      <c r="F26" s="250" t="str">
        <f>Raw!F26</f>
        <v>Viking Age</v>
      </c>
      <c r="G26" s="250" t="str">
        <f>Raw!DA26</f>
        <v>established design</v>
      </c>
      <c r="H26" s="279" t="str">
        <f>Raw!DB26</f>
        <v>hot swap' double smelt</v>
      </c>
      <c r="I26" s="264" t="str">
        <f>Raw!H26</f>
        <v/>
      </c>
      <c r="J26" s="264" t="str">
        <f>Raw!G26</f>
        <v>N</v>
      </c>
      <c r="K26" s="264"/>
      <c r="L26" s="264"/>
      <c r="M26" s="264"/>
      <c r="N26" s="264"/>
      <c r="O26" s="264"/>
      <c r="P26" s="264"/>
      <c r="Q26" s="264"/>
      <c r="R26" s="264"/>
      <c r="S26" s="264"/>
      <c r="T26" s="264"/>
      <c r="U26" s="264"/>
      <c r="V26" s="264"/>
      <c r="W26" s="264"/>
      <c r="X26" s="264"/>
      <c r="Y26" s="264"/>
      <c r="Z26" s="264"/>
    </row>
    <row r="27">
      <c r="A27" s="249">
        <f>Raw!A27</f>
        <v>26</v>
      </c>
      <c r="B27" s="251">
        <f>Raw!E27</f>
        <v>39362</v>
      </c>
      <c r="C27" s="250" t="str">
        <f>Raw!B27</f>
        <v>Icelandic 1</v>
      </c>
      <c r="D27" s="250" t="str">
        <f>Raw!C27</f>
        <v>Peterson, Ross</v>
      </c>
      <c r="E27" s="250" t="str">
        <f>Raw!D27</f>
        <v>Wareham ON</v>
      </c>
      <c r="F27" s="250" t="str">
        <f>Raw!F27</f>
        <v>Viking Age Icelandic</v>
      </c>
      <c r="G27" s="250" t="str">
        <f>Raw!DA27</f>
        <v>L'Anse aux Meadows</v>
      </c>
      <c r="H27" s="279" t="str">
        <f>Raw!DB27</f>
        <v>use of stone slab above tuyere</v>
      </c>
      <c r="I27" s="264" t="str">
        <f>Raw!H27</f>
        <v>Icelandic</v>
      </c>
      <c r="J27" s="264" t="str">
        <f>Raw!G27</f>
        <v>N</v>
      </c>
      <c r="K27" s="264"/>
      <c r="L27" s="264"/>
      <c r="M27" s="264"/>
      <c r="N27" s="264"/>
      <c r="O27" s="264"/>
      <c r="P27" s="264"/>
      <c r="Q27" s="264"/>
      <c r="R27" s="264"/>
      <c r="S27" s="264"/>
      <c r="T27" s="264"/>
      <c r="U27" s="264"/>
      <c r="V27" s="264"/>
      <c r="W27" s="264"/>
      <c r="X27" s="264"/>
      <c r="Y27" s="264"/>
      <c r="Z27" s="264"/>
    </row>
    <row r="28">
      <c r="A28" s="249" t="str">
        <f>Raw!A28</f>
        <v>27 / D13</v>
      </c>
      <c r="B28" s="251">
        <f>Raw!E28</f>
        <v>39382</v>
      </c>
      <c r="C28" s="250" t="str">
        <f>Raw!B28</f>
        <v> Icelandic 2</v>
      </c>
      <c r="D28" s="250" t="str">
        <f>Raw!C28</f>
        <v>DARC</v>
      </c>
      <c r="E28" s="250" t="str">
        <f>Raw!D28</f>
        <v>Wareham ON</v>
      </c>
      <c r="F28" s="250" t="str">
        <f>Raw!F28</f>
        <v>Viking Age Icelandic</v>
      </c>
      <c r="G28" s="250" t="str">
        <f>Raw!DA28</f>
        <v>L'Anse aux Meadows</v>
      </c>
      <c r="H28" s="279" t="str">
        <f>Raw!DB28</f>
        <v>all stone slab  - low air</v>
      </c>
      <c r="I28" s="264" t="str">
        <f>Raw!H28</f>
        <v>Icelandic</v>
      </c>
      <c r="J28" s="264" t="str">
        <f>Raw!G28</f>
        <v>N</v>
      </c>
      <c r="K28" s="264"/>
      <c r="L28" s="264"/>
      <c r="M28" s="264"/>
      <c r="N28" s="264"/>
      <c r="O28" s="264"/>
      <c r="P28" s="264"/>
      <c r="Q28" s="264"/>
      <c r="R28" s="264"/>
      <c r="S28" s="264"/>
      <c r="T28" s="264"/>
      <c r="U28" s="264"/>
      <c r="V28" s="264"/>
      <c r="W28" s="264"/>
      <c r="X28" s="264"/>
      <c r="Y28" s="264"/>
      <c r="Z28" s="264"/>
    </row>
    <row r="29">
      <c r="A29" s="249">
        <f>Raw!A29</f>
        <v>28</v>
      </c>
      <c r="B29" s="251">
        <f>Raw!E29</f>
        <v>39411</v>
      </c>
      <c r="C29" s="250" t="str">
        <f>Raw!B29</f>
        <v>Intro Smelting</v>
      </c>
      <c r="D29" s="250" t="str">
        <f>Raw!C29</f>
        <v>Martin Group</v>
      </c>
      <c r="E29" s="250" t="str">
        <f>Raw!D29</f>
        <v>Wareham ON</v>
      </c>
      <c r="F29" s="250" t="str">
        <f>Raw!F29</f>
        <v>Viking Age</v>
      </c>
      <c r="G29" s="250" t="str">
        <f>Raw!DA29</f>
        <v>established design</v>
      </c>
      <c r="H29" s="279" t="str">
        <f>Raw!DB29</f>
        <v>course</v>
      </c>
      <c r="I29" s="264" t="str">
        <f>Raw!H29</f>
        <v>Teaching</v>
      </c>
      <c r="J29" s="264" t="str">
        <f>Raw!G29</f>
        <v>N</v>
      </c>
      <c r="K29" s="264"/>
      <c r="L29" s="264"/>
      <c r="M29" s="264"/>
      <c r="N29" s="264"/>
      <c r="O29" s="264"/>
      <c r="P29" s="264"/>
      <c r="Q29" s="264"/>
      <c r="R29" s="264"/>
      <c r="S29" s="264"/>
      <c r="T29" s="264"/>
      <c r="U29" s="264"/>
      <c r="V29" s="264"/>
      <c r="W29" s="264"/>
      <c r="X29" s="264"/>
      <c r="Y29" s="264"/>
      <c r="Z29" s="264"/>
    </row>
    <row r="30">
      <c r="A30" s="249">
        <f>Raw!A30</f>
        <v>29</v>
      </c>
      <c r="B30" s="251">
        <f>Raw!E30</f>
        <v>39520</v>
      </c>
      <c r="C30" s="250" t="str">
        <f>Raw!B30</f>
        <v>Bellows Plate </v>
      </c>
      <c r="D30" s="250" t="str">
        <f>Raw!C30</f>
        <v>Williams, Keen</v>
      </c>
      <c r="E30" s="250" t="str">
        <f>Raw!D30</f>
        <v>Lexington VA</v>
      </c>
      <c r="F30" s="250" t="str">
        <f>Raw!F30</f>
        <v>Viking Age</v>
      </c>
      <c r="G30" s="250" t="str">
        <f>Raw!DA30</f>
        <v>based on Eindoven</v>
      </c>
      <c r="H30" s="279" t="str">
        <f>Raw!DB30</f>
        <v>test of plate &amp; blow hole</v>
      </c>
      <c r="I30" s="264" t="str">
        <f>Raw!H30</f>
        <v/>
      </c>
      <c r="J30" s="264" t="str">
        <f>Raw!G30</f>
        <v>N</v>
      </c>
      <c r="K30" s="264"/>
      <c r="L30" s="264"/>
      <c r="M30" s="264"/>
      <c r="N30" s="264"/>
      <c r="O30" s="264"/>
      <c r="P30" s="264"/>
      <c r="Q30" s="264"/>
      <c r="R30" s="264"/>
      <c r="S30" s="264"/>
      <c r="T30" s="264"/>
      <c r="U30" s="264"/>
      <c r="V30" s="264"/>
      <c r="W30" s="264"/>
      <c r="X30" s="264"/>
      <c r="Y30" s="264"/>
      <c r="Z30" s="264"/>
    </row>
    <row r="31">
      <c r="A31" s="249">
        <f>Raw!A31</f>
        <v>30</v>
      </c>
      <c r="B31" s="251">
        <f>Raw!E31</f>
        <v>39523</v>
      </c>
      <c r="C31" s="250" t="str">
        <f>Raw!B31</f>
        <v>DARC Dirt 1</v>
      </c>
      <c r="D31" s="250" t="str">
        <f>Raw!C31</f>
        <v>Williams, Keen</v>
      </c>
      <c r="E31" s="250" t="str">
        <f>Raw!D31</f>
        <v>Lexington VA</v>
      </c>
      <c r="F31" s="250" t="str">
        <f>Raw!F31</f>
        <v>Viking Age</v>
      </c>
      <c r="G31" s="250" t="str">
        <f>Raw!DA31</f>
        <v>based on Eindoven</v>
      </c>
      <c r="H31" s="279" t="str">
        <f>Raw!DB31</f>
        <v>test of plate &amp; blow hole</v>
      </c>
      <c r="I31" s="264" t="str">
        <f>Raw!H31</f>
        <v/>
      </c>
      <c r="J31" s="264" t="str">
        <f>Raw!G31</f>
        <v>N</v>
      </c>
      <c r="K31" s="264"/>
      <c r="L31" s="264"/>
      <c r="M31" s="264"/>
      <c r="N31" s="264"/>
      <c r="O31" s="264"/>
      <c r="P31" s="264"/>
      <c r="Q31" s="264"/>
      <c r="R31" s="264"/>
      <c r="S31" s="264"/>
      <c r="T31" s="264"/>
      <c r="U31" s="264"/>
      <c r="V31" s="264"/>
      <c r="W31" s="264"/>
      <c r="X31" s="264"/>
      <c r="Y31" s="264"/>
      <c r="Z31" s="264"/>
    </row>
    <row r="32">
      <c r="A32" s="249">
        <f>Raw!A32</f>
        <v>31</v>
      </c>
      <c r="B32" s="251">
        <f>Raw!E32</f>
        <v>39524</v>
      </c>
      <c r="C32" s="250" t="str">
        <f>Raw!B32</f>
        <v>Bellows Plate </v>
      </c>
      <c r="D32" s="250" t="str">
        <f>Raw!C32</f>
        <v>Williams, Keen</v>
      </c>
      <c r="E32" s="250" t="str">
        <f>Raw!D32</f>
        <v>Lexington VA</v>
      </c>
      <c r="F32" s="250" t="str">
        <f>Raw!F32</f>
        <v>Viking Age</v>
      </c>
      <c r="G32" s="250" t="str">
        <f>Raw!DA32</f>
        <v>based on Eindoven</v>
      </c>
      <c r="H32" s="279" t="str">
        <f>Raw!DB32</f>
        <v>test of plate &amp; blow hole</v>
      </c>
      <c r="I32" s="264" t="str">
        <f>Raw!H32</f>
        <v/>
      </c>
      <c r="J32" s="264" t="str">
        <f>Raw!G32</f>
        <v>N</v>
      </c>
      <c r="K32" s="264"/>
      <c r="L32" s="264"/>
      <c r="M32" s="264"/>
      <c r="N32" s="264"/>
      <c r="O32" s="264"/>
      <c r="P32" s="264"/>
      <c r="Q32" s="264"/>
      <c r="R32" s="264"/>
      <c r="S32" s="264"/>
      <c r="T32" s="264"/>
      <c r="U32" s="264"/>
      <c r="V32" s="264"/>
      <c r="W32" s="264"/>
      <c r="X32" s="264"/>
      <c r="Y32" s="264"/>
      <c r="Z32" s="264"/>
    </row>
    <row r="33">
      <c r="A33" s="249" t="str">
        <f>Raw!A33</f>
        <v>32 / D14</v>
      </c>
      <c r="B33" s="251">
        <f>Raw!E33</f>
        <v>39551</v>
      </c>
      <c r="C33" s="250" t="str">
        <f>Raw!B33</f>
        <v>DARC Dirt 2</v>
      </c>
      <c r="D33" s="250" t="str">
        <f>Raw!C33</f>
        <v>DARC</v>
      </c>
      <c r="E33" s="250" t="str">
        <f>Raw!D33</f>
        <v>Wareham ON</v>
      </c>
      <c r="F33" s="250" t="str">
        <f>Raw!F33</f>
        <v>modern</v>
      </c>
      <c r="G33" s="250" t="str">
        <f>Raw!DA33</f>
        <v>established design</v>
      </c>
      <c r="H33" s="279" t="str">
        <f>Raw!DB33</f>
        <v>test of furnace</v>
      </c>
      <c r="I33" s="264" t="str">
        <f>Raw!H33</f>
        <v/>
      </c>
      <c r="J33" s="264" t="str">
        <f>Raw!G33</f>
        <v>N</v>
      </c>
      <c r="K33" s="264"/>
      <c r="L33" s="264"/>
      <c r="M33" s="264"/>
      <c r="N33" s="264"/>
      <c r="O33" s="264"/>
      <c r="P33" s="264"/>
      <c r="Q33" s="264"/>
      <c r="R33" s="264"/>
      <c r="S33" s="264"/>
      <c r="T33" s="264"/>
      <c r="U33" s="264"/>
      <c r="V33" s="264"/>
      <c r="W33" s="264"/>
      <c r="X33" s="264"/>
      <c r="Y33" s="264"/>
      <c r="Z33" s="264"/>
    </row>
    <row r="34">
      <c r="A34" s="249">
        <f>Raw!A34</f>
        <v>33</v>
      </c>
      <c r="B34" s="251">
        <f>Raw!E34</f>
        <v>39568</v>
      </c>
      <c r="C34" s="250" t="str">
        <f>Raw!B34</f>
        <v>2 Stage test A</v>
      </c>
      <c r="D34" s="250" t="str">
        <f>Raw!C34</f>
        <v>Espelund</v>
      </c>
      <c r="E34" s="250" t="str">
        <f>Raw!D34</f>
        <v>Heltborg DK</v>
      </c>
      <c r="F34" s="250" t="str">
        <f>Raw!F34</f>
        <v>Norway</v>
      </c>
      <c r="G34" s="250" t="str">
        <f>Raw!DA34</f>
        <v>Olesen's furnace</v>
      </c>
      <c r="H34" s="279" t="str">
        <f>Raw!DB34</f>
        <v>Espelund theoretical</v>
      </c>
      <c r="I34" s="264" t="str">
        <f>Raw!H34</f>
        <v/>
      </c>
      <c r="J34" s="264" t="str">
        <f>Raw!G34</f>
        <v>N</v>
      </c>
      <c r="K34" s="264"/>
      <c r="L34" s="264"/>
      <c r="M34" s="264"/>
      <c r="N34" s="264"/>
      <c r="O34" s="264"/>
      <c r="P34" s="264"/>
      <c r="Q34" s="264"/>
      <c r="R34" s="264"/>
      <c r="S34" s="264"/>
      <c r="T34" s="264"/>
      <c r="U34" s="264"/>
      <c r="V34" s="264"/>
      <c r="W34" s="264"/>
      <c r="X34" s="264"/>
      <c r="Y34" s="264"/>
      <c r="Z34" s="264"/>
    </row>
    <row r="35">
      <c r="A35" s="249">
        <f>Raw!A35</f>
        <v>34</v>
      </c>
      <c r="B35" s="251">
        <f>Raw!E35</f>
        <v>39570</v>
      </c>
      <c r="C35" s="250" t="str">
        <f>Raw!B35</f>
        <v>2 stage test B</v>
      </c>
      <c r="D35" s="250" t="str">
        <f>Raw!C35</f>
        <v>Espelund</v>
      </c>
      <c r="E35" s="250" t="str">
        <f>Raw!D35</f>
        <v>Heltborg DK</v>
      </c>
      <c r="F35" s="250" t="str">
        <f>Raw!F35</f>
        <v>Norway</v>
      </c>
      <c r="G35" s="250" t="str">
        <f>Raw!DA35</f>
        <v>Olesen's furnace</v>
      </c>
      <c r="H35" s="279" t="str">
        <f>Raw!DB35</f>
        <v>Espelund theoretical</v>
      </c>
      <c r="I35" s="264" t="str">
        <f>Raw!H35</f>
        <v/>
      </c>
      <c r="J35" s="264" t="str">
        <f>Raw!G35</f>
        <v>N</v>
      </c>
      <c r="K35" s="264"/>
      <c r="L35" s="264"/>
      <c r="M35" s="264"/>
      <c r="N35" s="264"/>
      <c r="O35" s="264"/>
      <c r="P35" s="264"/>
      <c r="Q35" s="264"/>
      <c r="R35" s="264"/>
      <c r="S35" s="264"/>
      <c r="T35" s="264"/>
      <c r="U35" s="264"/>
      <c r="V35" s="264"/>
      <c r="W35" s="264"/>
      <c r="X35" s="264"/>
      <c r="Y35" s="264"/>
      <c r="Z35" s="264"/>
    </row>
    <row r="36">
      <c r="A36" s="249">
        <f>Raw!A36</f>
        <v>35</v>
      </c>
      <c r="B36" s="251">
        <f>Raw!E36</f>
        <v>39572</v>
      </c>
      <c r="C36" s="250" t="str">
        <f>Raw!B36</f>
        <v>method demo</v>
      </c>
      <c r="D36" s="250" t="str">
        <f>Raw!C36</f>
        <v/>
      </c>
      <c r="E36" s="250" t="str">
        <f>Raw!D36</f>
        <v>Heltborg DK</v>
      </c>
      <c r="F36" s="250" t="str">
        <f>Raw!F36</f>
        <v>Norway</v>
      </c>
      <c r="G36" s="250" t="str">
        <f>Raw!DA36</f>
        <v>Olesen's furnace modified</v>
      </c>
      <c r="H36" s="279" t="str">
        <f>Raw!DB36</f>
        <v>demonstration of developed methods</v>
      </c>
      <c r="I36" s="264" t="str">
        <f>Raw!H36</f>
        <v/>
      </c>
      <c r="J36" s="264" t="str">
        <f>Raw!G36</f>
        <v>Y</v>
      </c>
      <c r="K36" s="264"/>
      <c r="L36" s="264"/>
      <c r="M36" s="264"/>
      <c r="N36" s="264"/>
      <c r="O36" s="264"/>
      <c r="P36" s="264"/>
      <c r="Q36" s="264"/>
      <c r="R36" s="264"/>
      <c r="S36" s="264"/>
      <c r="T36" s="264"/>
      <c r="U36" s="264"/>
      <c r="V36" s="264"/>
      <c r="W36" s="264"/>
      <c r="X36" s="264"/>
      <c r="Y36" s="264"/>
      <c r="Z36" s="264"/>
    </row>
    <row r="37">
      <c r="A37" s="249" t="str">
        <f>Raw!A37</f>
        <v>36 / D15</v>
      </c>
      <c r="B37" s="251">
        <f>Raw!E37</f>
        <v>39613</v>
      </c>
      <c r="C37" s="250" t="str">
        <f>Raw!B37</f>
        <v>DARC Dirt 3</v>
      </c>
      <c r="D37" s="250" t="str">
        <f>Raw!C37</f>
        <v>DARC</v>
      </c>
      <c r="E37" s="250" t="str">
        <f>Raw!D37</f>
        <v>Wareham ON</v>
      </c>
      <c r="F37" s="250" t="str">
        <f>Raw!F37</f>
        <v>Viking Age</v>
      </c>
      <c r="G37" s="250" t="str">
        <f>Raw!DA37</f>
        <v>established design</v>
      </c>
      <c r="H37" s="279" t="str">
        <f>Raw!DB37</f>
        <v>ore test in proven furnace</v>
      </c>
      <c r="I37" s="264" t="str">
        <f>Raw!H37</f>
        <v/>
      </c>
      <c r="J37" s="264" t="str">
        <f>Raw!G37</f>
        <v>N</v>
      </c>
      <c r="K37" s="264"/>
      <c r="L37" s="264"/>
      <c r="M37" s="264"/>
      <c r="N37" s="264"/>
      <c r="O37" s="264"/>
      <c r="P37" s="264"/>
      <c r="Q37" s="264"/>
      <c r="R37" s="264"/>
      <c r="S37" s="264"/>
      <c r="T37" s="264"/>
      <c r="U37" s="264"/>
      <c r="V37" s="264"/>
      <c r="W37" s="264"/>
      <c r="X37" s="264"/>
      <c r="Y37" s="264"/>
      <c r="Z37" s="264"/>
    </row>
    <row r="38">
      <c r="A38" s="249">
        <f>Raw!A38</f>
        <v>37</v>
      </c>
      <c r="B38" s="251">
        <f>Raw!E38</f>
        <v>39718</v>
      </c>
      <c r="C38" s="250" t="str">
        <f>Raw!B38</f>
        <v>Quad State demo</v>
      </c>
      <c r="D38" s="250" t="str">
        <f>Raw!C38</f>
        <v>Cook</v>
      </c>
      <c r="E38" s="250" t="str">
        <f>Raw!D38</f>
        <v>Troy OH</v>
      </c>
      <c r="F38" s="250" t="str">
        <f>Raw!F38</f>
        <v>Viking Age</v>
      </c>
      <c r="G38" s="250" t="str">
        <f>Raw!DA38</f>
        <v>established design</v>
      </c>
      <c r="H38" s="279" t="str">
        <f>Raw!DB38</f>
        <v>Quad State demo</v>
      </c>
      <c r="I38" s="264" t="str">
        <f>Raw!H38</f>
        <v/>
      </c>
      <c r="J38" s="264" t="str">
        <f>Raw!G38</f>
        <v>Y</v>
      </c>
      <c r="K38" s="264"/>
      <c r="L38" s="264"/>
      <c r="M38" s="264"/>
      <c r="N38" s="264"/>
      <c r="O38" s="264"/>
      <c r="P38" s="264"/>
      <c r="Q38" s="264"/>
      <c r="R38" s="264"/>
      <c r="S38" s="264"/>
      <c r="T38" s="264"/>
      <c r="U38" s="264"/>
      <c r="V38" s="264"/>
      <c r="W38" s="264"/>
      <c r="X38" s="264"/>
      <c r="Y38" s="264"/>
      <c r="Z38" s="264"/>
    </row>
    <row r="39">
      <c r="A39" s="249" t="str">
        <f>Raw!A39</f>
        <v>38 / D16</v>
      </c>
      <c r="B39" s="251">
        <f>Raw!E39</f>
        <v>39733</v>
      </c>
      <c r="C39" s="250" t="str">
        <f>Raw!B39</f>
        <v>Work Dynamic</v>
      </c>
      <c r="D39" s="250" t="str">
        <f>Raw!C39</f>
        <v>DARC</v>
      </c>
      <c r="E39" s="250" t="str">
        <f>Raw!D39</f>
        <v>Wareham ON</v>
      </c>
      <c r="F39" s="250" t="str">
        <f>Raw!F39</f>
        <v>Viking Age Icelandic</v>
      </c>
      <c r="G39" s="250" t="str">
        <f>Raw!DA39</f>
        <v>Hals, Iceland</v>
      </c>
      <c r="H39" s="279" t="str">
        <f>Raw!DB39</f>
        <v>working systems test / plate and blow hole</v>
      </c>
      <c r="I39" s="264" t="str">
        <f>Raw!H39</f>
        <v>Icelandic</v>
      </c>
      <c r="J39" s="264" t="str">
        <f>Raw!G39</f>
        <v>Y</v>
      </c>
      <c r="K39" s="264"/>
      <c r="L39" s="264"/>
      <c r="M39" s="264"/>
      <c r="N39" s="264"/>
      <c r="O39" s="264"/>
      <c r="P39" s="264"/>
      <c r="Q39" s="264"/>
      <c r="R39" s="264"/>
      <c r="S39" s="264"/>
      <c r="T39" s="264"/>
      <c r="U39" s="264"/>
      <c r="V39" s="264"/>
      <c r="W39" s="264"/>
      <c r="X39" s="264"/>
      <c r="Y39" s="264"/>
      <c r="Z39" s="264"/>
    </row>
    <row r="40">
      <c r="A40" s="249" t="str">
        <f>Raw!A40</f>
        <v>39 / D17</v>
      </c>
      <c r="B40" s="251">
        <f>Raw!E40</f>
        <v>39760</v>
      </c>
      <c r="C40" s="250" t="str">
        <f>Raw!B40</f>
        <v>Icelandic 4</v>
      </c>
      <c r="D40" s="250" t="str">
        <f>Raw!C40</f>
        <v>DARC</v>
      </c>
      <c r="E40" s="250" t="str">
        <f>Raw!D40</f>
        <v>Wareham ON</v>
      </c>
      <c r="F40" s="250" t="str">
        <f>Raw!F40</f>
        <v>Viking Age Icelandic</v>
      </c>
      <c r="G40" s="250" t="str">
        <f>Raw!DA40</f>
        <v>Hals, Iceland</v>
      </c>
      <c r="H40" s="279" t="str">
        <f>Raw!DB40</f>
        <v>working systems test</v>
      </c>
      <c r="I40" s="264" t="str">
        <f>Raw!H40</f>
        <v>Icelandic</v>
      </c>
      <c r="J40" s="264" t="str">
        <f>Raw!G40</f>
        <v>Y</v>
      </c>
      <c r="K40" s="264"/>
      <c r="L40" s="264"/>
      <c r="M40" s="264"/>
      <c r="N40" s="264"/>
      <c r="O40" s="264"/>
      <c r="P40" s="264"/>
      <c r="Q40" s="264"/>
      <c r="R40" s="264"/>
      <c r="S40" s="264"/>
      <c r="T40" s="264"/>
      <c r="U40" s="264"/>
      <c r="V40" s="264"/>
      <c r="W40" s="264"/>
      <c r="X40" s="264"/>
      <c r="Y40" s="264"/>
      <c r="Z40" s="264"/>
    </row>
    <row r="41">
      <c r="A41" s="249" t="str">
        <f>Raw!A41</f>
        <v>40 / D18</v>
      </c>
      <c r="B41" s="251">
        <f>Raw!E41</f>
        <v>39963</v>
      </c>
      <c r="C41" s="250" t="str">
        <f>Raw!B41</f>
        <v>Vinland 1</v>
      </c>
      <c r="D41" s="250" t="str">
        <f>Raw!C41</f>
        <v>DARC</v>
      </c>
      <c r="E41" s="250" t="str">
        <f>Raw!D41</f>
        <v>Wareham ON</v>
      </c>
      <c r="F41" s="250" t="str">
        <f>Raw!F41</f>
        <v>Viking Age Vinland</v>
      </c>
      <c r="G41" s="250" t="str">
        <f>Raw!DA41</f>
        <v>Vinland</v>
      </c>
      <c r="H41" s="279" t="str">
        <f>Raw!DB41</f>
        <v>furnace design</v>
      </c>
      <c r="I41" s="264" t="str">
        <f>Raw!H41</f>
        <v>Vinland</v>
      </c>
      <c r="J41" s="264" t="str">
        <f>Raw!G41</f>
        <v>N</v>
      </c>
      <c r="K41" s="264"/>
      <c r="L41" s="264"/>
      <c r="M41" s="264"/>
      <c r="N41" s="264"/>
      <c r="O41" s="264"/>
      <c r="P41" s="264"/>
      <c r="Q41" s="264"/>
      <c r="R41" s="264"/>
      <c r="S41" s="264"/>
      <c r="T41" s="264"/>
      <c r="U41" s="264"/>
      <c r="V41" s="264"/>
      <c r="W41" s="264"/>
      <c r="X41" s="264"/>
      <c r="Y41" s="264"/>
      <c r="Z41" s="264"/>
    </row>
    <row r="42">
      <c r="A42" s="249" t="str">
        <f>Raw!A42</f>
        <v>41 / D19</v>
      </c>
      <c r="B42" s="251">
        <f>Raw!E42</f>
        <v>40097</v>
      </c>
      <c r="C42" s="250" t="str">
        <f>Raw!B42</f>
        <v>Vinland 2</v>
      </c>
      <c r="D42" s="250" t="str">
        <f>Raw!C42</f>
        <v>DARC</v>
      </c>
      <c r="E42" s="250" t="str">
        <f>Raw!D42</f>
        <v>Wareham ON</v>
      </c>
      <c r="F42" s="250" t="str">
        <f>Raw!F42</f>
        <v>Viking Age Vinland</v>
      </c>
      <c r="G42" s="250" t="str">
        <f>Raw!DA42</f>
        <v>Vinland</v>
      </c>
      <c r="H42" s="279" t="str">
        <f>Raw!DB42</f>
        <v>placement of slack tub / Frankenbellows</v>
      </c>
      <c r="I42" s="264" t="str">
        <f>Raw!H42</f>
        <v>Vinland</v>
      </c>
      <c r="J42" s="264" t="str">
        <f>Raw!G42</f>
        <v>N</v>
      </c>
      <c r="K42" s="264"/>
      <c r="L42" s="264"/>
      <c r="M42" s="264"/>
      <c r="N42" s="264"/>
      <c r="O42" s="264"/>
      <c r="P42" s="264"/>
      <c r="Q42" s="264"/>
      <c r="R42" s="264"/>
      <c r="S42" s="264"/>
      <c r="T42" s="264"/>
      <c r="U42" s="264"/>
      <c r="V42" s="264"/>
      <c r="W42" s="264"/>
      <c r="X42" s="264"/>
      <c r="Y42" s="264"/>
      <c r="Z42" s="264"/>
    </row>
    <row r="43">
      <c r="A43" s="249" t="str">
        <f>Raw!A43</f>
        <v>42 / D20</v>
      </c>
      <c r="B43" s="251">
        <f>Raw!E43</f>
        <v>40124</v>
      </c>
      <c r="C43" s="250" t="str">
        <f>Raw!B43</f>
        <v>Vinland 3</v>
      </c>
      <c r="D43" s="250" t="str">
        <f>Raw!C43</f>
        <v>DARC</v>
      </c>
      <c r="E43" s="250" t="str">
        <f>Raw!D43</f>
        <v>Wareham ON</v>
      </c>
      <c r="F43" s="250" t="str">
        <f>Raw!F43</f>
        <v>Viking Age Vinland</v>
      </c>
      <c r="G43" s="250" t="str">
        <f>Raw!DA43</f>
        <v>Vinland</v>
      </c>
      <c r="H43" s="279" t="str">
        <f>Raw!DB43</f>
        <v>human powered air</v>
      </c>
      <c r="I43" s="264" t="str">
        <f>Raw!H43</f>
        <v>Vinland</v>
      </c>
      <c r="J43" s="264" t="str">
        <f>Raw!G43</f>
        <v>N</v>
      </c>
      <c r="K43" s="264"/>
      <c r="L43" s="264"/>
      <c r="M43" s="264"/>
      <c r="N43" s="264"/>
      <c r="O43" s="264"/>
      <c r="P43" s="264"/>
      <c r="Q43" s="264"/>
      <c r="R43" s="264"/>
      <c r="S43" s="264"/>
      <c r="T43" s="264"/>
      <c r="U43" s="264"/>
      <c r="V43" s="264"/>
      <c r="W43" s="264"/>
      <c r="X43" s="264"/>
      <c r="Y43" s="264"/>
      <c r="Z43" s="264"/>
    </row>
    <row r="44">
      <c r="A44" s="249" t="str">
        <f>Raw!A44</f>
        <v>43 / D21</v>
      </c>
      <c r="B44" s="251">
        <f>Raw!E44</f>
        <v>40341</v>
      </c>
      <c r="C44" s="250" t="str">
        <f>Raw!B44</f>
        <v>Vinland 4</v>
      </c>
      <c r="D44" s="250" t="str">
        <f>Raw!C44</f>
        <v>DARC</v>
      </c>
      <c r="E44" s="250" t="str">
        <f>Raw!D44</f>
        <v>Wareham ON</v>
      </c>
      <c r="F44" s="250" t="str">
        <f>Raw!F44</f>
        <v>Viking Age Vinland</v>
      </c>
      <c r="G44" s="250" t="str">
        <f>Raw!DA44</f>
        <v>Vinland</v>
      </c>
      <c r="H44" s="279" t="str">
        <f>Raw!DB44</f>
        <v>all historic method</v>
      </c>
      <c r="I44" s="264" t="str">
        <f>Raw!H44</f>
        <v>Vinland</v>
      </c>
      <c r="J44" s="264" t="str">
        <f>Raw!G44</f>
        <v>N</v>
      </c>
      <c r="K44" s="264"/>
      <c r="L44" s="264"/>
      <c r="M44" s="264"/>
      <c r="N44" s="264"/>
      <c r="O44" s="264"/>
      <c r="P44" s="264"/>
      <c r="Q44" s="264"/>
      <c r="R44" s="264"/>
      <c r="S44" s="264"/>
      <c r="T44" s="264"/>
      <c r="U44" s="264"/>
      <c r="V44" s="264"/>
      <c r="W44" s="264"/>
      <c r="X44" s="264"/>
      <c r="Y44" s="264"/>
      <c r="Z44" s="264"/>
    </row>
    <row r="45">
      <c r="A45" s="249" t="str">
        <f>Raw!A45</f>
        <v>44 / D22</v>
      </c>
      <c r="B45" s="251">
        <f>Raw!E45</f>
        <v>40411</v>
      </c>
      <c r="C45" s="250" t="str">
        <f>Raw!B45</f>
        <v>Vinland 5 demo</v>
      </c>
      <c r="D45" s="250" t="str">
        <f>Raw!C45</f>
        <v>DARC / Parks Canada</v>
      </c>
      <c r="E45" s="250" t="str">
        <f>Raw!D45</f>
        <v>L'Anse aux Meadows NL</v>
      </c>
      <c r="F45" s="250" t="str">
        <f>Raw!F45</f>
        <v>Viking Age Vinland</v>
      </c>
      <c r="G45" s="250" t="str">
        <f>Raw!DA45</f>
        <v>Vinland</v>
      </c>
      <c r="H45" s="279" t="str">
        <f>Raw!DB45</f>
        <v>demonstration on site</v>
      </c>
      <c r="I45" s="264" t="str">
        <f>Raw!H45</f>
        <v>Vinland</v>
      </c>
      <c r="J45" s="264" t="str">
        <f>Raw!G45</f>
        <v>Y</v>
      </c>
      <c r="K45" s="264"/>
      <c r="L45" s="264"/>
      <c r="M45" s="264"/>
      <c r="N45" s="264"/>
      <c r="O45" s="264"/>
      <c r="P45" s="264"/>
      <c r="Q45" s="264"/>
      <c r="R45" s="264"/>
      <c r="S45" s="264"/>
      <c r="T45" s="264"/>
      <c r="U45" s="264"/>
      <c r="V45" s="264"/>
      <c r="W45" s="264"/>
      <c r="X45" s="264"/>
      <c r="Y45" s="264"/>
      <c r="Z45" s="264"/>
    </row>
    <row r="46">
      <c r="A46" s="249" t="str">
        <f>Raw!A46</f>
        <v>45 / D23</v>
      </c>
      <c r="B46" s="251">
        <f>Raw!E46</f>
        <v>40488</v>
      </c>
      <c r="C46" s="250" t="str">
        <f>Raw!B46</f>
        <v>CanIRON 8 test</v>
      </c>
      <c r="D46" s="250" t="str">
        <f>Raw!C46</f>
        <v>DARC</v>
      </c>
      <c r="E46" s="250" t="str">
        <f>Raw!D46</f>
        <v>Wareham ON</v>
      </c>
      <c r="F46" s="250" t="str">
        <f>Raw!F46</f>
        <v>modern</v>
      </c>
      <c r="G46" s="250" t="str">
        <f>Raw!DA46</f>
        <v>CanIRON 9 demo</v>
      </c>
      <c r="H46" s="279" t="str">
        <f>Raw!DB46</f>
        <v>team experience</v>
      </c>
      <c r="I46" s="264" t="str">
        <f>Raw!H46</f>
        <v/>
      </c>
      <c r="J46" s="264" t="str">
        <f>Raw!G46</f>
        <v>N</v>
      </c>
      <c r="K46" s="264"/>
      <c r="L46" s="264"/>
      <c r="M46" s="264"/>
      <c r="N46" s="264"/>
      <c r="O46" s="264"/>
      <c r="P46" s="264"/>
      <c r="Q46" s="264"/>
      <c r="R46" s="264"/>
      <c r="S46" s="264"/>
      <c r="T46" s="264"/>
      <c r="U46" s="264"/>
      <c r="V46" s="264"/>
      <c r="W46" s="264"/>
      <c r="X46" s="264"/>
      <c r="Y46" s="264"/>
      <c r="Z46" s="264"/>
    </row>
    <row r="47">
      <c r="A47" s="249">
        <f>Raw!A47</f>
        <v>46</v>
      </c>
      <c r="B47" s="251">
        <f>Raw!E47</f>
        <v>40620</v>
      </c>
      <c r="C47" s="250" t="str">
        <f>Raw!B47</f>
        <v>Africa'</v>
      </c>
      <c r="D47" s="250" t="str">
        <f>Raw!C47</f>
        <v>Smeltfest</v>
      </c>
      <c r="E47" s="250" t="str">
        <f>Raw!D47</f>
        <v>Lexington VA</v>
      </c>
      <c r="F47" s="250" t="str">
        <f>Raw!F47</f>
        <v>Africian</v>
      </c>
      <c r="G47" s="250" t="str">
        <f>Raw!DA47</f>
        <v>Burkino Fasso</v>
      </c>
      <c r="H47" s="279" t="str">
        <f>Raw!DB47</f>
        <v>proof of concept only</v>
      </c>
      <c r="I47" s="264" t="str">
        <f>Raw!H47</f>
        <v/>
      </c>
      <c r="J47" s="264" t="str">
        <f>Raw!G47</f>
        <v>N</v>
      </c>
      <c r="K47" s="264"/>
      <c r="L47" s="264"/>
      <c r="M47" s="264"/>
      <c r="N47" s="264"/>
      <c r="O47" s="264"/>
      <c r="P47" s="264"/>
      <c r="Q47" s="264"/>
      <c r="R47" s="264"/>
      <c r="S47" s="264"/>
      <c r="T47" s="264"/>
      <c r="U47" s="264"/>
      <c r="V47" s="264"/>
      <c r="W47" s="264"/>
      <c r="X47" s="264"/>
      <c r="Y47" s="264"/>
      <c r="Z47" s="264"/>
    </row>
    <row r="48">
      <c r="A48" s="249">
        <f>Raw!A48</f>
        <v>47</v>
      </c>
      <c r="B48" s="251">
        <f>Raw!E48</f>
        <v>40654</v>
      </c>
      <c r="C48" s="250" t="str">
        <f>Raw!B48</f>
        <v>Experiment &amp; Iron</v>
      </c>
      <c r="D48" s="250" t="str">
        <f>Raw!C48</f>
        <v>Brown Students</v>
      </c>
      <c r="E48" s="250" t="str">
        <f>Raw!D48</f>
        <v>Bristol RI</v>
      </c>
      <c r="F48" s="250" t="str">
        <f>Raw!F48</f>
        <v>Viking Age</v>
      </c>
      <c r="G48" s="250" t="str">
        <f>Raw!DA48</f>
        <v>standard</v>
      </c>
      <c r="H48" s="279" t="str">
        <f>Raw!DB48</f>
        <v>teaching</v>
      </c>
      <c r="I48" s="264" t="str">
        <f>Raw!H48</f>
        <v>Teaching</v>
      </c>
      <c r="J48" s="264" t="str">
        <f>Raw!G48</f>
        <v>N</v>
      </c>
      <c r="K48" s="264"/>
      <c r="L48" s="264"/>
      <c r="M48" s="264"/>
      <c r="N48" s="264"/>
      <c r="O48" s="264"/>
      <c r="P48" s="264"/>
      <c r="Q48" s="264"/>
      <c r="R48" s="264"/>
      <c r="S48" s="264"/>
      <c r="T48" s="264"/>
      <c r="U48" s="264"/>
      <c r="V48" s="264"/>
      <c r="W48" s="264"/>
      <c r="X48" s="264"/>
      <c r="Y48" s="264"/>
      <c r="Z48" s="264"/>
    </row>
    <row r="49">
      <c r="A49" s="249" t="str">
        <f>Raw!A49</f>
        <v>D24</v>
      </c>
      <c r="B49" s="251">
        <f>Raw!E49</f>
        <v>40705</v>
      </c>
      <c r="C49" s="250" t="str">
        <f>Raw!B49</f>
        <v>CanIRON 8 test</v>
      </c>
      <c r="D49" s="250" t="str">
        <f>Raw!C49</f>
        <v>DARC</v>
      </c>
      <c r="E49" s="250" t="str">
        <f>Raw!D49</f>
        <v>Wareham ON</v>
      </c>
      <c r="F49" s="250" t="str">
        <f>Raw!F49</f>
        <v>modern</v>
      </c>
      <c r="G49" s="250" t="str">
        <f>Raw!DA49</f>
        <v>CanIRON 9 demo</v>
      </c>
      <c r="H49" s="279" t="str">
        <f>Raw!DB49</f>
        <v>team experience</v>
      </c>
      <c r="I49" s="264" t="str">
        <f>Raw!H49</f>
        <v/>
      </c>
      <c r="J49" s="264" t="str">
        <f>Raw!G49</f>
        <v>N</v>
      </c>
      <c r="K49" s="264"/>
      <c r="L49" s="264"/>
      <c r="M49" s="264"/>
      <c r="N49" s="264"/>
      <c r="O49" s="264"/>
      <c r="P49" s="264"/>
      <c r="Q49" s="264"/>
      <c r="R49" s="264"/>
      <c r="S49" s="264"/>
      <c r="T49" s="264"/>
      <c r="U49" s="264"/>
      <c r="V49" s="264"/>
      <c r="W49" s="264"/>
      <c r="X49" s="264"/>
      <c r="Y49" s="264"/>
      <c r="Z49" s="264"/>
    </row>
    <row r="50">
      <c r="A50" s="249" t="str">
        <f>Raw!A50</f>
        <v>D25</v>
      </c>
      <c r="B50" s="251">
        <f>Raw!E50</f>
        <v>40752</v>
      </c>
      <c r="C50" s="250" t="str">
        <f>Raw!B50</f>
        <v>CanIRON 8 demo</v>
      </c>
      <c r="D50" s="250" t="str">
        <f>Raw!C50</f>
        <v>DARC</v>
      </c>
      <c r="E50" s="250" t="str">
        <f>Raw!D50</f>
        <v>Fergus ON</v>
      </c>
      <c r="F50" s="250" t="str">
        <f>Raw!F50</f>
        <v>modern</v>
      </c>
      <c r="G50" s="250" t="str">
        <f>Raw!DA50</f>
        <v>CanIRON 9 demo</v>
      </c>
      <c r="H50" s="279" t="str">
        <f>Raw!DB50</f>
        <v>public demonstration</v>
      </c>
      <c r="I50" s="264" t="str">
        <f>Raw!H50</f>
        <v/>
      </c>
      <c r="J50" s="264" t="str">
        <f>Raw!G50</f>
        <v>Y</v>
      </c>
      <c r="K50" s="264"/>
      <c r="L50" s="264"/>
      <c r="M50" s="264"/>
      <c r="N50" s="264"/>
      <c r="O50" s="264"/>
      <c r="P50" s="264"/>
      <c r="Q50" s="264"/>
      <c r="R50" s="264"/>
      <c r="S50" s="264"/>
      <c r="T50" s="264"/>
      <c r="U50" s="264"/>
      <c r="V50" s="264"/>
      <c r="W50" s="264"/>
      <c r="X50" s="264"/>
      <c r="Y50" s="264"/>
      <c r="Z50" s="264"/>
    </row>
    <row r="51">
      <c r="A51" s="249" t="str">
        <f>Raw!A51</f>
        <v>48 / D26</v>
      </c>
      <c r="B51" s="251">
        <f>Raw!E51</f>
        <v>40825</v>
      </c>
      <c r="C51" s="250" t="str">
        <f>Raw!B51</f>
        <v>Slag Pit 1</v>
      </c>
      <c r="D51" s="250" t="str">
        <f>Raw!C51</f>
        <v>Burnham, Peterson</v>
      </c>
      <c r="E51" s="250" t="str">
        <f>Raw!D51</f>
        <v>Wareham ON</v>
      </c>
      <c r="F51" s="250" t="str">
        <f>Raw!F51</f>
        <v>Celtic Iron Age</v>
      </c>
      <c r="G51" s="250" t="str">
        <f>Raw!DA51</f>
        <v>van de Manakker</v>
      </c>
      <c r="H51" s="279" t="str">
        <f>Raw!DB51</f>
        <v>proof of concept</v>
      </c>
      <c r="I51" s="264" t="str">
        <f>Raw!H51</f>
        <v/>
      </c>
      <c r="J51" s="264" t="str">
        <f>Raw!G51</f>
        <v>N</v>
      </c>
      <c r="K51" s="264"/>
      <c r="L51" s="264"/>
      <c r="M51" s="264"/>
      <c r="N51" s="264"/>
      <c r="O51" s="264"/>
      <c r="P51" s="264"/>
      <c r="Q51" s="264"/>
      <c r="R51" s="264"/>
      <c r="S51" s="264"/>
      <c r="T51" s="264"/>
      <c r="U51" s="264"/>
      <c r="V51" s="264"/>
      <c r="W51" s="264"/>
      <c r="X51" s="264"/>
      <c r="Y51" s="264"/>
      <c r="Z51" s="264"/>
    </row>
    <row r="52">
      <c r="A52" s="249">
        <f>Raw!A52</f>
        <v>49</v>
      </c>
      <c r="B52" s="251">
        <f>Raw!E52</f>
        <v>40852</v>
      </c>
      <c r="C52" s="250" t="str">
        <f>Raw!B52</f>
        <v>Slag Pit 2</v>
      </c>
      <c r="D52" s="250" t="str">
        <f>Raw!C52</f>
        <v>Peterson</v>
      </c>
      <c r="E52" s="250" t="str">
        <f>Raw!D52</f>
        <v>Wareham ON</v>
      </c>
      <c r="F52" s="250" t="str">
        <f>Raw!F52</f>
        <v>Celtic Iron Age</v>
      </c>
      <c r="G52" s="250" t="str">
        <f>Raw!DA52</f>
        <v>van de Manakker</v>
      </c>
      <c r="H52" s="279" t="str">
        <f>Raw!DB52</f>
        <v>proof of concept</v>
      </c>
      <c r="I52" s="264" t="str">
        <f>Raw!H52</f>
        <v/>
      </c>
      <c r="J52" s="264" t="str">
        <f>Raw!G52</f>
        <v>N</v>
      </c>
      <c r="K52" s="264"/>
      <c r="L52" s="264"/>
      <c r="M52" s="264"/>
      <c r="N52" s="264"/>
      <c r="O52" s="264"/>
      <c r="P52" s="264"/>
      <c r="Q52" s="264"/>
      <c r="R52" s="264"/>
      <c r="S52" s="264"/>
      <c r="T52" s="264"/>
      <c r="U52" s="264"/>
      <c r="V52" s="264"/>
      <c r="W52" s="264"/>
      <c r="X52" s="264"/>
      <c r="Y52" s="264"/>
      <c r="Z52" s="264"/>
    </row>
    <row r="53">
      <c r="A53" s="249">
        <f>Raw!A53</f>
        <v>50</v>
      </c>
      <c r="B53" s="251">
        <f>Raw!E53</f>
        <v>41034</v>
      </c>
      <c r="C53" s="250" t="str">
        <f>Raw!B53</f>
        <v>Production</v>
      </c>
      <c r="D53" s="250" t="str">
        <f>Raw!C53</f>
        <v/>
      </c>
      <c r="E53" s="250" t="str">
        <f>Raw!D53</f>
        <v>Wareham ON</v>
      </c>
      <c r="F53" s="250" t="str">
        <f>Raw!F53</f>
        <v>modern</v>
      </c>
      <c r="G53" s="250" t="str">
        <f>Raw!DA53</f>
        <v>Lee Sauder</v>
      </c>
      <c r="H53" s="279" t="str">
        <f>Raw!DB53</f>
        <v>production furnace build</v>
      </c>
      <c r="I53" s="264" t="str">
        <f>Raw!H53</f>
        <v/>
      </c>
      <c r="J53" s="264" t="str">
        <f>Raw!G53</f>
        <v>N</v>
      </c>
      <c r="K53" s="264"/>
      <c r="L53" s="264"/>
      <c r="M53" s="264"/>
      <c r="N53" s="264"/>
      <c r="O53" s="264"/>
      <c r="P53" s="264"/>
      <c r="Q53" s="264"/>
      <c r="R53" s="264"/>
      <c r="S53" s="264"/>
      <c r="T53" s="264"/>
      <c r="U53" s="264"/>
      <c r="V53" s="264"/>
      <c r="W53" s="264"/>
      <c r="X53" s="264"/>
      <c r="Y53" s="264"/>
      <c r="Z53" s="264"/>
    </row>
    <row r="54">
      <c r="A54" s="249" t="str">
        <f>Raw!A54</f>
        <v>51 / D27</v>
      </c>
      <c r="B54" s="251">
        <f>Raw!E54</f>
        <v>41055</v>
      </c>
      <c r="C54" s="250" t="str">
        <f>Raw!B54</f>
        <v>Icelandic 5</v>
      </c>
      <c r="D54" s="250" t="str">
        <f>Raw!C54</f>
        <v>DARC</v>
      </c>
      <c r="E54" s="250" t="str">
        <f>Raw!D54</f>
        <v>Wareham ON</v>
      </c>
      <c r="F54" s="250" t="str">
        <f>Raw!F54</f>
        <v>Viking Age Icelandic</v>
      </c>
      <c r="G54" s="250" t="str">
        <f>Raw!DA54</f>
        <v>Hals Iceland</v>
      </c>
      <c r="H54" s="279" t="str">
        <f>Raw!DB54</f>
        <v>resume Icelandic series</v>
      </c>
      <c r="I54" s="264" t="str">
        <f>Raw!H54</f>
        <v>Icelandic</v>
      </c>
      <c r="J54" s="264" t="str">
        <f>Raw!G54</f>
        <v>Y</v>
      </c>
      <c r="K54" s="264"/>
      <c r="L54" s="264"/>
      <c r="M54" s="264"/>
      <c r="N54" s="264"/>
      <c r="O54" s="264"/>
      <c r="P54" s="264"/>
      <c r="Q54" s="264"/>
      <c r="R54" s="264"/>
      <c r="S54" s="264"/>
      <c r="T54" s="264"/>
      <c r="U54" s="264"/>
      <c r="V54" s="264"/>
      <c r="W54" s="264"/>
      <c r="X54" s="264"/>
      <c r="Y54" s="264"/>
      <c r="Z54" s="264"/>
    </row>
    <row r="55">
      <c r="A55" s="249">
        <f>Raw!A55</f>
        <v>52</v>
      </c>
      <c r="B55" s="251">
        <f>Raw!E55</f>
        <v>41132</v>
      </c>
      <c r="C55" s="250" t="str">
        <f>Raw!B55</f>
        <v>Celtic Festival</v>
      </c>
      <c r="D55" s="250" t="str">
        <f>Raw!C55</f>
        <v>Celtic College</v>
      </c>
      <c r="E55" s="250" t="str">
        <f>Raw!D55</f>
        <v>Goderich ON</v>
      </c>
      <c r="F55" s="250" t="str">
        <f>Raw!F55</f>
        <v>Viking Age</v>
      </c>
      <c r="G55" s="250" t="str">
        <f>Raw!DA55</f>
        <v>proven design</v>
      </c>
      <c r="H55" s="279" t="str">
        <f>Raw!DB55</f>
        <v>public demonstration</v>
      </c>
      <c r="I55" s="264" t="str">
        <f>Raw!H55</f>
        <v>Teaching</v>
      </c>
      <c r="J55" s="264" t="str">
        <f>Raw!G55</f>
        <v>Y</v>
      </c>
      <c r="K55" s="264"/>
      <c r="L55" s="264"/>
      <c r="M55" s="264"/>
      <c r="N55" s="264"/>
      <c r="O55" s="264"/>
      <c r="P55" s="264"/>
      <c r="Q55" s="264"/>
      <c r="R55" s="264"/>
      <c r="S55" s="264"/>
      <c r="T55" s="264"/>
      <c r="U55" s="264"/>
      <c r="V55" s="264"/>
      <c r="W55" s="264"/>
      <c r="X55" s="264"/>
      <c r="Y55" s="264"/>
      <c r="Z55" s="264"/>
    </row>
    <row r="56">
      <c r="A56" s="249">
        <f>Raw!A56</f>
        <v>53</v>
      </c>
      <c r="B56" s="251">
        <f>Raw!E56</f>
        <v>41405</v>
      </c>
      <c r="C56" s="250" t="str">
        <f>Raw!B56</f>
        <v>ICMS demo</v>
      </c>
      <c r="D56" s="250" t="str">
        <f>Raw!C56</f>
        <v>ICMS</v>
      </c>
      <c r="E56" s="250" t="str">
        <f>Raw!D56</f>
        <v>Kalamzoo MI</v>
      </c>
      <c r="F56" s="250" t="str">
        <f>Raw!F56</f>
        <v>Viking Age</v>
      </c>
      <c r="G56" s="250" t="str">
        <f>Raw!DA56</f>
        <v/>
      </c>
      <c r="H56" s="279" t="str">
        <f>Raw!DB56</f>
        <v>workshop / demo</v>
      </c>
      <c r="I56" s="264" t="str">
        <f>Raw!H56</f>
        <v/>
      </c>
      <c r="J56" s="264" t="str">
        <f>Raw!G56</f>
        <v>Y</v>
      </c>
      <c r="K56" s="264"/>
      <c r="L56" s="264"/>
      <c r="M56" s="264"/>
      <c r="N56" s="264"/>
      <c r="O56" s="264"/>
      <c r="P56" s="264"/>
      <c r="Q56" s="264"/>
      <c r="R56" s="264"/>
      <c r="S56" s="264"/>
      <c r="T56" s="264"/>
      <c r="U56" s="264"/>
      <c r="V56" s="264"/>
      <c r="W56" s="264"/>
      <c r="X56" s="264"/>
      <c r="Y56" s="264"/>
      <c r="Z56" s="264"/>
    </row>
    <row r="57">
      <c r="A57" s="249">
        <f>Raw!A57</f>
        <v>54</v>
      </c>
      <c r="B57" s="251">
        <f>Raw!E57</f>
        <v>41420</v>
      </c>
      <c r="C57" s="250" t="str">
        <f>Raw!B57</f>
        <v>Intro Smelting</v>
      </c>
      <c r="D57" s="250" t="str">
        <f>Raw!C57</f>
        <v>Evarts, Eamon</v>
      </c>
      <c r="E57" s="250" t="str">
        <f>Raw!D57</f>
        <v>Wareham ON</v>
      </c>
      <c r="F57" s="250" t="str">
        <f>Raw!F57</f>
        <v>Viking Age</v>
      </c>
      <c r="G57" s="250" t="str">
        <f>Raw!DA57</f>
        <v/>
      </c>
      <c r="H57" s="279" t="str">
        <f>Raw!DB57</f>
        <v>teaching</v>
      </c>
      <c r="I57" s="264" t="str">
        <f>Raw!H57</f>
        <v>Teaching</v>
      </c>
      <c r="J57" s="264" t="str">
        <f>Raw!G57</f>
        <v>N</v>
      </c>
      <c r="K57" s="264"/>
      <c r="L57" s="264"/>
      <c r="M57" s="264"/>
      <c r="N57" s="264"/>
      <c r="O57" s="264"/>
      <c r="P57" s="264"/>
      <c r="Q57" s="264"/>
      <c r="R57" s="264"/>
      <c r="S57" s="264"/>
      <c r="T57" s="264"/>
      <c r="U57" s="264"/>
      <c r="V57" s="264"/>
      <c r="W57" s="264"/>
      <c r="X57" s="264"/>
      <c r="Y57" s="264"/>
      <c r="Z57" s="264"/>
    </row>
    <row r="58">
      <c r="A58" s="249">
        <f>Raw!A58</f>
        <v>55</v>
      </c>
      <c r="B58" s="251">
        <f>Raw!E58</f>
        <v>41569</v>
      </c>
      <c r="C58" s="250" t="str">
        <f>Raw!B58</f>
        <v>Experiment &amp; Iron</v>
      </c>
      <c r="D58" s="250" t="str">
        <f>Raw!C58</f>
        <v>Students</v>
      </c>
      <c r="E58" s="250" t="str">
        <f>Raw!D58</f>
        <v>Washington College MD</v>
      </c>
      <c r="F58" s="250" t="str">
        <f>Raw!F58</f>
        <v>Viking Age</v>
      </c>
      <c r="G58" s="250" t="str">
        <f>Raw!DA58</f>
        <v/>
      </c>
      <c r="H58" s="279" t="str">
        <f>Raw!DB58</f>
        <v>teaching </v>
      </c>
      <c r="I58" s="264" t="str">
        <f>Raw!H58</f>
        <v>Teaching</v>
      </c>
      <c r="J58" s="264" t="str">
        <f>Raw!G58</f>
        <v>N</v>
      </c>
      <c r="K58" s="264"/>
      <c r="L58" s="264"/>
      <c r="M58" s="264"/>
      <c r="N58" s="264"/>
      <c r="O58" s="264"/>
      <c r="P58" s="264"/>
      <c r="Q58" s="264"/>
      <c r="R58" s="264"/>
      <c r="S58" s="264"/>
      <c r="T58" s="264"/>
      <c r="U58" s="264"/>
      <c r="V58" s="264"/>
      <c r="W58" s="264"/>
      <c r="X58" s="264"/>
      <c r="Y58" s="264"/>
      <c r="Z58" s="264"/>
    </row>
    <row r="59">
      <c r="A59" s="249">
        <f>Raw!A59</f>
        <v>56</v>
      </c>
      <c r="B59" s="251">
        <f>Raw!E59</f>
        <v>41804</v>
      </c>
      <c r="C59" s="250" t="str">
        <f>Raw!B59</f>
        <v>T2T prototype</v>
      </c>
      <c r="D59" s="250" t="str">
        <f>Raw!C59</f>
        <v>Peterson +</v>
      </c>
      <c r="E59" s="250" t="str">
        <f>Raw!D59</f>
        <v>Wareham ON</v>
      </c>
      <c r="F59" s="250" t="str">
        <f>Raw!F59</f>
        <v>Pictish 200 - 400 AD</v>
      </c>
      <c r="G59" s="250" t="str">
        <f>Raw!DA59</f>
        <v>Culduthel, Scotland</v>
      </c>
      <c r="H59" s="279" t="str">
        <f>Raw!DB59</f>
        <v>test wicker frame / build</v>
      </c>
      <c r="I59" s="264" t="str">
        <f>Raw!H59</f>
        <v>Turf-to-Tools</v>
      </c>
      <c r="J59" s="264" t="str">
        <f>Raw!G59</f>
        <v>N</v>
      </c>
      <c r="K59" s="264"/>
      <c r="L59" s="264"/>
      <c r="M59" s="264"/>
      <c r="N59" s="264"/>
      <c r="O59" s="264"/>
      <c r="P59" s="264"/>
      <c r="Q59" s="264"/>
      <c r="R59" s="264"/>
      <c r="S59" s="264"/>
      <c r="T59" s="264"/>
      <c r="U59" s="264"/>
      <c r="V59" s="264"/>
      <c r="W59" s="264"/>
      <c r="X59" s="264"/>
      <c r="Y59" s="264"/>
      <c r="Z59" s="264"/>
    </row>
    <row r="60">
      <c r="A60" s="249">
        <f>Raw!A60</f>
        <v>57</v>
      </c>
      <c r="B60" s="251">
        <f>Raw!E60</f>
        <v>41862</v>
      </c>
      <c r="C60" s="250" t="str">
        <f>Raw!B60</f>
        <v>T2T 1A</v>
      </c>
      <c r="D60" s="250" t="str">
        <f>Raw!C60</f>
        <v>SSW</v>
      </c>
      <c r="E60" s="250" t="str">
        <f>Raw!D60</f>
        <v>Lumsden Scotland</v>
      </c>
      <c r="F60" s="250" t="str">
        <f>Raw!F60</f>
        <v>Pictish 200 - 400 AD</v>
      </c>
      <c r="G60" s="250" t="str">
        <f>Raw!DA60</f>
        <v>Culduthel, Scotland</v>
      </c>
      <c r="H60" s="279" t="str">
        <f>Raw!DB60</f>
        <v>build / resource test</v>
      </c>
      <c r="I60" s="264" t="str">
        <f>Raw!H60</f>
        <v>Turf-to-Tools</v>
      </c>
      <c r="J60" s="264" t="str">
        <f>Raw!G60</f>
        <v>N</v>
      </c>
      <c r="K60" s="264"/>
      <c r="L60" s="264"/>
      <c r="M60" s="264"/>
      <c r="N60" s="264"/>
      <c r="O60" s="264"/>
      <c r="P60" s="264"/>
      <c r="Q60" s="264"/>
      <c r="R60" s="264"/>
      <c r="S60" s="264"/>
      <c r="T60" s="264"/>
      <c r="U60" s="264"/>
      <c r="V60" s="264"/>
      <c r="W60" s="264"/>
      <c r="X60" s="264"/>
      <c r="Y60" s="264"/>
      <c r="Z60" s="264"/>
    </row>
    <row r="61">
      <c r="A61" s="249">
        <f>Raw!A61</f>
        <v>58</v>
      </c>
      <c r="B61" s="251">
        <f>Raw!E61</f>
        <v>41865</v>
      </c>
      <c r="C61" s="250" t="str">
        <f>Raw!B61</f>
        <v>T2T 1B</v>
      </c>
      <c r="D61" s="250" t="str">
        <f>Raw!C61</f>
        <v>SSW</v>
      </c>
      <c r="E61" s="250" t="str">
        <f>Raw!D61</f>
        <v>Lumsden Scotland</v>
      </c>
      <c r="F61" s="250" t="str">
        <f>Raw!F61</f>
        <v>Pictish 200 - 400 AD</v>
      </c>
      <c r="G61" s="250" t="str">
        <f>Raw!DA61</f>
        <v>Culduthel, Scotland</v>
      </c>
      <c r="H61" s="279" t="str">
        <f>Raw!DB61</f>
        <v>build test / skills development</v>
      </c>
      <c r="I61" s="264" t="str">
        <f>Raw!H61</f>
        <v>Turf-to-Tools</v>
      </c>
      <c r="J61" s="264" t="str">
        <f>Raw!G61</f>
        <v>N</v>
      </c>
      <c r="K61" s="264"/>
      <c r="L61" s="264"/>
      <c r="M61" s="264"/>
      <c r="N61" s="264"/>
      <c r="O61" s="264"/>
      <c r="P61" s="264"/>
      <c r="Q61" s="264"/>
      <c r="R61" s="264"/>
      <c r="S61" s="264"/>
      <c r="T61" s="264"/>
      <c r="U61" s="264"/>
      <c r="V61" s="264"/>
      <c r="W61" s="264"/>
      <c r="X61" s="264"/>
      <c r="Y61" s="264"/>
      <c r="Z61" s="264"/>
    </row>
    <row r="62">
      <c r="A62" s="249">
        <f>Raw!A62</f>
        <v>59</v>
      </c>
      <c r="B62" s="251">
        <f>Raw!E62</f>
        <v>41868</v>
      </c>
      <c r="C62" s="250" t="str">
        <f>Raw!B62</f>
        <v>T2T 1C</v>
      </c>
      <c r="D62" s="250" t="str">
        <f>Raw!C62</f>
        <v>SSW</v>
      </c>
      <c r="E62" s="250" t="str">
        <f>Raw!D62</f>
        <v>Lumsden Scotland</v>
      </c>
      <c r="F62" s="250" t="str">
        <f>Raw!F62</f>
        <v>Pictish 200 - 400 AD</v>
      </c>
      <c r="G62" s="250" t="str">
        <f>Raw!DA62</f>
        <v>Culduthel, Scotland</v>
      </c>
      <c r="H62" s="279" t="str">
        <f>Raw!DB62</f>
        <v>bones test</v>
      </c>
      <c r="I62" s="264" t="str">
        <f>Raw!H62</f>
        <v>Turf-to-Tools</v>
      </c>
      <c r="J62" s="264" t="str">
        <f>Raw!G62</f>
        <v>Y</v>
      </c>
      <c r="K62" s="264"/>
      <c r="L62" s="264"/>
      <c r="M62" s="264"/>
      <c r="N62" s="264"/>
      <c r="O62" s="264"/>
      <c r="P62" s="264"/>
      <c r="Q62" s="264"/>
      <c r="R62" s="264"/>
      <c r="S62" s="264"/>
      <c r="T62" s="264"/>
      <c r="U62" s="264"/>
      <c r="V62" s="264"/>
      <c r="W62" s="264"/>
      <c r="X62" s="264"/>
      <c r="Y62" s="264"/>
      <c r="Z62" s="264"/>
    </row>
    <row r="63">
      <c r="A63" s="249" t="str">
        <f>Raw!A63</f>
        <v>T1</v>
      </c>
      <c r="B63" s="251">
        <f>Raw!E63</f>
        <v>41872</v>
      </c>
      <c r="C63" s="250" t="str">
        <f>Raw!B63</f>
        <v>Peat Test</v>
      </c>
      <c r="D63" s="250" t="str">
        <f>Raw!C63</f>
        <v>SSW</v>
      </c>
      <c r="E63" s="250" t="str">
        <f>Raw!D63</f>
        <v>Lumsden Scotland</v>
      </c>
      <c r="F63" s="250" t="str">
        <f>Raw!F63</f>
        <v>Scotish</v>
      </c>
      <c r="G63" s="250" t="str">
        <f>Raw!DA63</f>
        <v>Scotland</v>
      </c>
      <c r="H63" s="279" t="str">
        <f>Raw!DB63</f>
        <v>peat fuel test</v>
      </c>
      <c r="I63" s="264" t="str">
        <f>Raw!H63</f>
        <v>Turf-to-Tools</v>
      </c>
      <c r="J63" s="264" t="str">
        <f>Raw!G63</f>
        <v>N</v>
      </c>
      <c r="K63" s="264"/>
      <c r="L63" s="264"/>
      <c r="M63" s="264"/>
      <c r="N63" s="264"/>
      <c r="O63" s="264"/>
      <c r="P63" s="264"/>
      <c r="Q63" s="264"/>
      <c r="R63" s="264"/>
      <c r="S63" s="264"/>
      <c r="T63" s="264"/>
      <c r="U63" s="264"/>
      <c r="V63" s="264"/>
      <c r="W63" s="264"/>
      <c r="X63" s="264"/>
      <c r="Y63" s="264"/>
      <c r="Z63" s="264"/>
    </row>
    <row r="64">
      <c r="A64" s="249" t="str">
        <f>Raw!A64</f>
        <v>60 / D28</v>
      </c>
      <c r="B64" s="251">
        <f>Raw!E64</f>
        <v>42175</v>
      </c>
      <c r="C64" s="250" t="str">
        <f>Raw!B64</f>
        <v>Icelandic 6</v>
      </c>
      <c r="D64" s="250" t="str">
        <f>Raw!C64</f>
        <v>DARC</v>
      </c>
      <c r="E64" s="250" t="str">
        <f>Raw!D64</f>
        <v>Wareham ON</v>
      </c>
      <c r="F64" s="250" t="str">
        <f>Raw!F64</f>
        <v>Viking Age Icelandic</v>
      </c>
      <c r="G64" s="250" t="str">
        <f>Raw!DA64</f>
        <v>Hals Iceland</v>
      </c>
      <c r="H64" s="279" t="str">
        <f>Raw!DB64</f>
        <v>build elements</v>
      </c>
      <c r="I64" s="264" t="str">
        <f>Raw!H64</f>
        <v>Icelandic</v>
      </c>
      <c r="J64" s="264" t="str">
        <f>Raw!G64</f>
        <v>Y</v>
      </c>
      <c r="K64" s="264"/>
      <c r="L64" s="264"/>
      <c r="M64" s="264"/>
      <c r="N64" s="264"/>
      <c r="O64" s="264"/>
      <c r="P64" s="264"/>
      <c r="Q64" s="264"/>
      <c r="R64" s="264"/>
      <c r="S64" s="264"/>
      <c r="T64" s="264"/>
      <c r="U64" s="264"/>
      <c r="V64" s="264"/>
      <c r="W64" s="264"/>
      <c r="X64" s="264"/>
      <c r="Y64" s="264"/>
      <c r="Z64" s="264"/>
    </row>
    <row r="65">
      <c r="A65" s="249" t="str">
        <f>Raw!A65</f>
        <v>61 / D29</v>
      </c>
      <c r="B65" s="251">
        <f>Raw!E65</f>
        <v>42289</v>
      </c>
      <c r="C65" s="250" t="str">
        <f>Raw!B65</f>
        <v>Icelandic 7</v>
      </c>
      <c r="D65" s="250" t="str">
        <f>Raw!C65</f>
        <v>DARC</v>
      </c>
      <c r="E65" s="250" t="str">
        <f>Raw!D65</f>
        <v>Wareham ON</v>
      </c>
      <c r="F65" s="250" t="str">
        <f>Raw!F65</f>
        <v>Viking Age Icelandic</v>
      </c>
      <c r="G65" s="250" t="str">
        <f>Raw!DA65</f>
        <v>Hals, Iceland</v>
      </c>
      <c r="H65" s="279" t="str">
        <f>Raw!DB65</f>
        <v>build elements</v>
      </c>
      <c r="I65" s="264" t="str">
        <f>Raw!H65</f>
        <v>Icelandic</v>
      </c>
      <c r="J65" s="264" t="str">
        <f>Raw!G65</f>
        <v>Y</v>
      </c>
      <c r="K65" s="264"/>
      <c r="L65" s="264"/>
      <c r="M65" s="264"/>
      <c r="N65" s="264"/>
      <c r="O65" s="264"/>
      <c r="P65" s="264"/>
      <c r="Q65" s="264"/>
      <c r="R65" s="264"/>
      <c r="S65" s="264"/>
      <c r="T65" s="264"/>
      <c r="U65" s="264"/>
      <c r="V65" s="264"/>
      <c r="W65" s="264"/>
      <c r="X65" s="264"/>
      <c r="Y65" s="264"/>
      <c r="Z65" s="264"/>
    </row>
    <row r="66">
      <c r="A66" s="249">
        <f>Raw!A66</f>
        <v>62</v>
      </c>
      <c r="B66" s="251">
        <f>Raw!E66</f>
        <v>42512</v>
      </c>
      <c r="C66" s="250" t="str">
        <f>Raw!B66</f>
        <v>Production</v>
      </c>
      <c r="D66" s="250" t="str">
        <f>Raw!C66</f>
        <v/>
      </c>
      <c r="E66" s="250" t="str">
        <f>Raw!D66</f>
        <v>Wareham ON</v>
      </c>
      <c r="F66" s="250" t="str">
        <f>Raw!F66</f>
        <v>modern</v>
      </c>
      <c r="G66" s="250" t="str">
        <f>Raw!DA66</f>
        <v/>
      </c>
      <c r="H66" s="279" t="str">
        <f>Raw!DB66</f>
        <v>use of May 2012 furnace</v>
      </c>
      <c r="I66" s="264" t="str">
        <f>Raw!H66</f>
        <v/>
      </c>
      <c r="J66" s="264" t="str">
        <f>Raw!G66</f>
        <v>N</v>
      </c>
      <c r="K66" s="264"/>
      <c r="L66" s="264"/>
      <c r="M66" s="264"/>
      <c r="N66" s="264"/>
      <c r="O66" s="264"/>
      <c r="P66" s="264"/>
      <c r="Q66" s="264"/>
      <c r="R66" s="264"/>
      <c r="S66" s="264"/>
      <c r="T66" s="264"/>
      <c r="U66" s="264"/>
      <c r="V66" s="264"/>
      <c r="W66" s="264"/>
      <c r="X66" s="264"/>
      <c r="Y66" s="264"/>
      <c r="Z66" s="264"/>
    </row>
    <row r="67">
      <c r="A67" s="249">
        <f>Raw!A67</f>
        <v>63</v>
      </c>
      <c r="B67" s="251">
        <f>Raw!E67</f>
        <v>42541</v>
      </c>
      <c r="C67" s="250" t="str">
        <f>Raw!B67</f>
        <v>50 Year / demo</v>
      </c>
      <c r="D67" s="250" t="str">
        <f>Raw!C67</f>
        <v>SCA</v>
      </c>
      <c r="E67" s="250" t="str">
        <f>Raw!D67</f>
        <v>Danville IN</v>
      </c>
      <c r="F67" s="250" t="str">
        <f>Raw!F67</f>
        <v>Viking Age</v>
      </c>
      <c r="G67" s="250" t="str">
        <f>Raw!DA67</f>
        <v>speculative</v>
      </c>
      <c r="H67" s="279" t="str">
        <f>Raw!DB67</f>
        <v>multiple small bellows with bladder test</v>
      </c>
      <c r="I67" s="264" t="str">
        <f>Raw!H67</f>
        <v>Air</v>
      </c>
      <c r="J67" s="264" t="str">
        <f>Raw!G67</f>
        <v>Y</v>
      </c>
      <c r="K67" s="264"/>
      <c r="L67" s="264"/>
      <c r="M67" s="264"/>
      <c r="N67" s="264"/>
      <c r="O67" s="264"/>
      <c r="P67" s="264"/>
      <c r="Q67" s="264"/>
      <c r="R67" s="264"/>
      <c r="S67" s="264"/>
      <c r="T67" s="264"/>
      <c r="U67" s="264"/>
      <c r="V67" s="264"/>
      <c r="W67" s="264"/>
      <c r="X67" s="264"/>
      <c r="Y67" s="264"/>
      <c r="Z67" s="264"/>
    </row>
    <row r="68">
      <c r="A68" s="249">
        <f>Raw!A68</f>
        <v>64</v>
      </c>
      <c r="B68" s="251">
        <f>Raw!E68</f>
        <v>42622</v>
      </c>
      <c r="C68" s="250" t="str">
        <f>Raw!B68</f>
        <v>ARTEfakty A</v>
      </c>
      <c r="D68" s="250" t="str">
        <f>Raw!C68</f>
        <v>ARTEfakty</v>
      </c>
      <c r="E68" s="250" t="str">
        <f>Raw!D68</f>
        <v>Proszkow Poland</v>
      </c>
      <c r="F68" s="250" t="str">
        <f>Raw!F68</f>
        <v>Viking Age</v>
      </c>
      <c r="G68" s="250" t="str">
        <f>Raw!DA68</f>
        <v/>
      </c>
      <c r="H68" s="279" t="str">
        <f>Raw!DB68</f>
        <v>to museum</v>
      </c>
      <c r="I68" s="264" t="str">
        <f>Raw!H68</f>
        <v/>
      </c>
      <c r="J68" s="264" t="str">
        <f>Raw!G68</f>
        <v>Y</v>
      </c>
      <c r="K68" s="264"/>
      <c r="L68" s="264"/>
      <c r="M68" s="264"/>
      <c r="N68" s="264"/>
      <c r="O68" s="264"/>
      <c r="P68" s="264"/>
      <c r="Q68" s="264"/>
      <c r="R68" s="264"/>
      <c r="S68" s="264"/>
      <c r="T68" s="264"/>
      <c r="U68" s="264"/>
      <c r="V68" s="264"/>
      <c r="W68" s="264"/>
      <c r="X68" s="264"/>
      <c r="Y68" s="264"/>
      <c r="Z68" s="264"/>
    </row>
    <row r="69">
      <c r="A69" s="249">
        <f>Raw!A69</f>
        <v>65</v>
      </c>
      <c r="B69" s="251">
        <f>Raw!E69</f>
        <v>42624</v>
      </c>
      <c r="C69" s="250" t="str">
        <f>Raw!B69</f>
        <v>ARTEfakty B</v>
      </c>
      <c r="D69" s="250" t="str">
        <f>Raw!C69</f>
        <v>ARTEfakty</v>
      </c>
      <c r="E69" s="250" t="str">
        <f>Raw!D69</f>
        <v>Proszkow Poland</v>
      </c>
      <c r="F69" s="250" t="str">
        <f>Raw!F69</f>
        <v>Viking Age</v>
      </c>
      <c r="G69" s="250" t="str">
        <f>Raw!DA69</f>
        <v/>
      </c>
      <c r="H69" s="279" t="str">
        <f>Raw!DB69</f>
        <v>to museum</v>
      </c>
      <c r="I69" s="264" t="str">
        <f>Raw!H69</f>
        <v/>
      </c>
      <c r="J69" s="264" t="str">
        <f>Raw!G69</f>
        <v>Y</v>
      </c>
      <c r="K69" s="264"/>
      <c r="L69" s="264"/>
      <c r="M69" s="264"/>
      <c r="N69" s="264"/>
      <c r="O69" s="264"/>
      <c r="P69" s="264"/>
      <c r="Q69" s="264"/>
      <c r="R69" s="264"/>
      <c r="S69" s="264"/>
      <c r="T69" s="264"/>
      <c r="U69" s="264"/>
      <c r="V69" s="264"/>
      <c r="W69" s="264"/>
      <c r="X69" s="264"/>
      <c r="Y69" s="264"/>
      <c r="Z69" s="264"/>
    </row>
    <row r="70">
      <c r="A70" s="249">
        <f>Raw!A70</f>
        <v>66</v>
      </c>
      <c r="B70" s="251">
        <f>Raw!E70</f>
        <v>42630</v>
      </c>
      <c r="C70" s="250" t="str">
        <f>Raw!B70</f>
        <v>T2T 2A</v>
      </c>
      <c r="D70" s="250" t="str">
        <f>Raw!C70</f>
        <v>SSW</v>
      </c>
      <c r="E70" s="250" t="str">
        <f>Raw!D70</f>
        <v>Lumsden Scotland</v>
      </c>
      <c r="F70" s="250" t="str">
        <f>Raw!F70</f>
        <v>Pictish 200 - 400 AD</v>
      </c>
      <c r="G70" s="250" t="str">
        <f>Raw!DA70</f>
        <v>Culduthel, Scotland</v>
      </c>
      <c r="H70" s="279" t="str">
        <f>Raw!DB70</f>
        <v>local resource test</v>
      </c>
      <c r="I70" s="264" t="str">
        <f>Raw!H70</f>
        <v>Turf-to-Tools</v>
      </c>
      <c r="J70" s="264" t="str">
        <f>Raw!G70</f>
        <v>N</v>
      </c>
      <c r="K70" s="264"/>
      <c r="L70" s="264"/>
      <c r="M70" s="264"/>
      <c r="N70" s="264"/>
      <c r="O70" s="264"/>
      <c r="P70" s="264"/>
      <c r="Q70" s="264"/>
      <c r="R70" s="264"/>
      <c r="S70" s="264"/>
      <c r="T70" s="264"/>
      <c r="U70" s="264"/>
      <c r="V70" s="264"/>
      <c r="W70" s="264"/>
      <c r="X70" s="264"/>
      <c r="Y70" s="264"/>
      <c r="Z70" s="264"/>
    </row>
    <row r="71">
      <c r="A71" s="249">
        <f>Raw!A71</f>
        <v>67</v>
      </c>
      <c r="B71" s="251">
        <f>Raw!E71</f>
        <v>42637</v>
      </c>
      <c r="C71" s="250" t="str">
        <f>Raw!B71</f>
        <v>T2T 2B</v>
      </c>
      <c r="D71" s="250" t="str">
        <f>Raw!C71</f>
        <v>SSW</v>
      </c>
      <c r="E71" s="250" t="str">
        <f>Raw!D71</f>
        <v>Lumsden Scotland</v>
      </c>
      <c r="F71" s="250" t="str">
        <f>Raw!F71</f>
        <v>Pictish 200 - 400 AD</v>
      </c>
      <c r="G71" s="250" t="str">
        <f>Raw!DA71</f>
        <v>Culduthel, Scotland</v>
      </c>
      <c r="H71" s="279" t="str">
        <f>Raw!DB71</f>
        <v>peat fuel test</v>
      </c>
      <c r="I71" s="264" t="str">
        <f>Raw!H71</f>
        <v>Turf-to-Tools</v>
      </c>
      <c r="J71" s="264" t="str">
        <f>Raw!G71</f>
        <v>N</v>
      </c>
      <c r="K71" s="264"/>
      <c r="L71" s="264"/>
      <c r="M71" s="264"/>
      <c r="N71" s="264"/>
      <c r="O71" s="264"/>
      <c r="P71" s="264"/>
      <c r="Q71" s="264"/>
      <c r="R71" s="264"/>
      <c r="S71" s="264"/>
      <c r="T71" s="264"/>
      <c r="U71" s="264"/>
      <c r="V71" s="264"/>
      <c r="W71" s="264"/>
      <c r="X71" s="264"/>
      <c r="Y71" s="264"/>
      <c r="Z71" s="264"/>
    </row>
    <row r="72">
      <c r="A72" s="249">
        <f>Raw!A72</f>
        <v>68</v>
      </c>
      <c r="B72" s="251">
        <f>Raw!E72</f>
        <v>42640</v>
      </c>
      <c r="C72" s="250" t="str">
        <f>Raw!B72</f>
        <v>T2T 2C</v>
      </c>
      <c r="D72" s="250" t="str">
        <f>Raw!C72</f>
        <v>SSW</v>
      </c>
      <c r="E72" s="250" t="str">
        <f>Raw!D72</f>
        <v>Lumsden Scotland</v>
      </c>
      <c r="F72" s="250" t="str">
        <f>Raw!F72</f>
        <v>Pictish 200 - 400 AD</v>
      </c>
      <c r="G72" s="250" t="str">
        <f>Raw!DA72</f>
        <v>Culduthel, Scotland</v>
      </c>
      <c r="H72" s="279" t="str">
        <f>Raw!DB72</f>
        <v>public demonstration</v>
      </c>
      <c r="I72" s="264" t="str">
        <f>Raw!H72</f>
        <v>Turf-to-Tools</v>
      </c>
      <c r="J72" s="264" t="str">
        <f>Raw!G72</f>
        <v>Y</v>
      </c>
      <c r="K72" s="264"/>
      <c r="L72" s="264"/>
      <c r="M72" s="264"/>
      <c r="N72" s="264"/>
      <c r="O72" s="264"/>
      <c r="P72" s="264"/>
      <c r="Q72" s="264"/>
      <c r="R72" s="264"/>
      <c r="S72" s="264"/>
      <c r="T72" s="264"/>
      <c r="U72" s="264"/>
      <c r="V72" s="264"/>
      <c r="W72" s="264"/>
      <c r="X72" s="264"/>
      <c r="Y72" s="264"/>
      <c r="Z72" s="264"/>
    </row>
    <row r="73">
      <c r="A73" s="249">
        <f>Raw!A73</f>
        <v>69</v>
      </c>
      <c r="B73" s="251">
        <f>Raw!E73</f>
        <v>42622</v>
      </c>
      <c r="C73" s="250" t="str">
        <f>Raw!B73</f>
        <v>Celtic Iron</v>
      </c>
      <c r="D73" s="250" t="str">
        <f>Raw!C73</f>
        <v>SCC</v>
      </c>
      <c r="E73" s="250" t="str">
        <f>Raw!D73</f>
        <v>Aberfeldy Scotland</v>
      </c>
      <c r="F73" s="250" t="str">
        <f>Raw!F73</f>
        <v>Celtic Iron Age</v>
      </c>
      <c r="G73" s="250" t="str">
        <f>Raw!DA73</f>
        <v>Celtic Iron Age ?</v>
      </c>
      <c r="H73" s="279" t="str">
        <f>Raw!DB73</f>
        <v>build and firing test only</v>
      </c>
      <c r="I73" s="264" t="str">
        <f>Raw!H73</f>
        <v>Teaching</v>
      </c>
      <c r="J73" s="264" t="str">
        <f>Raw!G73</f>
        <v>N</v>
      </c>
      <c r="K73" s="264"/>
      <c r="L73" s="264"/>
      <c r="M73" s="264"/>
      <c r="N73" s="264"/>
      <c r="O73" s="264"/>
      <c r="P73" s="264"/>
      <c r="Q73" s="264"/>
      <c r="R73" s="264"/>
      <c r="S73" s="264"/>
      <c r="T73" s="264"/>
      <c r="U73" s="264"/>
      <c r="V73" s="264"/>
      <c r="W73" s="264"/>
      <c r="X73" s="264"/>
      <c r="Y73" s="264"/>
      <c r="Z73" s="264"/>
    </row>
    <row r="74">
      <c r="A74" s="249" t="str">
        <f>Raw!A74</f>
        <v>70 / D30</v>
      </c>
      <c r="B74" s="251">
        <f>Raw!E74</f>
        <v>42672</v>
      </c>
      <c r="C74" s="250" t="str">
        <f>Raw!B74</f>
        <v>Icelandic 8</v>
      </c>
      <c r="D74" s="250" t="str">
        <f>Raw!C74</f>
        <v>DARC</v>
      </c>
      <c r="E74" s="250" t="str">
        <f>Raw!D74</f>
        <v>Amaranth ON</v>
      </c>
      <c r="F74" s="250" t="str">
        <f>Raw!F74</f>
        <v>Viking Age Icelandic</v>
      </c>
      <c r="G74" s="250" t="str">
        <f>Raw!DA74</f>
        <v>Hals, Iceland</v>
      </c>
      <c r="H74" s="279" t="str">
        <f>Raw!DB74</f>
        <v>full scale build</v>
      </c>
      <c r="I74" s="264" t="str">
        <f>Raw!H74</f>
        <v>Icelandic</v>
      </c>
      <c r="J74" s="264" t="str">
        <f>Raw!G74</f>
        <v>N</v>
      </c>
      <c r="K74" s="264"/>
      <c r="L74" s="264"/>
      <c r="M74" s="264"/>
      <c r="N74" s="264"/>
      <c r="O74" s="264"/>
      <c r="P74" s="264"/>
      <c r="Q74" s="264"/>
      <c r="R74" s="264"/>
      <c r="S74" s="264"/>
      <c r="T74" s="264"/>
      <c r="U74" s="264"/>
      <c r="V74" s="264"/>
      <c r="W74" s="264"/>
      <c r="X74" s="264"/>
      <c r="Y74" s="264"/>
      <c r="Z74" s="264"/>
    </row>
    <row r="75">
      <c r="A75" s="249">
        <f>Raw!A75</f>
        <v>71</v>
      </c>
      <c r="B75" s="251">
        <f>Raw!E75</f>
        <v>42693</v>
      </c>
      <c r="C75" s="250" t="str">
        <f>Raw!B75</f>
        <v>ExARC Iron</v>
      </c>
      <c r="D75" s="250" t="str">
        <f>Raw!C75</f>
        <v>ReARC</v>
      </c>
      <c r="E75" s="250" t="str">
        <f>Raw!D75</f>
        <v>Williamsburg VA</v>
      </c>
      <c r="F75" s="250" t="str">
        <f>Raw!F75</f>
        <v>Viking Age</v>
      </c>
      <c r="G75" s="250" t="str">
        <f>Raw!DA75</f>
        <v/>
      </c>
      <c r="H75" s="279" t="str">
        <f>Raw!DB75</f>
        <v>teaching, use of smelting bellows</v>
      </c>
      <c r="I75" s="264" t="str">
        <f>Raw!H75</f>
        <v>Teaching</v>
      </c>
      <c r="J75" s="264" t="str">
        <f>Raw!G75</f>
        <v>Y</v>
      </c>
      <c r="K75" s="264"/>
      <c r="L75" s="264"/>
      <c r="M75" s="264"/>
      <c r="N75" s="264"/>
      <c r="O75" s="264"/>
      <c r="P75" s="264"/>
      <c r="Q75" s="264"/>
      <c r="R75" s="264"/>
      <c r="S75" s="264"/>
      <c r="T75" s="264"/>
      <c r="U75" s="264"/>
      <c r="V75" s="264"/>
      <c r="W75" s="264"/>
      <c r="X75" s="264"/>
      <c r="Y75" s="264"/>
      <c r="Z75" s="264"/>
    </row>
    <row r="76">
      <c r="A76" s="249">
        <f>Raw!A76</f>
        <v>72</v>
      </c>
      <c r="B76" s="251">
        <f>Raw!E76</f>
        <v>42704</v>
      </c>
      <c r="C76" s="250" t="str">
        <f>Raw!B76</f>
        <v>Intro Smelting</v>
      </c>
      <c r="D76" s="250" t="str">
        <f>Raw!C76</f>
        <v>von Eschen</v>
      </c>
      <c r="E76" s="250" t="str">
        <f>Raw!D76</f>
        <v>Wareham ON</v>
      </c>
      <c r="F76" s="250" t="str">
        <f>Raw!F76</f>
        <v>Viking Age</v>
      </c>
      <c r="G76" s="250" t="str">
        <f>Raw!DA76</f>
        <v/>
      </c>
      <c r="H76" s="279" t="str">
        <f>Raw!DB76</f>
        <v>teaching</v>
      </c>
      <c r="I76" s="264" t="str">
        <f>Raw!H76</f>
        <v>Teaching</v>
      </c>
      <c r="J76" s="264" t="str">
        <f>Raw!G76</f>
        <v>N</v>
      </c>
      <c r="K76" s="264"/>
      <c r="L76" s="264"/>
      <c r="M76" s="264"/>
      <c r="N76" s="264"/>
      <c r="O76" s="264"/>
      <c r="P76" s="264"/>
      <c r="Q76" s="264"/>
      <c r="R76" s="264"/>
      <c r="S76" s="264"/>
      <c r="T76" s="264"/>
      <c r="U76" s="264"/>
      <c r="V76" s="264"/>
      <c r="W76" s="264"/>
      <c r="X76" s="264"/>
      <c r="Y76" s="264"/>
      <c r="Z76" s="264"/>
    </row>
    <row r="77">
      <c r="A77" s="249">
        <f>Raw!A77</f>
        <v>73</v>
      </c>
      <c r="B77" s="251">
        <f>Raw!E77</f>
        <v>42907</v>
      </c>
      <c r="C77" s="250" t="str">
        <f>Raw!B77</f>
        <v>Intro Smelting</v>
      </c>
      <c r="D77" s="250" t="str">
        <f>Raw!C77</f>
        <v>SCA</v>
      </c>
      <c r="E77" s="250" t="str">
        <f>Raw!D77</f>
        <v>Milton ON</v>
      </c>
      <c r="F77" s="250" t="str">
        <f>Raw!F77</f>
        <v>Viking Age</v>
      </c>
      <c r="G77" s="250" t="str">
        <f>Raw!DA77</f>
        <v>Vinland</v>
      </c>
      <c r="H77" s="279" t="str">
        <f>Raw!DB77</f>
        <v>teaching</v>
      </c>
      <c r="I77" s="264" t="str">
        <f>Raw!H77</f>
        <v>Teaching</v>
      </c>
      <c r="J77" s="264" t="str">
        <f>Raw!G77</f>
        <v>N</v>
      </c>
      <c r="K77" s="264"/>
      <c r="L77" s="264"/>
      <c r="M77" s="264"/>
      <c r="N77" s="264"/>
      <c r="O77" s="264"/>
      <c r="P77" s="264"/>
      <c r="Q77" s="264"/>
      <c r="R77" s="264"/>
      <c r="S77" s="264"/>
      <c r="T77" s="264"/>
      <c r="U77" s="264"/>
      <c r="V77" s="264"/>
      <c r="W77" s="264"/>
      <c r="X77" s="264"/>
      <c r="Y77" s="264"/>
      <c r="Z77" s="264"/>
    </row>
    <row r="78">
      <c r="A78" s="249">
        <f>Raw!A78</f>
        <v>74</v>
      </c>
      <c r="B78" s="251">
        <f>Raw!E78</f>
        <v>42932</v>
      </c>
      <c r="C78" s="250" t="str">
        <f>Raw!B78</f>
        <v>Vinland 6</v>
      </c>
      <c r="D78" s="250" t="str">
        <f>Raw!C78</f>
        <v>DARC / Parks Canada</v>
      </c>
      <c r="E78" s="250" t="str">
        <f>Raw!D78</f>
        <v>L'Anse aux Meadows NL</v>
      </c>
      <c r="F78" s="250" t="str">
        <f>Raw!F78</f>
        <v>Viking Age Vinland</v>
      </c>
      <c r="G78" s="250" t="str">
        <f>Raw!DA78</f>
        <v>Vinland</v>
      </c>
      <c r="H78" s="279" t="str">
        <f>Raw!DB78</f>
        <v>demonstration on site</v>
      </c>
      <c r="I78" s="264" t="str">
        <f>Raw!H78</f>
        <v>Vinland</v>
      </c>
      <c r="J78" s="264" t="str">
        <f>Raw!G78</f>
        <v>Y</v>
      </c>
      <c r="K78" s="264"/>
      <c r="L78" s="264"/>
      <c r="M78" s="264"/>
      <c r="N78" s="264"/>
      <c r="O78" s="264"/>
      <c r="P78" s="264"/>
      <c r="Q78" s="264"/>
      <c r="R78" s="264"/>
      <c r="S78" s="264"/>
      <c r="T78" s="264"/>
      <c r="U78" s="264"/>
      <c r="V78" s="264"/>
      <c r="W78" s="264"/>
      <c r="X78" s="264"/>
      <c r="Y78" s="264"/>
      <c r="Z78" s="264"/>
    </row>
    <row r="79">
      <c r="A79" s="249">
        <f>Raw!A79</f>
        <v>75</v>
      </c>
      <c r="B79" s="251">
        <f>Raw!E79</f>
        <v>42953</v>
      </c>
      <c r="C79" s="250" t="str">
        <f>Raw!B79</f>
        <v>Celtic Iron</v>
      </c>
      <c r="D79" s="250" t="str">
        <f>Raw!C79</f>
        <v>SCC</v>
      </c>
      <c r="E79" s="250" t="str">
        <f>Raw!D79</f>
        <v>Aberfeldy Scotland</v>
      </c>
      <c r="F79" s="250" t="str">
        <f>Raw!F79</f>
        <v>Celtic Iron Age</v>
      </c>
      <c r="G79" s="250" t="str">
        <f>Raw!DA79</f>
        <v>Celtic Iron Age ?</v>
      </c>
      <c r="H79" s="279" t="str">
        <f>Raw!DB79</f>
        <v>demonstration on site</v>
      </c>
      <c r="I79" s="264" t="str">
        <f>Raw!H79</f>
        <v/>
      </c>
      <c r="J79" s="264" t="str">
        <f>Raw!G79</f>
        <v>Y</v>
      </c>
      <c r="K79" s="264"/>
      <c r="L79" s="264"/>
      <c r="M79" s="264"/>
      <c r="N79" s="264"/>
      <c r="O79" s="264"/>
      <c r="P79" s="264"/>
      <c r="Q79" s="264"/>
      <c r="R79" s="264"/>
      <c r="S79" s="264"/>
      <c r="T79" s="264"/>
      <c r="U79" s="264"/>
      <c r="V79" s="264"/>
      <c r="W79" s="264"/>
      <c r="X79" s="264"/>
      <c r="Y79" s="264"/>
      <c r="Z79" s="264"/>
    </row>
    <row r="80">
      <c r="A80" s="249">
        <f>Raw!A80</f>
        <v>76</v>
      </c>
      <c r="B80" s="251">
        <f>Raw!E80</f>
        <v>43274</v>
      </c>
      <c r="C80" s="250" t="str">
        <f>Raw!B80</f>
        <v>Slag Pit 3</v>
      </c>
      <c r="D80" s="250" t="str">
        <f>Raw!C80</f>
        <v>Peterson +</v>
      </c>
      <c r="E80" s="250" t="str">
        <f>Raw!D80</f>
        <v>Wareham ON</v>
      </c>
      <c r="F80" s="250" t="str">
        <f>Raw!F80</f>
        <v>Celtic Iron Age</v>
      </c>
      <c r="G80" s="250" t="str">
        <f>Raw!DA80</f>
        <v>Celtic Iron Age ?</v>
      </c>
      <c r="H80" s="279" t="str">
        <f>Raw!DB80</f>
        <v/>
      </c>
      <c r="I80" s="264" t="str">
        <f>Raw!H80</f>
        <v/>
      </c>
      <c r="J80" s="264" t="str">
        <f>Raw!G80</f>
        <v>N</v>
      </c>
      <c r="K80" s="264"/>
      <c r="L80" s="264"/>
      <c r="M80" s="264"/>
      <c r="N80" s="264"/>
      <c r="O80" s="264"/>
      <c r="P80" s="264"/>
      <c r="Q80" s="264"/>
      <c r="R80" s="264"/>
      <c r="S80" s="264"/>
      <c r="T80" s="264"/>
      <c r="U80" s="264"/>
      <c r="V80" s="264"/>
      <c r="W80" s="264"/>
      <c r="X80" s="264"/>
      <c r="Y80" s="264"/>
      <c r="Z80" s="264"/>
    </row>
    <row r="81">
      <c r="A81" s="249">
        <f>Raw!A81</f>
        <v>77</v>
      </c>
      <c r="B81" s="251">
        <f>Raw!E81</f>
        <v>43281</v>
      </c>
      <c r="C81" s="250" t="str">
        <f>Raw!B81</f>
        <v>Viking Age Iron</v>
      </c>
      <c r="D81" s="250" t="str">
        <f>Raw!C81</f>
        <v>Hurstwic</v>
      </c>
      <c r="E81" s="250" t="str">
        <f>Raw!D81</f>
        <v>Wareham ON</v>
      </c>
      <c r="F81" s="250" t="str">
        <f>Raw!F81</f>
        <v>Viking Age</v>
      </c>
      <c r="G81" s="250" t="str">
        <f>Raw!DA81</f>
        <v>Viking Age ?</v>
      </c>
      <c r="H81" s="279" t="str">
        <f>Raw!DB81</f>
        <v>teaching</v>
      </c>
      <c r="I81" s="264" t="str">
        <f>Raw!H81</f>
        <v>Teaching</v>
      </c>
      <c r="J81" s="264" t="str">
        <f>Raw!G81</f>
        <v>N</v>
      </c>
      <c r="K81" s="264"/>
      <c r="L81" s="264"/>
      <c r="M81" s="264"/>
      <c r="N81" s="264"/>
      <c r="O81" s="264"/>
      <c r="P81" s="264"/>
      <c r="Q81" s="264"/>
      <c r="R81" s="264"/>
      <c r="S81" s="264"/>
      <c r="T81" s="264"/>
      <c r="U81" s="264"/>
      <c r="V81" s="264"/>
      <c r="W81" s="264"/>
      <c r="X81" s="264"/>
      <c r="Y81" s="264"/>
      <c r="Z81" s="264"/>
    </row>
    <row r="82">
      <c r="A82" s="249">
        <f>Raw!A82</f>
        <v>78</v>
      </c>
      <c r="B82" s="251">
        <f>Raw!E82</f>
        <v>43359</v>
      </c>
      <c r="C82" s="250" t="str">
        <f>Raw!B82</f>
        <v>CAMELOT</v>
      </c>
      <c r="D82" s="250" t="str">
        <f>Raw!C82</f>
        <v>students, Gissing</v>
      </c>
      <c r="E82" s="250" t="str">
        <f>Raw!D82</f>
        <v>Waterloo ON</v>
      </c>
      <c r="F82" s="250" t="str">
        <f>Raw!F82</f>
        <v>Viking Age</v>
      </c>
      <c r="G82" s="250" t="str">
        <f>Raw!DA82</f>
        <v/>
      </c>
      <c r="H82" s="279" t="str">
        <f>Raw!DB82</f>
        <v>demonstration on site</v>
      </c>
      <c r="I82" s="264" t="str">
        <f>Raw!H82</f>
        <v/>
      </c>
      <c r="J82" s="264" t="str">
        <f>Raw!G82</f>
        <v>Y</v>
      </c>
      <c r="K82" s="264"/>
      <c r="L82" s="264"/>
      <c r="M82" s="264"/>
      <c r="N82" s="264"/>
      <c r="O82" s="264"/>
      <c r="P82" s="264"/>
      <c r="Q82" s="264"/>
      <c r="R82" s="264"/>
      <c r="S82" s="264"/>
      <c r="T82" s="264"/>
      <c r="U82" s="264"/>
      <c r="V82" s="264"/>
      <c r="W82" s="264"/>
      <c r="X82" s="264"/>
      <c r="Y82" s="264"/>
      <c r="Z82" s="264"/>
    </row>
    <row r="83">
      <c r="A83" s="249">
        <f>Raw!A83</f>
        <v>79</v>
      </c>
      <c r="B83" s="251">
        <f>Raw!E83</f>
        <v>43386</v>
      </c>
      <c r="C83" s="250" t="str">
        <f>Raw!B83</f>
        <v>Norse in America</v>
      </c>
      <c r="D83" s="250" t="str">
        <f>Raw!C83</f>
        <v>Peterson, Robertson</v>
      </c>
      <c r="E83" s="250" t="str">
        <f>Raw!D83</f>
        <v>Wareham ON</v>
      </c>
      <c r="F83" s="250" t="str">
        <f>Raw!F83</f>
        <v>Viking Age</v>
      </c>
      <c r="G83" s="250" t="str">
        <f>Raw!DA83</f>
        <v/>
      </c>
      <c r="H83" s="279" t="str">
        <f>Raw!DB83</f>
        <v/>
      </c>
      <c r="I83" s="264" t="str">
        <f>Raw!H83</f>
        <v/>
      </c>
      <c r="J83" s="264" t="str">
        <f>Raw!G83</f>
        <v>Y</v>
      </c>
      <c r="K83" s="264"/>
      <c r="L83" s="264"/>
      <c r="M83" s="264"/>
      <c r="N83" s="264"/>
      <c r="O83" s="264"/>
      <c r="P83" s="264"/>
      <c r="Q83" s="264"/>
      <c r="R83" s="264"/>
      <c r="S83" s="264"/>
      <c r="T83" s="264"/>
      <c r="U83" s="264"/>
      <c r="V83" s="264"/>
      <c r="W83" s="264"/>
      <c r="X83" s="264"/>
      <c r="Y83" s="264"/>
      <c r="Z83" s="264"/>
    </row>
    <row r="84">
      <c r="A84" s="249">
        <f>Raw!A84</f>
        <v>80</v>
      </c>
      <c r="B84" s="251">
        <f>Raw!E84</f>
        <v>43391</v>
      </c>
      <c r="C84" s="250" t="str">
        <f>Raw!B84</f>
        <v>Roman Passive</v>
      </c>
      <c r="D84" s="250" t="str">
        <f>Raw!C84</f>
        <v>Peterson</v>
      </c>
      <c r="E84" s="250" t="str">
        <f>Raw!D84</f>
        <v>Wareham ON</v>
      </c>
      <c r="F84" s="250" t="str">
        <f>Raw!F84</f>
        <v>Roman</v>
      </c>
      <c r="G84" s="250" t="str">
        <f>Raw!DA84</f>
        <v>Roman / Rehder</v>
      </c>
      <c r="H84" s="279" t="str">
        <f>Raw!DB84</f>
        <v>theoretical system</v>
      </c>
      <c r="I84" s="264" t="str">
        <f>Raw!H84</f>
        <v/>
      </c>
      <c r="J84" s="264" t="str">
        <f>Raw!G84</f>
        <v>N</v>
      </c>
      <c r="K84" s="264"/>
      <c r="L84" s="264"/>
      <c r="M84" s="264"/>
      <c r="N84" s="264"/>
      <c r="O84" s="264"/>
      <c r="P84" s="264"/>
      <c r="Q84" s="264"/>
      <c r="R84" s="264"/>
      <c r="S84" s="264"/>
      <c r="T84" s="264"/>
      <c r="U84" s="264"/>
      <c r="V84" s="264"/>
      <c r="W84" s="264"/>
      <c r="X84" s="264"/>
      <c r="Y84" s="264"/>
      <c r="Z84" s="264"/>
    </row>
    <row r="85">
      <c r="A85" s="249">
        <f>Raw!A85</f>
        <v>81</v>
      </c>
      <c r="B85" s="251">
        <f>Raw!E85</f>
        <v>43407</v>
      </c>
      <c r="C85" s="250" t="str">
        <f>Raw!B85</f>
        <v>Gromps</v>
      </c>
      <c r="D85" s="250" t="str">
        <f>Raw!C85</f>
        <v>Peterson</v>
      </c>
      <c r="E85" s="250" t="str">
        <f>Raw!D85</f>
        <v>Wareham ON</v>
      </c>
      <c r="F85" s="250" t="str">
        <f>Raw!F85</f>
        <v>Viking Age</v>
      </c>
      <c r="G85" s="250" t="str">
        <f>Raw!DA85</f>
        <v>Espelund</v>
      </c>
      <c r="H85" s="279" t="str">
        <f>Raw!DB85</f>
        <v>theoretical method</v>
      </c>
      <c r="I85" s="264" t="str">
        <f>Raw!H85</f>
        <v/>
      </c>
      <c r="J85" s="264" t="str">
        <f>Raw!G85</f>
        <v>N</v>
      </c>
      <c r="K85" s="264"/>
      <c r="L85" s="264"/>
      <c r="M85" s="264"/>
      <c r="N85" s="264"/>
      <c r="O85" s="264"/>
      <c r="P85" s="264"/>
      <c r="Q85" s="264"/>
      <c r="R85" s="264"/>
      <c r="S85" s="264"/>
      <c r="T85" s="264"/>
      <c r="U85" s="264"/>
      <c r="V85" s="264"/>
      <c r="W85" s="264"/>
      <c r="X85" s="264"/>
      <c r="Y85" s="264"/>
      <c r="Z85" s="264"/>
    </row>
    <row r="86">
      <c r="A86" s="249">
        <f>Raw!A86</f>
        <v>82</v>
      </c>
      <c r="B86" s="251">
        <f>Raw!E86</f>
        <v>43638</v>
      </c>
      <c r="C86" s="250" t="str">
        <f>Raw!B86</f>
        <v>Stone Block A</v>
      </c>
      <c r="D86" s="250" t="str">
        <f>Raw!C86</f>
        <v>Goltz, Cogswell</v>
      </c>
      <c r="E86" s="250" t="str">
        <f>Raw!D86</f>
        <v>Wareham ON</v>
      </c>
      <c r="F86" s="250" t="str">
        <f>Raw!F86</f>
        <v>Viking Age</v>
      </c>
      <c r="G86" s="250" t="str">
        <f>Raw!DA86</f>
        <v>Iceland</v>
      </c>
      <c r="H86" s="279" t="str">
        <f>Raw!DB86</f>
        <v>theoretical system</v>
      </c>
      <c r="I86" s="264" t="str">
        <f>Raw!H86</f>
        <v/>
      </c>
      <c r="J86" s="264" t="str">
        <f>Raw!G86</f>
        <v>N</v>
      </c>
      <c r="K86" s="264"/>
      <c r="L86" s="264"/>
      <c r="M86" s="264"/>
      <c r="N86" s="264"/>
      <c r="O86" s="264"/>
      <c r="P86" s="264"/>
      <c r="Q86" s="264"/>
      <c r="R86" s="264"/>
      <c r="S86" s="264"/>
      <c r="T86" s="264"/>
      <c r="U86" s="264"/>
      <c r="V86" s="264"/>
      <c r="W86" s="264"/>
      <c r="X86" s="264"/>
      <c r="Y86" s="264"/>
      <c r="Z86" s="264"/>
    </row>
    <row r="87">
      <c r="A87" s="249">
        <f>Raw!A87</f>
        <v>83</v>
      </c>
      <c r="B87" s="251">
        <f>Raw!E87</f>
        <v>43751</v>
      </c>
      <c r="C87" s="250" t="str">
        <f>Raw!B87</f>
        <v>Block / Slag Bowl</v>
      </c>
      <c r="D87" s="250" t="str">
        <f>Raw!C87</f>
        <v>Peterson, Burton</v>
      </c>
      <c r="E87" s="250" t="str">
        <f>Raw!D87</f>
        <v>Wareham ON</v>
      </c>
      <c r="F87" s="250" t="str">
        <f>Raw!F87</f>
        <v>Viking Age</v>
      </c>
      <c r="G87" s="250" t="str">
        <f>Raw!DA87</f>
        <v>Iceland</v>
      </c>
      <c r="H87" s="279" t="str">
        <f>Raw!DB87</f>
        <v>previous slag bowl remains left in place</v>
      </c>
      <c r="I87" s="264" t="str">
        <f>Raw!H87</f>
        <v/>
      </c>
      <c r="J87" s="264" t="str">
        <f>Raw!G87</f>
        <v>N</v>
      </c>
      <c r="K87" s="264"/>
      <c r="L87" s="264"/>
      <c r="M87" s="264"/>
      <c r="N87" s="264"/>
      <c r="O87" s="264"/>
      <c r="P87" s="264"/>
      <c r="Q87" s="264"/>
      <c r="R87" s="264"/>
      <c r="S87" s="264"/>
      <c r="T87" s="264"/>
      <c r="U87" s="264"/>
      <c r="V87" s="264"/>
      <c r="W87" s="264"/>
      <c r="X87" s="264"/>
      <c r="Y87" s="264"/>
      <c r="Z87" s="264"/>
    </row>
    <row r="88">
      <c r="A88" s="249">
        <f>Raw!A88</f>
        <v>84</v>
      </c>
      <c r="B88" s="251">
        <f>Raw!E88</f>
        <v>43768</v>
      </c>
      <c r="C88" s="250" t="str">
        <f>Raw!B88</f>
        <v>Stone Block C</v>
      </c>
      <c r="D88" s="250" t="str">
        <f>Raw!C88</f>
        <v>Peterson, Cogswell</v>
      </c>
      <c r="E88" s="250" t="str">
        <f>Raw!D88</f>
        <v>Wareham ON</v>
      </c>
      <c r="F88" s="250" t="str">
        <f>Raw!F88</f>
        <v>Viking Age</v>
      </c>
      <c r="G88" s="250" t="str">
        <f>Raw!DA88</f>
        <v>Iceland</v>
      </c>
      <c r="H88" s="279" t="str">
        <f>Raw!DB88</f>
        <v/>
      </c>
      <c r="I88" s="264" t="str">
        <f>Raw!H88</f>
        <v/>
      </c>
      <c r="J88" s="264" t="str">
        <f>Raw!G88</f>
        <v>N</v>
      </c>
      <c r="K88" s="264"/>
      <c r="L88" s="264"/>
      <c r="M88" s="264"/>
      <c r="N88" s="264"/>
      <c r="O88" s="264"/>
      <c r="P88" s="264"/>
      <c r="Q88" s="264"/>
      <c r="R88" s="264"/>
      <c r="S88" s="264"/>
      <c r="T88" s="264"/>
      <c r="U88" s="264"/>
      <c r="V88" s="264"/>
      <c r="W88" s="264"/>
      <c r="X88" s="264"/>
      <c r="Y88" s="264"/>
      <c r="Z88" s="264"/>
    </row>
    <row r="89">
      <c r="A89" s="249" t="str">
        <f>Raw!A89</f>
        <v>85 / D31</v>
      </c>
      <c r="B89" s="251">
        <f>Raw!E89</f>
        <v>44002</v>
      </c>
      <c r="C89" s="250" t="str">
        <f>Raw!B89</f>
        <v>Bones</v>
      </c>
      <c r="D89" s="250" t="str">
        <f>Raw!C89</f>
        <v>Peterson, Cogswell</v>
      </c>
      <c r="E89" s="250" t="str">
        <f>Raw!D89</f>
        <v>Wareham ON</v>
      </c>
      <c r="F89" s="250" t="str">
        <f>Raw!F89</f>
        <v>Viking Age</v>
      </c>
      <c r="G89" s="250" t="str">
        <f>Raw!DA89</f>
        <v>hypothetical </v>
      </c>
      <c r="H89" s="279" t="str">
        <f>Raw!DB89</f>
        <v>effect of addition of bone</v>
      </c>
      <c r="I89" s="264" t="str">
        <f>Raw!H89</f>
        <v/>
      </c>
      <c r="J89" s="264" t="str">
        <f>Raw!G89</f>
        <v>N</v>
      </c>
      <c r="K89" s="264"/>
      <c r="L89" s="264"/>
      <c r="M89" s="264"/>
      <c r="N89" s="264"/>
      <c r="O89" s="264"/>
      <c r="P89" s="264"/>
      <c r="Q89" s="264"/>
      <c r="R89" s="264"/>
      <c r="S89" s="264"/>
      <c r="T89" s="264"/>
      <c r="U89" s="264"/>
      <c r="V89" s="264"/>
      <c r="W89" s="264"/>
      <c r="X89" s="264"/>
      <c r="Y89" s="264"/>
      <c r="Z89" s="264"/>
    </row>
    <row r="90">
      <c r="A90" s="249">
        <f>Raw!A90</f>
        <v>86</v>
      </c>
      <c r="B90" s="251">
        <f>Raw!E90</f>
        <v>44115</v>
      </c>
      <c r="C90" s="250" t="str">
        <f>Raw!B90</f>
        <v>Smelting Course</v>
      </c>
      <c r="D90" s="250" t="str">
        <f>Raw!C90</f>
        <v>Porter</v>
      </c>
      <c r="E90" s="250" t="str">
        <f>Raw!D90</f>
        <v>Wareham ON</v>
      </c>
      <c r="F90" s="250" t="str">
        <f>Raw!F90</f>
        <v>Viking Age</v>
      </c>
      <c r="G90" s="250" t="str">
        <f>Raw!DA90</f>
        <v/>
      </c>
      <c r="H90" s="279" t="str">
        <f>Raw!DB90</f>
        <v>teaching</v>
      </c>
      <c r="I90" s="264" t="str">
        <f>Raw!H90</f>
        <v>Teaching</v>
      </c>
      <c r="J90" s="264" t="str">
        <f>Raw!G90</f>
        <v>N</v>
      </c>
      <c r="K90" s="264"/>
      <c r="L90" s="264"/>
      <c r="M90" s="264"/>
      <c r="N90" s="264"/>
      <c r="O90" s="264"/>
      <c r="P90" s="264"/>
      <c r="Q90" s="264"/>
      <c r="R90" s="264"/>
      <c r="S90" s="264"/>
      <c r="T90" s="264"/>
      <c r="U90" s="264"/>
      <c r="V90" s="264"/>
      <c r="W90" s="264"/>
      <c r="X90" s="264"/>
      <c r="Y90" s="264"/>
      <c r="Z90" s="264"/>
    </row>
    <row r="91">
      <c r="A91" s="249" t="str">
        <f>Raw!A91</f>
        <v>87 / D32</v>
      </c>
      <c r="B91" s="251">
        <f>Raw!E91</f>
        <v>44135</v>
      </c>
      <c r="C91" s="250" t="str">
        <f>Raw!B91</f>
        <v>65 for 65</v>
      </c>
      <c r="D91" s="250" t="str">
        <f>Raw!C91</f>
        <v>DARC</v>
      </c>
      <c r="E91" s="250" t="str">
        <f>Raw!D91</f>
        <v>Wareham ON</v>
      </c>
      <c r="F91" s="250" t="str">
        <f>Raw!F91</f>
        <v>Viking Age</v>
      </c>
      <c r="G91" s="250" t="str">
        <f>Raw!DA91</f>
        <v>past work</v>
      </c>
      <c r="H91" s="279" t="str">
        <f>Raw!DB91</f>
        <v>celebration of 20 years at 65th</v>
      </c>
      <c r="I91" s="264" t="str">
        <f>Raw!H91</f>
        <v/>
      </c>
      <c r="J91" s="264" t="str">
        <f>Raw!G91</f>
        <v>N</v>
      </c>
      <c r="K91" s="264"/>
      <c r="L91" s="264"/>
      <c r="M91" s="264"/>
      <c r="N91" s="264"/>
      <c r="O91" s="264"/>
      <c r="P91" s="264"/>
      <c r="Q91" s="264"/>
      <c r="R91" s="264"/>
      <c r="S91" s="264"/>
      <c r="T91" s="264"/>
      <c r="U91" s="264"/>
      <c r="V91" s="264"/>
      <c r="W91" s="264"/>
      <c r="X91" s="264"/>
      <c r="Y91" s="264"/>
      <c r="Z91" s="264"/>
    </row>
    <row r="92">
      <c r="A92" s="249" t="str">
        <f>Raw!A92</f>
        <v>88 / D33</v>
      </c>
      <c r="B92" s="251">
        <f>Raw!E92</f>
        <v>44366</v>
      </c>
      <c r="C92" s="250" t="str">
        <f>Raw!B92</f>
        <v>Icelandic Clay A</v>
      </c>
      <c r="D92" s="250" t="str">
        <f>Raw!C92</f>
        <v>DARC</v>
      </c>
      <c r="E92" s="250" t="str">
        <f>Raw!D92</f>
        <v>Wareham ON</v>
      </c>
      <c r="F92" s="250" t="str">
        <f>Raw!F92</f>
        <v>Viking Age Icelandic</v>
      </c>
      <c r="G92" s="250" t="str">
        <f>Raw!DA92</f>
        <v>Hals, Iceland</v>
      </c>
      <c r="H92" s="279" t="str">
        <f>Raw!DB92</f>
        <v>full scale build</v>
      </c>
      <c r="I92" s="264" t="str">
        <f>Raw!H92</f>
        <v>Icelandic</v>
      </c>
      <c r="J92" s="264" t="str">
        <f>Raw!G92</f>
        <v>N</v>
      </c>
      <c r="K92" s="264"/>
      <c r="L92" s="264"/>
      <c r="M92" s="264"/>
      <c r="N92" s="264"/>
      <c r="O92" s="264"/>
      <c r="P92" s="264"/>
      <c r="Q92" s="264"/>
      <c r="R92" s="264"/>
      <c r="S92" s="264"/>
      <c r="T92" s="264"/>
      <c r="U92" s="264"/>
      <c r="V92" s="264"/>
      <c r="W92" s="264"/>
      <c r="X92" s="264"/>
      <c r="Y92" s="264"/>
      <c r="Z92" s="264"/>
    </row>
    <row r="93">
      <c r="A93" s="249" t="str">
        <f>Raw!A93</f>
        <v>89 / D34</v>
      </c>
      <c r="B93" s="251">
        <f>Raw!E93</f>
        <v>44443</v>
      </c>
      <c r="C93" s="250" t="str">
        <f>Raw!B93</f>
        <v>Icelandic Clay B</v>
      </c>
      <c r="D93" s="250" t="str">
        <f>Raw!C93</f>
        <v>DARC</v>
      </c>
      <c r="E93" s="250" t="str">
        <f>Raw!D93</f>
        <v>Wareham ON</v>
      </c>
      <c r="F93" s="250" t="str">
        <f>Raw!F93</f>
        <v>Viking Age Icelandic</v>
      </c>
      <c r="G93" s="250" t="str">
        <f>Raw!DA93</f>
        <v>Hals Iceland</v>
      </c>
      <c r="H93" s="279" t="str">
        <f>Raw!DB93</f>
        <v>full scale build, repeat use</v>
      </c>
      <c r="I93" s="264" t="str">
        <f>Raw!H93</f>
        <v>Icelandic</v>
      </c>
      <c r="J93" s="264" t="str">
        <f>Raw!G93</f>
        <v>N</v>
      </c>
      <c r="K93" s="264"/>
      <c r="L93" s="264"/>
      <c r="M93" s="264"/>
      <c r="N93" s="264"/>
      <c r="O93" s="264"/>
      <c r="P93" s="264"/>
      <c r="Q93" s="264"/>
      <c r="R93" s="264"/>
      <c r="S93" s="264"/>
      <c r="T93" s="264"/>
      <c r="U93" s="264"/>
      <c r="V93" s="264"/>
      <c r="W93" s="264"/>
      <c r="X93" s="264"/>
      <c r="Y93" s="264"/>
      <c r="Z93" s="264"/>
    </row>
    <row r="94">
      <c r="A94" s="249" t="str">
        <f>Raw!A94</f>
        <v>90 / D35</v>
      </c>
      <c r="B94" s="251">
        <f>Raw!E94</f>
        <v>44497</v>
      </c>
      <c r="C94" s="250" t="str">
        <f>Raw!B94</f>
        <v>Wind &amp; Weather</v>
      </c>
      <c r="D94" s="250" t="str">
        <f>Raw!C94</f>
        <v>DARC</v>
      </c>
      <c r="E94" s="250" t="str">
        <f>Raw!D94</f>
        <v>Wareham ON</v>
      </c>
      <c r="F94" s="250" t="str">
        <f>Raw!F94</f>
        <v>Viking Age</v>
      </c>
      <c r="G94" s="250" t="str">
        <f>Raw!DA94</f>
        <v>past work</v>
      </c>
      <c r="H94" s="279" t="str">
        <f>Raw!DB94</f>
        <v>comparison of blower to smelting bellows</v>
      </c>
      <c r="I94" s="264" t="str">
        <f>Raw!H94</f>
        <v>Air</v>
      </c>
      <c r="J94" s="264" t="str">
        <f>Raw!G94</f>
        <v>N</v>
      </c>
      <c r="K94" s="264"/>
      <c r="L94" s="264"/>
      <c r="M94" s="264"/>
      <c r="N94" s="264"/>
      <c r="O94" s="264"/>
      <c r="P94" s="264"/>
      <c r="Q94" s="264"/>
      <c r="R94" s="264"/>
      <c r="S94" s="264"/>
      <c r="T94" s="264"/>
      <c r="U94" s="264"/>
      <c r="V94" s="264"/>
      <c r="W94" s="264"/>
      <c r="X94" s="264"/>
      <c r="Y94" s="264"/>
      <c r="Z94" s="264"/>
    </row>
    <row r="95">
      <c r="A95" s="249" t="str">
        <f>Raw!A95</f>
        <v>91 / D36</v>
      </c>
      <c r="B95" s="251">
        <f>Raw!E95</f>
        <v>44734</v>
      </c>
      <c r="C95" s="250" t="str">
        <f>Raw!B95</f>
        <v>Low &amp; Longer A</v>
      </c>
      <c r="D95" s="250" t="str">
        <f>Raw!C95</f>
        <v>DARC</v>
      </c>
      <c r="E95" s="250" t="str">
        <f>Raw!D95</f>
        <v>Wareham ON</v>
      </c>
      <c r="F95" s="250" t="str">
        <f>Raw!F95</f>
        <v>Viking Age</v>
      </c>
      <c r="G95" s="250" t="str">
        <f>Raw!DA95</f>
        <v>past work</v>
      </c>
      <c r="H95" s="279" t="str">
        <f>Raw!DB95</f>
        <v>LAM clay test / lower air volume</v>
      </c>
      <c r="I95" s="264" t="str">
        <f>Raw!H95</f>
        <v>Air</v>
      </c>
      <c r="J95" s="264" t="str">
        <f>Raw!G95</f>
        <v>N</v>
      </c>
      <c r="K95" s="264"/>
      <c r="L95" s="264"/>
      <c r="M95" s="264"/>
      <c r="N95" s="264"/>
      <c r="O95" s="264"/>
      <c r="P95" s="264"/>
      <c r="Q95" s="264"/>
      <c r="R95" s="264"/>
      <c r="S95" s="264"/>
      <c r="T95" s="264"/>
      <c r="U95" s="264"/>
      <c r="V95" s="264"/>
      <c r="W95" s="264"/>
      <c r="X95" s="264"/>
      <c r="Y95" s="264"/>
      <c r="Z95" s="264"/>
    </row>
    <row r="96">
      <c r="A96" s="249">
        <f>Raw!A96</f>
        <v>92</v>
      </c>
      <c r="B96" s="251">
        <f>Raw!E96</f>
        <v>44863</v>
      </c>
      <c r="C96" s="250" t="str">
        <f>Raw!B96</f>
        <v>Low &amp; Longer B</v>
      </c>
      <c r="D96" s="250" t="str">
        <f>Raw!C96</f>
        <v>Peterson, Kuntze, Hafner</v>
      </c>
      <c r="E96" s="250" t="str">
        <f>Raw!D96</f>
        <v>Wareham ON</v>
      </c>
      <c r="F96" s="250" t="str">
        <f>Raw!F96</f>
        <v>Viking Age</v>
      </c>
      <c r="G96" s="250" t="str">
        <f>Raw!DA96</f>
        <v>previous</v>
      </c>
      <c r="H96" s="279" t="str">
        <f>Raw!DB96</f>
        <v>lower air volume repeated</v>
      </c>
      <c r="I96" s="264" t="str">
        <f>Raw!H96</f>
        <v>Air</v>
      </c>
      <c r="J96" s="264" t="str">
        <f>Raw!G96</f>
        <v>N</v>
      </c>
      <c r="K96" s="264"/>
      <c r="L96" s="264"/>
      <c r="M96" s="264"/>
      <c r="N96" s="264"/>
      <c r="O96" s="264"/>
      <c r="P96" s="264"/>
      <c r="Q96" s="264"/>
      <c r="R96" s="264"/>
      <c r="S96" s="264"/>
      <c r="T96" s="264"/>
      <c r="U96" s="264"/>
      <c r="V96" s="264"/>
      <c r="W96" s="264"/>
      <c r="X96" s="264"/>
      <c r="Y96" s="264"/>
      <c r="Z96" s="264"/>
    </row>
    <row r="97">
      <c r="A97" s="249">
        <f>Raw!A97</f>
        <v>93</v>
      </c>
      <c r="B97" s="251">
        <f>Raw!E97</f>
        <v>45165</v>
      </c>
      <c r="C97" s="250" t="str">
        <f>Raw!B97</f>
        <v>Caherconnell</v>
      </c>
      <c r="D97" s="250" t="str">
        <f>Raw!C97</f>
        <v>Jeffery, O Duhghail</v>
      </c>
      <c r="E97" s="250" t="str">
        <f>Raw!D97</f>
        <v>Caherconnell Ireland</v>
      </c>
      <c r="F97" s="250" t="str">
        <f>Raw!F97</f>
        <v>Irish ?</v>
      </c>
      <c r="G97" s="250" t="str">
        <f>Raw!DA97</f>
        <v>previous Irish work</v>
      </c>
      <c r="H97" s="279" t="str">
        <f>Raw!DB97</f>
        <v>test of ore</v>
      </c>
      <c r="I97" s="264" t="str">
        <f>Raw!H97</f>
        <v/>
      </c>
      <c r="J97" s="264" t="str">
        <f>Raw!G97</f>
        <v>Y</v>
      </c>
      <c r="K97" s="264"/>
      <c r="L97" s="264"/>
      <c r="M97" s="264"/>
      <c r="N97" s="264"/>
      <c r="O97" s="264"/>
      <c r="P97" s="264"/>
      <c r="Q97" s="264"/>
      <c r="R97" s="264"/>
      <c r="S97" s="264"/>
      <c r="T97" s="264"/>
      <c r="U97" s="264"/>
      <c r="V97" s="264"/>
      <c r="W97" s="264"/>
      <c r="X97" s="264"/>
      <c r="Y97" s="264"/>
      <c r="Z97" s="264"/>
    </row>
    <row r="98">
      <c r="A98" s="249" t="str">
        <f>Raw!A98</f>
        <v>94 / D37</v>
      </c>
      <c r="B98" s="251">
        <f>Raw!E98</f>
        <v>45227</v>
      </c>
      <c r="C98" s="250" t="str">
        <f>Raw!B98</f>
        <v>Plusing Air</v>
      </c>
      <c r="D98" s="250" t="str">
        <f>Raw!C98</f>
        <v>DARC, Kuntze</v>
      </c>
      <c r="E98" s="250" t="str">
        <f>Raw!D98</f>
        <v>Wareham ON</v>
      </c>
      <c r="F98" s="250" t="str">
        <f>Raw!F98</f>
        <v>Viking Age</v>
      </c>
      <c r="G98" s="250" t="str">
        <f>Raw!DA98</f>
        <v>smelter bellows</v>
      </c>
      <c r="H98" s="279" t="str">
        <f>Raw!DB98</f>
        <v>effect of sliding gate air supply</v>
      </c>
      <c r="I98" s="264" t="str">
        <f>Raw!H98</f>
        <v>Air</v>
      </c>
      <c r="J98" s="264" t="str">
        <f>Raw!G98</f>
        <v>N</v>
      </c>
      <c r="K98" s="264"/>
      <c r="L98" s="264"/>
      <c r="M98" s="264"/>
      <c r="N98" s="264"/>
      <c r="O98" s="264"/>
      <c r="P98" s="264"/>
      <c r="Q98" s="264"/>
      <c r="R98" s="264"/>
      <c r="S98" s="264"/>
      <c r="T98" s="264"/>
      <c r="U98" s="264"/>
      <c r="V98" s="264"/>
      <c r="W98" s="264"/>
      <c r="X98" s="264"/>
      <c r="Y98" s="264"/>
      <c r="Z98" s="264"/>
    </row>
    <row r="99">
      <c r="A99" s="249" t="str">
        <f>Raw!A99</f>
        <v>95 / D38</v>
      </c>
      <c r="B99" s="251">
        <f>Raw!E99</f>
        <v>45464</v>
      </c>
      <c r="C99" s="250" t="str">
        <f>Raw!B99</f>
        <v>Pulsing Air Demo</v>
      </c>
      <c r="D99" s="250" t="str">
        <f>Raw!C99</f>
        <v>DARC, Rodgers</v>
      </c>
      <c r="E99" s="250" t="str">
        <f>Raw!D99</f>
        <v>Tiverton ON</v>
      </c>
      <c r="F99" s="250" t="str">
        <f>Raw!F99</f>
        <v>Viking Age</v>
      </c>
      <c r="G99" s="250" t="str">
        <f>Raw!DA99</f>
        <v>smelter bellows</v>
      </c>
      <c r="H99" s="279" t="str">
        <f>Raw!DB99</f>
        <v>effect of sliding gate air supply</v>
      </c>
      <c r="I99" s="264" t="str">
        <f>Raw!H99</f>
        <v>Air</v>
      </c>
      <c r="J99" s="264" t="str">
        <f>Raw!G99</f>
        <v>Y</v>
      </c>
      <c r="K99" s="264"/>
      <c r="L99" s="264"/>
      <c r="M99" s="264"/>
      <c r="N99" s="264"/>
      <c r="O99" s="264"/>
      <c r="P99" s="264"/>
      <c r="Q99" s="264"/>
      <c r="R99" s="264"/>
      <c r="S99" s="264"/>
      <c r="T99" s="264"/>
      <c r="U99" s="264"/>
      <c r="V99" s="264"/>
      <c r="W99" s="264"/>
      <c r="X99" s="264"/>
      <c r="Y99" s="264"/>
      <c r="Z99" s="264"/>
    </row>
    <row r="100">
      <c r="A100" s="249" t="str">
        <f>Raw!A100</f>
        <v>96 / D39</v>
      </c>
      <c r="B100" s="251">
        <f>Raw!E100</f>
        <v>45578</v>
      </c>
      <c r="C100" s="250" t="str">
        <f>Raw!B100</f>
        <v>Pulsing Air Followup</v>
      </c>
      <c r="D100" s="250" t="str">
        <f>Raw!C100</f>
        <v>Peterson, Hafner, Hickey</v>
      </c>
      <c r="E100" s="250" t="str">
        <f>Raw!D100</f>
        <v>Wareham ON</v>
      </c>
      <c r="F100" s="250" t="str">
        <f>Raw!F100</f>
        <v>Viking Age</v>
      </c>
      <c r="G100" s="250" t="str">
        <f>Raw!DA100</f>
        <v>smelter bellows</v>
      </c>
      <c r="H100" s="279" t="str">
        <f>Raw!DB100</f>
        <v>effect of sliding gate air supply</v>
      </c>
      <c r="I100" s="264" t="str">
        <f>Raw!H100</f>
        <v>Air</v>
      </c>
      <c r="J100" s="264" t="str">
        <f>Raw!G100</f>
        <v>N</v>
      </c>
      <c r="K100" s="264"/>
      <c r="L100" s="264"/>
      <c r="M100" s="264"/>
      <c r="N100" s="264"/>
      <c r="O100" s="264"/>
      <c r="P100" s="264"/>
      <c r="Q100" s="264"/>
      <c r="R100" s="264"/>
      <c r="S100" s="264"/>
      <c r="T100" s="264"/>
      <c r="U100" s="264"/>
      <c r="V100" s="264"/>
      <c r="W100" s="264"/>
      <c r="X100" s="264"/>
      <c r="Y100" s="264"/>
      <c r="Z100" s="264"/>
    </row>
    <row r="101">
      <c r="A101" s="249">
        <f>Raw!A101</f>
        <v>97</v>
      </c>
      <c r="B101" s="251">
        <f>Raw!E101</f>
        <v>45584</v>
      </c>
      <c r="C101" s="250" t="str">
        <f>Raw!B101</f>
        <v>Artfire One</v>
      </c>
      <c r="D101" s="250" t="str">
        <f>Raw!C101</f>
        <v>Caroll/Patton/Logan</v>
      </c>
      <c r="E101" s="250" t="str">
        <f>Raw!D101</f>
        <v/>
      </c>
      <c r="F101" s="250" t="str">
        <f>Raw!F101</f>
        <v>Viking Age</v>
      </c>
      <c r="G101" s="250" t="str">
        <f>Raw!DA101</f>
        <v/>
      </c>
      <c r="H101" s="279" t="str">
        <f>Raw!DB101</f>
        <v/>
      </c>
      <c r="I101" s="264" t="str">
        <f>Raw!H101</f>
        <v/>
      </c>
      <c r="J101" s="264" t="str">
        <f>Raw!G101</f>
        <v>N</v>
      </c>
      <c r="K101" s="264"/>
      <c r="L101" s="264"/>
      <c r="M101" s="264"/>
      <c r="N101" s="264"/>
      <c r="O101" s="264"/>
      <c r="P101" s="264"/>
      <c r="Q101" s="264"/>
      <c r="R101" s="264"/>
      <c r="S101" s="264"/>
      <c r="T101" s="264"/>
      <c r="U101" s="264"/>
      <c r="V101" s="264"/>
      <c r="W101" s="264"/>
      <c r="X101" s="264"/>
      <c r="Y101" s="264"/>
      <c r="Z101" s="264"/>
    </row>
    <row r="102">
      <c r="A102" s="249" t="str">
        <f>Raw!A102</f>
        <v>98 / D40</v>
      </c>
      <c r="B102" s="251">
        <f>Raw!E102</f>
        <v>45599</v>
      </c>
      <c r="C102" s="250" t="str">
        <f>Raw!B102</f>
        <v>Return to Icelandic</v>
      </c>
      <c r="D102" s="250" t="str">
        <f>Raw!C102</f>
        <v>Peterson, Hafner, Hickey, Cogswell</v>
      </c>
      <c r="E102" s="250" t="str">
        <f>Raw!D102</f>
        <v>Wareham ON</v>
      </c>
      <c r="F102" s="250" t="str">
        <f>Raw!F102</f>
        <v>Viking Age</v>
      </c>
      <c r="G102" s="250" t="str">
        <f>Raw!DA102</f>
        <v>Hals Iceland</v>
      </c>
      <c r="H102" s="279" t="str">
        <f>Raw!DB102</f>
        <v>Reuse after long delay</v>
      </c>
      <c r="I102" s="264" t="str">
        <f>Raw!H102</f>
        <v>Icelandic</v>
      </c>
      <c r="J102" s="264" t="str">
        <f>Raw!G102</f>
        <v>N</v>
      </c>
      <c r="K102" s="264"/>
      <c r="L102" s="264"/>
      <c r="M102" s="264"/>
      <c r="N102" s="264"/>
      <c r="O102" s="264"/>
      <c r="P102" s="264"/>
      <c r="Q102" s="264"/>
      <c r="R102" s="264"/>
      <c r="S102" s="264"/>
      <c r="T102" s="264"/>
      <c r="U102" s="264"/>
      <c r="V102" s="264"/>
      <c r="W102" s="264"/>
      <c r="X102" s="264"/>
      <c r="Y102" s="264"/>
      <c r="Z102" s="264"/>
    </row>
    <row r="103">
      <c r="A103" s="249">
        <f>Raw!A103</f>
        <v>99</v>
      </c>
      <c r="B103" s="251">
        <f>Raw!E103</f>
        <v>45605</v>
      </c>
      <c r="C103" s="250" t="str">
        <f>Raw!B103</f>
        <v>Smelting Course</v>
      </c>
      <c r="D103" s="250" t="str">
        <f>Raw!C103</f>
        <v>Koss/Ferral/Gallant</v>
      </c>
      <c r="E103" s="250" t="str">
        <f>Raw!D103</f>
        <v>Wareham ON</v>
      </c>
      <c r="F103" s="250" t="str">
        <f>Raw!F103</f>
        <v>Viking Age</v>
      </c>
      <c r="G103" s="250" t="str">
        <f>Raw!DA103</f>
        <v/>
      </c>
      <c r="H103" s="279" t="str">
        <f>Raw!DB103</f>
        <v/>
      </c>
      <c r="I103" s="264" t="str">
        <f>Raw!H103</f>
        <v>Teaching</v>
      </c>
      <c r="J103" s="264" t="str">
        <f>Raw!G103</f>
        <v>N</v>
      </c>
      <c r="K103" s="264"/>
      <c r="L103" s="264"/>
      <c r="M103" s="264"/>
      <c r="N103" s="264"/>
      <c r="O103" s="264"/>
      <c r="P103" s="264"/>
      <c r="Q103" s="264"/>
      <c r="R103" s="264"/>
      <c r="S103" s="264"/>
      <c r="T103" s="264"/>
      <c r="U103" s="264"/>
      <c r="V103" s="264"/>
      <c r="W103" s="264"/>
      <c r="X103" s="264"/>
      <c r="Y103" s="264"/>
      <c r="Z103" s="264"/>
    </row>
    <row r="104">
      <c r="A104" s="265">
        <f>Raw!A104</f>
        <v>100</v>
      </c>
      <c r="B104" s="267" t="str">
        <f>Raw!E104</f>
        <v/>
      </c>
      <c r="C104" s="266" t="str">
        <f>Raw!B104</f>
        <v/>
      </c>
      <c r="D104" s="266" t="str">
        <f>Raw!C104</f>
        <v/>
      </c>
      <c r="E104" s="266" t="str">
        <f>Raw!D104</f>
        <v/>
      </c>
      <c r="F104" s="266" t="str">
        <f>Raw!F104</f>
        <v/>
      </c>
      <c r="G104" s="266" t="str">
        <f>Raw!DA104</f>
        <v/>
      </c>
      <c r="H104" s="280" t="str">
        <f>Raw!DB104</f>
        <v/>
      </c>
      <c r="I104" s="264" t="str">
        <f>Raw!H104</f>
        <v/>
      </c>
      <c r="J104" s="264" t="str">
        <f>Raw!G104</f>
        <v/>
      </c>
      <c r="K104" s="264"/>
      <c r="L104" s="264"/>
      <c r="M104" s="264"/>
      <c r="N104" s="264"/>
      <c r="O104" s="264"/>
      <c r="P104" s="264"/>
      <c r="Q104" s="264"/>
      <c r="R104" s="264"/>
      <c r="S104" s="264"/>
      <c r="T104" s="264"/>
      <c r="U104" s="264"/>
      <c r="V104" s="264"/>
      <c r="W104" s="264"/>
      <c r="X104" s="264"/>
      <c r="Y104" s="264"/>
      <c r="Z104" s="264"/>
    </row>
    <row r="10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c r="A106" s="264"/>
      <c r="B106" s="264"/>
      <c r="C106" s="281" t="s">
        <v>1115</v>
      </c>
      <c r="D106" s="282" t="s">
        <v>1116</v>
      </c>
      <c r="E106" s="283"/>
      <c r="F106" s="284" t="s">
        <v>1117</v>
      </c>
      <c r="G106" s="285" t="s">
        <v>1118</v>
      </c>
      <c r="H106" s="286" t="s">
        <v>1119</v>
      </c>
      <c r="I106" s="264"/>
      <c r="J106" s="264"/>
      <c r="K106" s="264"/>
      <c r="L106" s="264"/>
      <c r="M106" s="264"/>
      <c r="N106" s="264"/>
      <c r="O106" s="264"/>
      <c r="P106" s="264"/>
      <c r="Q106" s="264"/>
      <c r="R106" s="264"/>
      <c r="S106" s="264"/>
      <c r="T106" s="264"/>
      <c r="U106" s="264"/>
      <c r="V106" s="264"/>
      <c r="W106" s="264"/>
      <c r="X106" s="264"/>
      <c r="Y106" s="264"/>
      <c r="Z106" s="264"/>
    </row>
    <row r="107">
      <c r="A107" s="264"/>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row>
    <row r="108">
      <c r="A108" s="264"/>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row>
    <row r="109">
      <c r="A109" s="264"/>
      <c r="B109" s="264"/>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row>
    <row r="110">
      <c r="A110" s="264"/>
      <c r="B110" s="264"/>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row>
    <row r="111">
      <c r="A111" s="264"/>
      <c r="B111" s="264"/>
      <c r="C111" s="264"/>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row>
    <row r="112">
      <c r="A112" s="264"/>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row>
    <row r="113">
      <c r="A113" s="264"/>
      <c r="B113" s="264"/>
      <c r="C113" s="264"/>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row>
    <row r="114">
      <c r="A114" s="264"/>
      <c r="B114" s="264"/>
      <c r="C114" s="264"/>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row>
    <row r="115">
      <c r="A115" s="264"/>
      <c r="B115" s="264"/>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row>
    <row r="116">
      <c r="A116" s="264"/>
      <c r="B116" s="264"/>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row>
    <row r="117">
      <c r="A117" s="264"/>
      <c r="B117" s="264"/>
      <c r="C117" s="264"/>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row>
    <row r="118">
      <c r="A118" s="264"/>
      <c r="B118" s="264"/>
      <c r="C118" s="264"/>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row>
    <row r="119">
      <c r="A119" s="264"/>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row>
    <row r="120">
      <c r="A120" s="264"/>
      <c r="B120" s="264"/>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row>
    <row r="121">
      <c r="A121" s="264"/>
      <c r="B121" s="264"/>
      <c r="C121" s="264"/>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row>
    <row r="122">
      <c r="A122" s="264"/>
      <c r="B122" s="264"/>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row>
    <row r="123">
      <c r="A123" s="264"/>
      <c r="B123" s="264"/>
      <c r="C123" s="264"/>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row>
    <row r="124">
      <c r="A124" s="264"/>
      <c r="B124" s="264"/>
      <c r="C124" s="264"/>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row>
    <row r="125">
      <c r="A125" s="264"/>
      <c r="B125" s="264"/>
      <c r="C125" s="264"/>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row>
    <row r="126">
      <c r="A126" s="264"/>
      <c r="B126" s="264"/>
      <c r="C126" s="264"/>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row>
    <row r="127">
      <c r="A127" s="264"/>
      <c r="B127" s="264"/>
      <c r="C127" s="264"/>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row>
    <row r="128">
      <c r="A128" s="264"/>
      <c r="B128" s="264"/>
      <c r="C128" s="264"/>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row>
    <row r="129">
      <c r="A129" s="264"/>
      <c r="B129" s="264"/>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row>
    <row r="130">
      <c r="A130" s="264"/>
      <c r="B130" s="264"/>
      <c r="C130" s="264"/>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row>
    <row r="131">
      <c r="A131" s="264"/>
      <c r="B131" s="264"/>
      <c r="C131" s="264"/>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row>
    <row r="132">
      <c r="A132" s="264"/>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row>
    <row r="133">
      <c r="A133" s="264"/>
      <c r="B133" s="264"/>
      <c r="C133" s="264"/>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row>
    <row r="134">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row>
    <row r="135">
      <c r="A135" s="264"/>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row>
    <row r="136">
      <c r="A136" s="264"/>
      <c r="B136" s="264"/>
      <c r="C136" s="264"/>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row>
    <row r="137">
      <c r="A137" s="264"/>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row>
    <row r="138">
      <c r="A138" s="264"/>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row>
    <row r="139">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row>
    <row r="140">
      <c r="A140" s="264"/>
      <c r="B140" s="264"/>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row>
    <row r="141">
      <c r="A141" s="264"/>
      <c r="B141" s="264"/>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row>
    <row r="142">
      <c r="A142" s="264"/>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row>
    <row r="143">
      <c r="A143" s="264"/>
      <c r="B143" s="264"/>
      <c r="C143" s="264"/>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row>
    <row r="144">
      <c r="A144" s="264"/>
      <c r="B144" s="264"/>
      <c r="C144" s="264"/>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row>
    <row r="145">
      <c r="A145" s="264"/>
      <c r="B145" s="264"/>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row>
    <row r="146">
      <c r="A146" s="264"/>
      <c r="B146" s="264"/>
      <c r="C146" s="264"/>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row>
    <row r="147">
      <c r="A147" s="264"/>
      <c r="B147" s="264"/>
      <c r="C147" s="264"/>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row>
    <row r="148">
      <c r="A148" s="264"/>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row>
    <row r="149">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row>
    <row r="150">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row>
    <row r="15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row>
    <row r="152">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row>
    <row r="153">
      <c r="A153" s="264"/>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row>
    <row r="154">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row>
    <row r="155">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row>
    <row r="156">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row>
    <row r="157">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row>
    <row r="158">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row>
    <row r="159">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row>
    <row r="160">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row>
    <row r="16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row>
    <row r="162">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row>
    <row r="163">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row>
    <row r="164">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row>
    <row r="165">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row>
    <row r="166">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row>
    <row r="167">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row>
    <row r="168">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row>
    <row r="169">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row>
    <row r="170">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row>
    <row r="17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row>
    <row r="172">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row>
    <row r="173">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row>
    <row r="174">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row>
    <row r="175">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row>
    <row r="176">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row>
    <row r="177">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row>
    <row r="178">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row>
    <row r="179">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row>
    <row r="180">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row>
    <row r="18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row>
    <row r="182">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row>
    <row r="183">
      <c r="A183" s="264"/>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row>
    <row r="184">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row>
    <row r="185">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row>
    <row r="186">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row>
    <row r="187">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row>
    <row r="188">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row>
    <row r="189">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row>
    <row r="190">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row>
    <row r="19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row>
    <row r="192">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row>
    <row r="193">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row>
    <row r="194">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row>
    <row r="195">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row>
    <row r="196">
      <c r="A196" s="264"/>
      <c r="B196" s="264"/>
      <c r="C196" s="264"/>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row>
    <row r="197">
      <c r="A197" s="264"/>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row>
    <row r="198">
      <c r="A198" s="264"/>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row>
    <row r="199">
      <c r="A199" s="264"/>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row>
    <row r="200">
      <c r="A200" s="264"/>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row>
    <row r="201">
      <c r="A201" s="264"/>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row>
    <row r="202">
      <c r="A202" s="264"/>
      <c r="B202" s="264"/>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row>
    <row r="203">
      <c r="A203" s="264"/>
      <c r="B203" s="264"/>
      <c r="C203" s="264"/>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row>
    <row r="204">
      <c r="A204" s="264"/>
      <c r="B204" s="264"/>
      <c r="C204" s="264"/>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row>
    <row r="205">
      <c r="A205" s="264"/>
      <c r="B205" s="264"/>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row>
    <row r="206">
      <c r="A206" s="264"/>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row>
    <row r="207">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row>
    <row r="208">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row>
    <row r="209">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row>
    <row r="210">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row>
    <row r="21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row>
    <row r="212">
      <c r="A212" s="264"/>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row>
    <row r="213">
      <c r="A213" s="264"/>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row>
    <row r="214">
      <c r="A214" s="264"/>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row>
    <row r="215">
      <c r="A215" s="264"/>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c r="A216" s="264"/>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row>
    <row r="217">
      <c r="A217" s="264"/>
      <c r="B217" s="264"/>
      <c r="C217" s="264"/>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row>
    <row r="218">
      <c r="A218" s="264"/>
      <c r="B218" s="264"/>
      <c r="C218" s="264"/>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row>
    <row r="219">
      <c r="A219" s="264"/>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row>
    <row r="220">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row>
    <row r="22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row>
    <row r="222">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row>
    <row r="223">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row>
    <row r="224">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row>
    <row r="225">
      <c r="A225" s="264"/>
      <c r="B225" s="264"/>
      <c r="C225" s="264"/>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row>
    <row r="226">
      <c r="A226" s="264"/>
      <c r="B226" s="264"/>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row>
    <row r="227">
      <c r="A227" s="264"/>
      <c r="B227" s="264"/>
      <c r="C227" s="264"/>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row>
    <row r="228">
      <c r="A228" s="264"/>
      <c r="B228" s="264"/>
      <c r="C228" s="264"/>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row>
    <row r="229">
      <c r="A229" s="264"/>
      <c r="B229" s="264"/>
      <c r="C229" s="264"/>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row>
    <row r="230">
      <c r="A230" s="264"/>
      <c r="B230" s="264"/>
      <c r="C230" s="264"/>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row>
    <row r="231">
      <c r="A231" s="264"/>
      <c r="B231" s="264"/>
      <c r="C231" s="264"/>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row>
    <row r="232">
      <c r="A232" s="264"/>
      <c r="B232" s="264"/>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row>
    <row r="233">
      <c r="A233" s="264"/>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row>
    <row r="234">
      <c r="A234" s="264"/>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row>
    <row r="235">
      <c r="A235" s="264"/>
      <c r="B235" s="264"/>
      <c r="C235" s="264"/>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row>
    <row r="236">
      <c r="A236" s="264"/>
      <c r="B236" s="264"/>
      <c r="C236" s="264"/>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row>
    <row r="237">
      <c r="A237" s="264"/>
      <c r="B237" s="264"/>
      <c r="C237" s="264"/>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row>
    <row r="238">
      <c r="A238" s="264"/>
      <c r="B238" s="264"/>
      <c r="C238" s="264"/>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row>
    <row r="239">
      <c r="A239" s="264"/>
      <c r="B239" s="264"/>
      <c r="C239" s="264"/>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row>
    <row r="240">
      <c r="A240" s="264"/>
      <c r="B240" s="264"/>
      <c r="C240" s="264"/>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row>
    <row r="241">
      <c r="A241" s="264"/>
      <c r="B241" s="264"/>
      <c r="C241" s="264"/>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row>
    <row r="242">
      <c r="A242" s="264"/>
      <c r="B242" s="264"/>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row>
    <row r="243">
      <c r="A243" s="264"/>
      <c r="B243" s="264"/>
      <c r="C243" s="264"/>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row>
    <row r="244">
      <c r="A244" s="264"/>
      <c r="B244" s="264"/>
      <c r="C244" s="264"/>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row>
    <row r="245">
      <c r="A245" s="264"/>
      <c r="B245" s="264"/>
      <c r="C245" s="264"/>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row>
    <row r="246">
      <c r="A246" s="264"/>
      <c r="B246" s="264"/>
      <c r="C246" s="264"/>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row>
    <row r="247">
      <c r="A247" s="264"/>
      <c r="B247" s="264"/>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row>
    <row r="248">
      <c r="A248" s="264"/>
      <c r="B248" s="264"/>
      <c r="C248" s="264"/>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row>
    <row r="249">
      <c r="A249" s="264"/>
      <c r="B249" s="264"/>
      <c r="C249" s="264"/>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row>
    <row r="250">
      <c r="A250" s="264"/>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row>
    <row r="251">
      <c r="A251" s="264"/>
      <c r="B251" s="264"/>
      <c r="C251" s="264"/>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row>
    <row r="252">
      <c r="A252" s="264"/>
      <c r="B252" s="264"/>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row>
    <row r="253">
      <c r="A253" s="264"/>
      <c r="B253" s="264"/>
      <c r="C253" s="264"/>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row>
    <row r="254">
      <c r="A254" s="264"/>
      <c r="B254" s="264"/>
      <c r="C254" s="264"/>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row>
    <row r="255">
      <c r="A255" s="264"/>
      <c r="B255" s="264"/>
      <c r="C255" s="264"/>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row>
    <row r="256">
      <c r="A256" s="264"/>
      <c r="B256" s="264"/>
      <c r="C256" s="264"/>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row>
    <row r="257">
      <c r="A257" s="264"/>
      <c r="B257" s="264"/>
      <c r="C257" s="264"/>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row>
    <row r="258">
      <c r="A258" s="264"/>
      <c r="B258" s="264"/>
      <c r="C258" s="264"/>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row>
    <row r="259">
      <c r="A259" s="264"/>
      <c r="B259" s="264"/>
      <c r="C259" s="264"/>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row>
    <row r="260">
      <c r="A260" s="264"/>
      <c r="B260" s="264"/>
      <c r="C260" s="264"/>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row>
    <row r="261">
      <c r="A261" s="264"/>
      <c r="B261" s="264"/>
      <c r="C261" s="264"/>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row>
    <row r="262">
      <c r="A262" s="264"/>
      <c r="B262" s="264"/>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row>
    <row r="263">
      <c r="A263" s="264"/>
      <c r="B263" s="264"/>
      <c r="C263" s="264"/>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row>
    <row r="264">
      <c r="A264" s="264"/>
      <c r="B264" s="264"/>
      <c r="C264" s="264"/>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row>
    <row r="265">
      <c r="A265" s="264"/>
      <c r="B265" s="264"/>
      <c r="C265" s="264"/>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row>
    <row r="266">
      <c r="A266" s="264"/>
      <c r="B266" s="264"/>
      <c r="C266" s="264"/>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row>
    <row r="267">
      <c r="A267" s="264"/>
      <c r="B267" s="264"/>
      <c r="C267" s="264"/>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row>
    <row r="268">
      <c r="A268" s="264"/>
      <c r="B268" s="264"/>
      <c r="C268" s="264"/>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row>
    <row r="269">
      <c r="A269" s="264"/>
      <c r="B269" s="264"/>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row>
    <row r="270">
      <c r="A270" s="264"/>
      <c r="B270" s="264"/>
      <c r="C270" s="264"/>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row>
    <row r="271">
      <c r="A271" s="264"/>
      <c r="B271" s="264"/>
      <c r="C271" s="264"/>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row>
    <row r="272">
      <c r="A272" s="264"/>
      <c r="B272" s="264"/>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row>
    <row r="273">
      <c r="A273" s="264"/>
      <c r="B273" s="264"/>
      <c r="C273" s="264"/>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row>
    <row r="274">
      <c r="A274" s="264"/>
      <c r="B274" s="264"/>
      <c r="C274" s="264"/>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row>
    <row r="275">
      <c r="A275" s="264"/>
      <c r="B275" s="264"/>
      <c r="C275" s="264"/>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row>
    <row r="276">
      <c r="A276" s="264"/>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row>
    <row r="277">
      <c r="A277" s="264"/>
      <c r="B277" s="264"/>
      <c r="C277" s="264"/>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row>
    <row r="278">
      <c r="A278" s="264"/>
      <c r="B278" s="264"/>
      <c r="C278" s="264"/>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row>
    <row r="279">
      <c r="A279" s="264"/>
      <c r="B279" s="264"/>
      <c r="C279" s="264"/>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row>
    <row r="280">
      <c r="A280" s="264"/>
      <c r="B280" s="264"/>
      <c r="C280" s="264"/>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row>
    <row r="281">
      <c r="A281" s="264"/>
      <c r="B281" s="264"/>
      <c r="C281" s="264"/>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row>
    <row r="282">
      <c r="A282" s="264"/>
      <c r="B282" s="264"/>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row>
    <row r="283">
      <c r="A283" s="264"/>
      <c r="B283" s="264"/>
      <c r="C283" s="264"/>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row>
    <row r="284">
      <c r="A284" s="264"/>
      <c r="B284" s="264"/>
      <c r="C284" s="264"/>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row>
    <row r="285">
      <c r="A285" s="264"/>
      <c r="B285" s="264"/>
      <c r="C285" s="264"/>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row>
    <row r="286">
      <c r="A286" s="264"/>
      <c r="B286" s="264"/>
      <c r="C286" s="264"/>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row>
    <row r="287">
      <c r="A287" s="264"/>
      <c r="B287" s="264"/>
      <c r="C287" s="264"/>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row>
    <row r="288">
      <c r="A288" s="264"/>
      <c r="B288" s="264"/>
      <c r="C288" s="264"/>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row>
    <row r="289">
      <c r="A289" s="264"/>
      <c r="B289" s="264"/>
      <c r="C289" s="264"/>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row>
    <row r="290">
      <c r="A290" s="264"/>
      <c r="B290" s="264"/>
      <c r="C290" s="264"/>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row>
    <row r="291">
      <c r="A291" s="264"/>
      <c r="B291" s="264"/>
      <c r="C291" s="264"/>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row>
    <row r="292">
      <c r="A292" s="264"/>
      <c r="B292" s="264"/>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row>
    <row r="293">
      <c r="A293" s="264"/>
      <c r="B293" s="264"/>
      <c r="C293" s="264"/>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row>
    <row r="294">
      <c r="A294" s="264"/>
      <c r="B294" s="264"/>
      <c r="C294" s="264"/>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row>
    <row r="295">
      <c r="A295" s="264"/>
      <c r="B295" s="264"/>
      <c r="C295" s="264"/>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row>
    <row r="296">
      <c r="A296" s="264"/>
      <c r="B296" s="264"/>
      <c r="C296" s="264"/>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row>
    <row r="297">
      <c r="A297" s="264"/>
      <c r="B297" s="264"/>
      <c r="C297" s="264"/>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row>
    <row r="298">
      <c r="A298" s="264"/>
      <c r="B298" s="264"/>
      <c r="C298" s="264"/>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row>
    <row r="299">
      <c r="A299" s="264"/>
      <c r="B299" s="264"/>
      <c r="C299" s="264"/>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row>
    <row r="300">
      <c r="A300" s="264"/>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row>
    <row r="30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row>
    <row r="302">
      <c r="A302" s="264"/>
      <c r="B302" s="264"/>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row>
    <row r="303">
      <c r="A303" s="264"/>
      <c r="B303" s="264"/>
      <c r="C303" s="264"/>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row>
    <row r="304">
      <c r="A304" s="264"/>
      <c r="B304" s="264"/>
      <c r="C304" s="264"/>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row>
    <row r="305">
      <c r="A305" s="264"/>
      <c r="B305" s="264"/>
      <c r="C305" s="264"/>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row>
    <row r="306">
      <c r="A306" s="264"/>
      <c r="B306" s="264"/>
      <c r="C306" s="264"/>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row>
    <row r="307">
      <c r="A307" s="264"/>
      <c r="B307" s="264"/>
      <c r="C307" s="264"/>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row>
    <row r="308">
      <c r="A308" s="264"/>
      <c r="B308" s="264"/>
      <c r="C308" s="264"/>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row>
    <row r="309">
      <c r="A309" s="264"/>
      <c r="B309" s="264"/>
      <c r="C309" s="264"/>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row>
    <row r="310">
      <c r="A310" s="264"/>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row>
    <row r="31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row>
    <row r="312">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row>
    <row r="313">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row>
    <row r="314">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row>
    <row r="315">
      <c r="A315" s="264"/>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row>
    <row r="316">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row>
    <row r="317">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row>
    <row r="318">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row>
    <row r="319">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row>
    <row r="320">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row>
    <row r="32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row>
    <row r="322">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row>
    <row r="323">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row>
    <row r="324">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row>
    <row r="325">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row>
    <row r="326">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row>
    <row r="327">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row>
    <row r="328">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row>
    <row r="329">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row>
    <row r="330">
      <c r="A330" s="264"/>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row>
    <row r="33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row>
    <row r="332">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row>
    <row r="333">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row>
    <row r="334">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row>
    <row r="335">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row>
    <row r="336">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row>
    <row r="337">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row>
    <row r="338">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row>
    <row r="339">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row>
    <row r="340">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row>
    <row r="34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row>
    <row r="342">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row>
    <row r="343">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row>
    <row r="344">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row>
    <row r="345">
      <c r="A345" s="264"/>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row>
    <row r="346">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row>
    <row r="347">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row>
    <row r="348">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row>
    <row r="349">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row>
    <row r="350">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row>
    <row r="35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row>
    <row r="352">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row>
    <row r="353">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row>
    <row r="354">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row>
    <row r="355">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row>
    <row r="356">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row>
    <row r="357">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row>
    <row r="358">
      <c r="A358" s="264"/>
      <c r="B358" s="264"/>
      <c r="C358" s="264"/>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row>
    <row r="359">
      <c r="A359" s="264"/>
      <c r="B359" s="264"/>
      <c r="C359" s="264"/>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row>
    <row r="360">
      <c r="A360" s="264"/>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row>
    <row r="361">
      <c r="A361" s="264"/>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row>
    <row r="362">
      <c r="A362" s="264"/>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row>
    <row r="363">
      <c r="A363" s="264"/>
      <c r="B363" s="264"/>
      <c r="C363" s="264"/>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row>
    <row r="364">
      <c r="A364" s="264"/>
      <c r="B364" s="264"/>
      <c r="C364" s="264"/>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row>
    <row r="365">
      <c r="A365" s="264"/>
      <c r="B365" s="264"/>
      <c r="C365" s="264"/>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row>
    <row r="366">
      <c r="A366" s="264"/>
      <c r="B366" s="264"/>
      <c r="C366" s="264"/>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row>
    <row r="367">
      <c r="A367" s="264"/>
      <c r="B367" s="264"/>
      <c r="C367" s="264"/>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row>
    <row r="368">
      <c r="A368" s="264"/>
      <c r="B368" s="264"/>
      <c r="C368" s="264"/>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row>
    <row r="369">
      <c r="A369" s="264"/>
      <c r="B369" s="264"/>
      <c r="C369" s="264"/>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row>
    <row r="370">
      <c r="A370" s="264"/>
      <c r="B370" s="264"/>
      <c r="C370" s="264"/>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row>
    <row r="371">
      <c r="A371" s="264"/>
      <c r="B371" s="264"/>
      <c r="C371" s="264"/>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row>
    <row r="372">
      <c r="A372" s="264"/>
      <c r="B372" s="264"/>
      <c r="C372" s="264"/>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row>
    <row r="373">
      <c r="A373" s="264"/>
      <c r="B373" s="264"/>
      <c r="C373" s="264"/>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row>
    <row r="374">
      <c r="A374" s="264"/>
      <c r="B374" s="264"/>
      <c r="C374" s="264"/>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row>
    <row r="375">
      <c r="A375" s="264"/>
      <c r="B375" s="264"/>
      <c r="C375" s="264"/>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row>
    <row r="376">
      <c r="A376" s="264"/>
      <c r="B376" s="264"/>
      <c r="C376" s="264"/>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row>
    <row r="377">
      <c r="A377" s="264"/>
      <c r="B377" s="264"/>
      <c r="C377" s="264"/>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row>
    <row r="378">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row>
    <row r="379">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row>
    <row r="380">
      <c r="A380" s="264"/>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row>
    <row r="381">
      <c r="A381" s="26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row>
    <row r="382">
      <c r="A382" s="26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row>
    <row r="383">
      <c r="A383" s="264"/>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row>
    <row r="384">
      <c r="A384" s="264"/>
      <c r="B384" s="264"/>
      <c r="C384" s="264"/>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row>
    <row r="385">
      <c r="A385" s="264"/>
      <c r="B385" s="264"/>
      <c r="C385" s="264"/>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row>
    <row r="386">
      <c r="A386" s="264"/>
      <c r="B386" s="264"/>
      <c r="C386" s="264"/>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row>
    <row r="387">
      <c r="A387" s="264"/>
      <c r="B387" s="264"/>
      <c r="C387" s="264"/>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row>
    <row r="388">
      <c r="A388" s="264"/>
      <c r="B388" s="264"/>
      <c r="C388" s="264"/>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row>
    <row r="389">
      <c r="A389" s="264"/>
      <c r="B389" s="264"/>
      <c r="C389" s="264"/>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row>
    <row r="390">
      <c r="A390" s="264"/>
      <c r="B390" s="264"/>
      <c r="C390" s="264"/>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row>
    <row r="391">
      <c r="A391" s="264"/>
      <c r="B391" s="264"/>
      <c r="C391" s="264"/>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row>
    <row r="392">
      <c r="A392" s="264"/>
      <c r="B392" s="264"/>
      <c r="C392" s="264"/>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row>
    <row r="393">
      <c r="A393" s="264"/>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row>
    <row r="394">
      <c r="A394" s="26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row>
    <row r="395">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row>
    <row r="396">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row>
    <row r="397">
      <c r="A397" s="264"/>
      <c r="B397" s="264"/>
      <c r="C397" s="264"/>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row>
    <row r="398">
      <c r="A398" s="264"/>
      <c r="B398" s="264"/>
      <c r="C398" s="264"/>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row>
    <row r="399">
      <c r="A399" s="264"/>
      <c r="B399" s="264"/>
      <c r="C399" s="264"/>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row>
    <row r="400">
      <c r="A400" s="264"/>
      <c r="B400" s="264"/>
      <c r="C400" s="264"/>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row>
    <row r="401">
      <c r="A401" s="264"/>
      <c r="B401" s="264"/>
      <c r="C401" s="264"/>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row>
    <row r="402">
      <c r="A402" s="264"/>
      <c r="B402" s="264"/>
      <c r="C402" s="264"/>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row>
    <row r="403">
      <c r="A403" s="264"/>
      <c r="B403" s="264"/>
      <c r="C403" s="264"/>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row>
    <row r="404">
      <c r="A404" s="264"/>
      <c r="B404" s="264"/>
      <c r="C404" s="264"/>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row>
    <row r="405">
      <c r="A405" s="264"/>
      <c r="B405" s="264"/>
      <c r="C405" s="264"/>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row>
    <row r="406">
      <c r="A406" s="264"/>
      <c r="B406" s="264"/>
      <c r="C406" s="264"/>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row>
    <row r="407">
      <c r="A407" s="264"/>
      <c r="B407" s="264"/>
      <c r="C407" s="264"/>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row>
    <row r="408">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row>
    <row r="409">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row>
    <row r="410">
      <c r="A410" s="264"/>
      <c r="B410" s="264"/>
      <c r="C410" s="264"/>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row>
    <row r="411">
      <c r="A411" s="264"/>
      <c r="B411" s="264"/>
      <c r="C411" s="264"/>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row>
    <row r="412">
      <c r="A412" s="264"/>
      <c r="B412" s="264"/>
      <c r="C412" s="264"/>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row>
    <row r="413">
      <c r="A413" s="264"/>
      <c r="B413" s="264"/>
      <c r="C413" s="264"/>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row>
    <row r="414">
      <c r="A414" s="264"/>
      <c r="B414" s="264"/>
      <c r="C414" s="264"/>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row>
    <row r="415">
      <c r="A415" s="264"/>
      <c r="B415" s="264"/>
      <c r="C415" s="264"/>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row>
    <row r="416">
      <c r="A416" s="264"/>
      <c r="B416" s="264"/>
      <c r="C416" s="264"/>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row>
    <row r="417">
      <c r="A417" s="264"/>
      <c r="B417" s="264"/>
      <c r="C417" s="264"/>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row>
    <row r="418">
      <c r="A418" s="264"/>
      <c r="B418" s="264"/>
      <c r="C418" s="264"/>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row>
    <row r="419">
      <c r="A419" s="264"/>
      <c r="B419" s="264"/>
      <c r="C419" s="264"/>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row>
    <row r="420">
      <c r="A420" s="264"/>
      <c r="B420" s="264"/>
      <c r="C420" s="264"/>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row>
    <row r="421">
      <c r="A421" s="264"/>
      <c r="B421" s="264"/>
      <c r="C421" s="264"/>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row>
    <row r="422">
      <c r="A422" s="264"/>
      <c r="B422" s="264"/>
      <c r="C422" s="264"/>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row>
    <row r="423">
      <c r="A423" s="264"/>
      <c r="B423" s="264"/>
      <c r="C423" s="264"/>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row>
    <row r="424">
      <c r="A424" s="264"/>
      <c r="B424" s="264"/>
      <c r="C424" s="264"/>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row>
    <row r="425">
      <c r="A425" s="264"/>
      <c r="B425" s="264"/>
      <c r="C425" s="264"/>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row>
    <row r="426">
      <c r="A426" s="264"/>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row>
    <row r="427">
      <c r="A427" s="264"/>
      <c r="B427" s="264"/>
      <c r="C427" s="264"/>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row>
    <row r="428">
      <c r="A428" s="264"/>
      <c r="B428" s="264"/>
      <c r="C428" s="264"/>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row>
    <row r="429">
      <c r="A429" s="264"/>
      <c r="B429" s="264"/>
      <c r="C429" s="264"/>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row>
    <row r="430">
      <c r="A430" s="264"/>
      <c r="B430" s="264"/>
      <c r="C430" s="264"/>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row>
    <row r="431">
      <c r="A431" s="264"/>
      <c r="B431" s="264"/>
      <c r="C431" s="264"/>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row>
    <row r="432">
      <c r="A432" s="264"/>
      <c r="B432" s="264"/>
      <c r="C432" s="264"/>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row>
    <row r="433">
      <c r="A433" s="264"/>
      <c r="B433" s="264"/>
      <c r="C433" s="264"/>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row>
    <row r="434">
      <c r="A434" s="264"/>
      <c r="B434" s="264"/>
      <c r="C434" s="264"/>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row>
    <row r="435">
      <c r="A435" s="264"/>
      <c r="B435" s="264"/>
      <c r="C435" s="264"/>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row>
    <row r="436">
      <c r="A436" s="264"/>
      <c r="B436" s="264"/>
      <c r="C436" s="264"/>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row>
    <row r="437">
      <c r="A437" s="264"/>
      <c r="B437" s="264"/>
      <c r="C437" s="264"/>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row>
    <row r="438">
      <c r="A438" s="264"/>
      <c r="B438" s="264"/>
      <c r="C438" s="264"/>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row>
    <row r="439">
      <c r="A439" s="264"/>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row>
    <row r="440">
      <c r="A440" s="264"/>
      <c r="B440" s="264"/>
      <c r="C440" s="264"/>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row>
    <row r="441">
      <c r="A441" s="264"/>
      <c r="B441" s="264"/>
      <c r="C441" s="264"/>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row>
    <row r="442">
      <c r="A442" s="264"/>
      <c r="B442" s="264"/>
      <c r="C442" s="264"/>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row>
    <row r="443">
      <c r="A443" s="264"/>
      <c r="B443" s="264"/>
      <c r="C443" s="264"/>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row>
    <row r="444">
      <c r="A444" s="264"/>
      <c r="B444" s="264"/>
      <c r="C444" s="264"/>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row>
    <row r="445">
      <c r="A445" s="264"/>
      <c r="B445" s="264"/>
      <c r="C445" s="264"/>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row>
    <row r="446">
      <c r="A446" s="264"/>
      <c r="B446" s="264"/>
      <c r="C446" s="264"/>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row>
    <row r="447">
      <c r="A447" s="264"/>
      <c r="B447" s="264"/>
      <c r="C447" s="264"/>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row>
    <row r="448">
      <c r="A448" s="264"/>
      <c r="B448" s="264"/>
      <c r="C448" s="264"/>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row>
    <row r="449">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row>
    <row r="450">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row>
    <row r="451">
      <c r="A451" s="264"/>
      <c r="B451" s="264"/>
      <c r="C451" s="264"/>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row>
    <row r="452">
      <c r="A452" s="264"/>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row>
    <row r="453">
      <c r="A453" s="26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row>
    <row r="454">
      <c r="A454" s="26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row>
    <row r="455">
      <c r="A455" s="264"/>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row>
    <row r="456">
      <c r="A456" s="264"/>
      <c r="B456" s="264"/>
      <c r="C456" s="264"/>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row>
    <row r="457">
      <c r="A457" s="264"/>
      <c r="B457" s="264"/>
      <c r="C457" s="264"/>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row>
    <row r="458">
      <c r="A458" s="264"/>
      <c r="B458" s="264"/>
      <c r="C458" s="264"/>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row>
    <row r="459">
      <c r="A459" s="264"/>
      <c r="B459" s="264"/>
      <c r="C459" s="264"/>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row>
    <row r="460">
      <c r="A460" s="264"/>
      <c r="B460" s="264"/>
      <c r="C460" s="264"/>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row>
    <row r="461">
      <c r="A461" s="264"/>
      <c r="B461" s="264"/>
      <c r="C461" s="264"/>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row>
    <row r="462">
      <c r="A462" s="264"/>
      <c r="B462" s="264"/>
      <c r="C462" s="264"/>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row>
    <row r="463">
      <c r="A463" s="264"/>
      <c r="B463" s="264"/>
      <c r="C463" s="264"/>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row>
    <row r="464">
      <c r="A464" s="264"/>
      <c r="B464" s="264"/>
      <c r="C464" s="264"/>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row>
    <row r="465">
      <c r="A465" s="264"/>
      <c r="B465" s="264"/>
      <c r="C465" s="264"/>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row>
    <row r="466">
      <c r="A466" s="264"/>
      <c r="B466" s="264"/>
      <c r="C466" s="264"/>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row>
    <row r="467">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row>
    <row r="468">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row>
    <row r="469">
      <c r="A469" s="264"/>
      <c r="B469" s="264"/>
      <c r="C469" s="264"/>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row>
    <row r="470">
      <c r="A470" s="264"/>
      <c r="B470" s="264"/>
      <c r="C470" s="264"/>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row>
    <row r="471">
      <c r="A471" s="264"/>
      <c r="B471" s="264"/>
      <c r="C471" s="264"/>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row>
    <row r="472">
      <c r="A472" s="264"/>
      <c r="B472" s="264"/>
      <c r="C472" s="264"/>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row>
    <row r="473">
      <c r="A473" s="264"/>
      <c r="B473" s="264"/>
      <c r="C473" s="264"/>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row>
    <row r="474">
      <c r="A474" s="264"/>
      <c r="B474" s="264"/>
      <c r="C474" s="264"/>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row>
    <row r="475">
      <c r="A475" s="264"/>
      <c r="B475" s="264"/>
      <c r="C475" s="264"/>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row>
    <row r="476">
      <c r="A476" s="264"/>
      <c r="B476" s="264"/>
      <c r="C476" s="264"/>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row>
    <row r="477">
      <c r="A477" s="264"/>
      <c r="B477" s="264"/>
      <c r="C477" s="264"/>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row>
    <row r="478">
      <c r="A478" s="264"/>
      <c r="B478" s="264"/>
      <c r="C478" s="264"/>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row>
    <row r="479">
      <c r="A479" s="264"/>
      <c r="B479" s="264"/>
      <c r="C479" s="264"/>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row>
    <row r="480">
      <c r="A480" s="264"/>
      <c r="B480" s="264"/>
      <c r="C480" s="264"/>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row>
    <row r="481">
      <c r="A481" s="264"/>
      <c r="B481" s="264"/>
      <c r="C481" s="264"/>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row>
    <row r="482">
      <c r="A482" s="264"/>
      <c r="B482" s="264"/>
      <c r="C482" s="264"/>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row>
    <row r="483">
      <c r="A483" s="264"/>
      <c r="B483" s="264"/>
      <c r="C483" s="264"/>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row>
    <row r="484">
      <c r="A484" s="264"/>
      <c r="B484" s="264"/>
      <c r="C484" s="264"/>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row>
    <row r="485">
      <c r="A485" s="264"/>
      <c r="B485" s="264"/>
      <c r="C485" s="264"/>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row>
    <row r="486">
      <c r="A486" s="264"/>
      <c r="B486" s="264"/>
      <c r="C486" s="264"/>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row>
    <row r="487">
      <c r="A487" s="264"/>
      <c r="B487" s="264"/>
      <c r="C487" s="264"/>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row>
    <row r="488">
      <c r="A488" s="264"/>
      <c r="B488" s="264"/>
      <c r="C488" s="264"/>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row>
    <row r="489">
      <c r="A489" s="264"/>
      <c r="B489" s="264"/>
      <c r="C489" s="264"/>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row>
    <row r="490">
      <c r="A490" s="264"/>
      <c r="B490" s="264"/>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row>
    <row r="491">
      <c r="A491" s="264"/>
      <c r="B491" s="264"/>
      <c r="C491" s="264"/>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row>
    <row r="492">
      <c r="A492" s="264"/>
      <c r="B492" s="264"/>
      <c r="C492" s="264"/>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row>
    <row r="493">
      <c r="A493" s="264"/>
      <c r="B493" s="264"/>
      <c r="C493" s="264"/>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row>
    <row r="494">
      <c r="A494" s="264"/>
      <c r="B494" s="264"/>
      <c r="C494" s="264"/>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row>
    <row r="495">
      <c r="A495" s="264"/>
      <c r="B495" s="264"/>
      <c r="C495" s="264"/>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row>
    <row r="496">
      <c r="A496" s="264"/>
      <c r="B496" s="264"/>
      <c r="C496" s="264"/>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row>
    <row r="497">
      <c r="A497" s="264"/>
      <c r="B497" s="264"/>
      <c r="C497" s="264"/>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row>
    <row r="498">
      <c r="A498" s="264"/>
      <c r="B498" s="264"/>
      <c r="C498" s="264"/>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row>
    <row r="499">
      <c r="A499" s="264"/>
      <c r="B499" s="264"/>
      <c r="C499" s="264"/>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row>
    <row r="500">
      <c r="A500" s="264"/>
      <c r="B500" s="264"/>
      <c r="C500" s="264"/>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row>
    <row r="501">
      <c r="A501" s="264"/>
      <c r="B501" s="264"/>
      <c r="C501" s="264"/>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row>
    <row r="502">
      <c r="A502" s="264"/>
      <c r="B502" s="264"/>
      <c r="C502" s="264"/>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row>
    <row r="503">
      <c r="A503" s="264"/>
      <c r="B503" s="264"/>
      <c r="C503" s="264"/>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row>
    <row r="504">
      <c r="A504" s="264"/>
      <c r="B504" s="264"/>
      <c r="C504" s="264"/>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row>
    <row r="505">
      <c r="A505" s="264"/>
      <c r="B505" s="264"/>
      <c r="C505" s="264"/>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row>
    <row r="506">
      <c r="A506" s="264"/>
      <c r="B506" s="264"/>
      <c r="C506" s="264"/>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row>
    <row r="507">
      <c r="A507" s="264"/>
      <c r="B507" s="264"/>
      <c r="C507" s="264"/>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row>
    <row r="508">
      <c r="A508" s="264"/>
      <c r="B508" s="264"/>
      <c r="C508" s="264"/>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row>
    <row r="509">
      <c r="A509" s="264"/>
      <c r="B509" s="264"/>
      <c r="C509" s="264"/>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row>
    <row r="510">
      <c r="A510" s="264"/>
      <c r="B510" s="264"/>
      <c r="C510" s="264"/>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row>
    <row r="511">
      <c r="A511" s="264"/>
      <c r="B511" s="264"/>
      <c r="C511" s="264"/>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row>
    <row r="512">
      <c r="A512" s="264"/>
      <c r="B512" s="264"/>
      <c r="C512" s="264"/>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row>
    <row r="513">
      <c r="A513" s="264"/>
      <c r="B513" s="264"/>
      <c r="C513" s="264"/>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row>
    <row r="514">
      <c r="A514" s="264"/>
      <c r="B514" s="264"/>
      <c r="C514" s="264"/>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row>
    <row r="515">
      <c r="A515" s="264"/>
      <c r="B515" s="264"/>
      <c r="C515" s="264"/>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row>
    <row r="516">
      <c r="A516" s="264"/>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row>
    <row r="517">
      <c r="A517" s="264"/>
      <c r="B517" s="264"/>
      <c r="C517" s="264"/>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row>
    <row r="518">
      <c r="A518" s="264"/>
      <c r="B518" s="264"/>
      <c r="C518" s="264"/>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row>
    <row r="519">
      <c r="A519" s="264"/>
      <c r="B519" s="264"/>
      <c r="C519" s="264"/>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row>
    <row r="520">
      <c r="A520" s="264"/>
      <c r="B520" s="264"/>
      <c r="C520" s="264"/>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row>
    <row r="521">
      <c r="A521" s="264"/>
      <c r="B521" s="264"/>
      <c r="C521" s="264"/>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row>
    <row r="522">
      <c r="A522" s="264"/>
      <c r="B522" s="264"/>
      <c r="C522" s="264"/>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row>
    <row r="523">
      <c r="A523" s="264"/>
      <c r="B523" s="264"/>
      <c r="C523" s="264"/>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row>
    <row r="524">
      <c r="A524" s="264"/>
      <c r="B524" s="264"/>
      <c r="C524" s="264"/>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row>
    <row r="525">
      <c r="A525" s="264"/>
      <c r="B525" s="264"/>
      <c r="C525" s="264"/>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row>
    <row r="526">
      <c r="A526" s="264"/>
      <c r="B526" s="264"/>
      <c r="C526" s="264"/>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row>
    <row r="527">
      <c r="A527" s="264"/>
      <c r="B527" s="264"/>
      <c r="C527" s="264"/>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row>
    <row r="528">
      <c r="A528" s="264"/>
      <c r="B528" s="264"/>
      <c r="C528" s="264"/>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row>
    <row r="529">
      <c r="A529" s="264"/>
      <c r="B529" s="264"/>
      <c r="C529" s="264"/>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row>
    <row r="530">
      <c r="A530" s="264"/>
      <c r="B530" s="264"/>
      <c r="C530" s="264"/>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row>
    <row r="531">
      <c r="A531" s="264"/>
      <c r="B531" s="264"/>
      <c r="C531" s="264"/>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row>
    <row r="532">
      <c r="A532" s="264"/>
      <c r="B532" s="264"/>
      <c r="C532" s="264"/>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row>
    <row r="533">
      <c r="A533" s="264"/>
      <c r="B533" s="264"/>
      <c r="C533" s="264"/>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row>
    <row r="534">
      <c r="A534" s="264"/>
      <c r="B534" s="264"/>
      <c r="C534" s="264"/>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row>
    <row r="535">
      <c r="A535" s="264"/>
      <c r="B535" s="264"/>
      <c r="C535" s="264"/>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row>
    <row r="536">
      <c r="A536" s="264"/>
      <c r="B536" s="264"/>
      <c r="C536" s="264"/>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row>
    <row r="537">
      <c r="A537" s="264"/>
      <c r="B537" s="264"/>
      <c r="C537" s="264"/>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row>
    <row r="538">
      <c r="A538" s="264"/>
      <c r="B538" s="264"/>
      <c r="C538" s="264"/>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row>
    <row r="539">
      <c r="A539" s="264"/>
      <c r="B539" s="264"/>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row>
    <row r="540">
      <c r="A540" s="264"/>
      <c r="B540" s="264"/>
      <c r="C540" s="264"/>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row>
    <row r="541">
      <c r="A541" s="264"/>
      <c r="B541" s="264"/>
      <c r="C541" s="264"/>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row>
    <row r="542">
      <c r="A542" s="264"/>
      <c r="B542" s="264"/>
      <c r="C542" s="264"/>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row>
    <row r="543">
      <c r="A543" s="264"/>
      <c r="B543" s="264"/>
      <c r="C543" s="264"/>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row>
    <row r="544">
      <c r="A544" s="264"/>
      <c r="B544" s="264"/>
      <c r="C544" s="264"/>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row>
    <row r="545">
      <c r="A545" s="264"/>
      <c r="B545" s="264"/>
      <c r="C545" s="264"/>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row>
    <row r="546">
      <c r="A546" s="264"/>
      <c r="B546" s="264"/>
      <c r="C546" s="264"/>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row>
    <row r="547">
      <c r="A547" s="264"/>
      <c r="B547" s="264"/>
      <c r="C547" s="264"/>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row>
    <row r="548">
      <c r="A548" s="264"/>
      <c r="B548" s="264"/>
      <c r="C548" s="264"/>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row>
    <row r="549">
      <c r="A549" s="264"/>
      <c r="B549" s="264"/>
      <c r="C549" s="264"/>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row>
    <row r="550">
      <c r="A550" s="264"/>
      <c r="B550" s="264"/>
      <c r="C550" s="264"/>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row>
    <row r="551">
      <c r="A551" s="264"/>
      <c r="B551" s="264"/>
      <c r="C551" s="264"/>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row>
    <row r="552">
      <c r="A552" s="264"/>
      <c r="B552" s="264"/>
      <c r="C552" s="264"/>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row>
    <row r="553">
      <c r="A553" s="264"/>
      <c r="B553" s="264"/>
      <c r="C553" s="264"/>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row>
    <row r="554">
      <c r="A554" s="264"/>
      <c r="B554" s="264"/>
      <c r="C554" s="264"/>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row>
    <row r="555">
      <c r="A555" s="264"/>
      <c r="B555" s="264"/>
      <c r="C555" s="264"/>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row>
    <row r="556">
      <c r="A556" s="264"/>
      <c r="B556" s="264"/>
      <c r="C556" s="264"/>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row>
    <row r="557">
      <c r="A557" s="264"/>
      <c r="B557" s="264"/>
      <c r="C557" s="264"/>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row>
    <row r="558">
      <c r="A558" s="264"/>
      <c r="B558" s="264"/>
      <c r="C558" s="264"/>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row>
    <row r="559">
      <c r="A559" s="264"/>
      <c r="B559" s="264"/>
      <c r="C559" s="264"/>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row>
    <row r="560">
      <c r="A560" s="264"/>
      <c r="B560" s="264"/>
      <c r="C560" s="264"/>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row>
    <row r="561">
      <c r="A561" s="264"/>
      <c r="B561" s="264"/>
      <c r="C561" s="264"/>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row>
    <row r="562">
      <c r="A562" s="264"/>
      <c r="B562" s="264"/>
      <c r="C562" s="264"/>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row>
    <row r="563">
      <c r="A563" s="264"/>
      <c r="B563" s="264"/>
      <c r="C563" s="264"/>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row>
    <row r="564">
      <c r="A564" s="264"/>
      <c r="B564" s="264"/>
      <c r="C564" s="264"/>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row>
    <row r="565">
      <c r="A565" s="264"/>
      <c r="B565" s="264"/>
      <c r="C565" s="264"/>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row>
    <row r="566">
      <c r="A566" s="264"/>
      <c r="B566" s="264"/>
      <c r="C566" s="264"/>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row>
    <row r="567">
      <c r="A567" s="264"/>
      <c r="B567" s="264"/>
      <c r="C567" s="264"/>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row>
    <row r="568">
      <c r="A568" s="264"/>
      <c r="B568" s="264"/>
      <c r="C568" s="264"/>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row>
    <row r="569">
      <c r="A569" s="264"/>
      <c r="B569" s="264"/>
      <c r="C569" s="264"/>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row>
    <row r="570">
      <c r="A570" s="264"/>
      <c r="B570" s="264"/>
      <c r="C570" s="264"/>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row>
    <row r="571">
      <c r="A571" s="264"/>
      <c r="B571" s="264"/>
      <c r="C571" s="264"/>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row>
    <row r="572">
      <c r="A572" s="264"/>
      <c r="B572" s="264"/>
      <c r="C572" s="264"/>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row>
    <row r="573">
      <c r="A573" s="264"/>
      <c r="B573" s="264"/>
      <c r="C573" s="264"/>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row>
    <row r="574">
      <c r="A574" s="264"/>
      <c r="B574" s="264"/>
      <c r="C574" s="264"/>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row>
    <row r="575">
      <c r="A575" s="264"/>
      <c r="B575" s="264"/>
      <c r="C575" s="264"/>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row>
    <row r="576">
      <c r="A576" s="264"/>
      <c r="B576" s="264"/>
      <c r="C576" s="264"/>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row>
    <row r="577">
      <c r="A577" s="264"/>
      <c r="B577" s="264"/>
      <c r="C577" s="264"/>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row>
    <row r="578">
      <c r="A578" s="264"/>
      <c r="B578" s="264"/>
      <c r="C578" s="264"/>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row>
    <row r="579">
      <c r="A579" s="264"/>
      <c r="B579" s="264"/>
      <c r="C579" s="264"/>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row>
    <row r="580">
      <c r="A580" s="264"/>
      <c r="B580" s="264"/>
      <c r="C580" s="264"/>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row>
    <row r="581">
      <c r="A581" s="264"/>
      <c r="B581" s="264"/>
      <c r="C581" s="264"/>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row>
    <row r="582">
      <c r="A582" s="264"/>
      <c r="B582" s="264"/>
      <c r="C582" s="264"/>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row>
    <row r="583">
      <c r="A583" s="264"/>
      <c r="B583" s="264"/>
      <c r="C583" s="264"/>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row>
    <row r="584">
      <c r="A584" s="264"/>
      <c r="B584" s="264"/>
      <c r="C584" s="264"/>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row>
    <row r="585">
      <c r="A585" s="264"/>
      <c r="B585" s="264"/>
      <c r="C585" s="264"/>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row>
    <row r="586">
      <c r="A586" s="264"/>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row>
    <row r="587">
      <c r="A587" s="264"/>
      <c r="B587" s="264"/>
      <c r="C587" s="264"/>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row>
    <row r="588">
      <c r="A588" s="264"/>
      <c r="B588" s="264"/>
      <c r="C588" s="264"/>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row>
    <row r="589">
      <c r="A589" s="264"/>
      <c r="B589" s="264"/>
      <c r="C589" s="264"/>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row>
    <row r="590">
      <c r="A590" s="264"/>
      <c r="B590" s="264"/>
      <c r="C590" s="264"/>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row>
    <row r="591">
      <c r="A591" s="264"/>
      <c r="B591" s="264"/>
      <c r="C591" s="264"/>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row>
    <row r="592">
      <c r="A592" s="264"/>
      <c r="B592" s="264"/>
      <c r="C592" s="264"/>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row>
    <row r="593">
      <c r="A593" s="264"/>
      <c r="B593" s="264"/>
      <c r="C593" s="264"/>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row>
    <row r="594">
      <c r="A594" s="264"/>
      <c r="B594" s="264"/>
      <c r="C594" s="264"/>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row>
    <row r="595">
      <c r="A595" s="264"/>
      <c r="B595" s="264"/>
      <c r="C595" s="264"/>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row>
    <row r="596">
      <c r="A596" s="264"/>
      <c r="B596" s="264"/>
      <c r="C596" s="264"/>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row>
    <row r="597">
      <c r="A597" s="264"/>
      <c r="B597" s="264"/>
      <c r="C597" s="264"/>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row>
    <row r="598">
      <c r="A598" s="264"/>
      <c r="B598" s="264"/>
      <c r="C598" s="264"/>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row>
    <row r="599">
      <c r="A599" s="264"/>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row>
    <row r="600">
      <c r="A600" s="264"/>
      <c r="B600" s="264"/>
      <c r="C600" s="264"/>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row>
    <row r="601">
      <c r="A601" s="264"/>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row>
    <row r="602">
      <c r="A602" s="264"/>
      <c r="B602" s="264"/>
      <c r="C602" s="264"/>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row>
    <row r="603">
      <c r="A603" s="264"/>
      <c r="B603" s="264"/>
      <c r="C603" s="264"/>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row>
    <row r="604">
      <c r="A604" s="264"/>
      <c r="B604" s="264"/>
      <c r="C604" s="264"/>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row>
    <row r="605">
      <c r="A605" s="264"/>
      <c r="B605" s="264"/>
      <c r="C605" s="264"/>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row>
    <row r="606">
      <c r="A606" s="264"/>
      <c r="B606" s="264"/>
      <c r="C606" s="264"/>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row>
    <row r="607">
      <c r="A607" s="264"/>
      <c r="B607" s="264"/>
      <c r="C607" s="264"/>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row>
    <row r="608">
      <c r="A608" s="264"/>
      <c r="B608" s="264"/>
      <c r="C608" s="264"/>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row>
    <row r="609">
      <c r="A609" s="264"/>
      <c r="B609" s="264"/>
      <c r="C609" s="264"/>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row>
    <row r="610">
      <c r="A610" s="264"/>
      <c r="B610" s="264"/>
      <c r="C610" s="264"/>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row>
    <row r="611">
      <c r="A611" s="264"/>
      <c r="B611" s="264"/>
      <c r="C611" s="264"/>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row>
    <row r="612">
      <c r="A612" s="264"/>
      <c r="B612" s="264"/>
      <c r="C612" s="264"/>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row>
    <row r="613">
      <c r="A613" s="264"/>
      <c r="B613" s="264"/>
      <c r="C613" s="264"/>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row>
    <row r="614">
      <c r="A614" s="264"/>
      <c r="B614" s="264"/>
      <c r="C614" s="264"/>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row>
    <row r="615">
      <c r="A615" s="264"/>
      <c r="B615" s="264"/>
      <c r="C615" s="264"/>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row>
    <row r="616">
      <c r="A616" s="264"/>
      <c r="B616" s="264"/>
      <c r="C616" s="264"/>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row>
    <row r="617">
      <c r="A617" s="264"/>
      <c r="B617" s="264"/>
      <c r="C617" s="264"/>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row>
    <row r="618">
      <c r="A618" s="264"/>
      <c r="B618" s="264"/>
      <c r="C618" s="264"/>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row>
    <row r="619">
      <c r="A619" s="264"/>
      <c r="B619" s="264"/>
      <c r="C619" s="264"/>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row>
    <row r="620">
      <c r="A620" s="264"/>
      <c r="B620" s="264"/>
      <c r="C620" s="264"/>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row>
    <row r="621">
      <c r="A621" s="264"/>
      <c r="B621" s="264"/>
      <c r="C621" s="264"/>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row>
    <row r="622">
      <c r="A622" s="264"/>
      <c r="B622" s="264"/>
      <c r="C622" s="264"/>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row>
    <row r="623">
      <c r="A623" s="264"/>
      <c r="B623" s="264"/>
      <c r="C623" s="264"/>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row>
    <row r="624">
      <c r="A624" s="264"/>
      <c r="B624" s="264"/>
      <c r="C624" s="264"/>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row>
    <row r="625">
      <c r="A625" s="264"/>
      <c r="B625" s="264"/>
      <c r="C625" s="264"/>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row>
    <row r="626">
      <c r="A626" s="264"/>
      <c r="B626" s="264"/>
      <c r="C626" s="264"/>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row>
    <row r="627">
      <c r="A627" s="264"/>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row>
    <row r="628">
      <c r="A628" s="264"/>
      <c r="B628" s="264"/>
      <c r="C628" s="264"/>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row>
    <row r="629">
      <c r="A629" s="264"/>
      <c r="B629" s="264"/>
      <c r="C629" s="264"/>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row>
    <row r="630">
      <c r="A630" s="264"/>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row>
    <row r="631">
      <c r="A631" s="264"/>
      <c r="B631" s="264"/>
      <c r="C631" s="264"/>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row>
    <row r="632">
      <c r="A632" s="264"/>
      <c r="B632" s="264"/>
      <c r="C632" s="264"/>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row>
    <row r="633">
      <c r="A633" s="264"/>
      <c r="B633" s="264"/>
      <c r="C633" s="264"/>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row>
    <row r="634">
      <c r="A634" s="264"/>
      <c r="B634" s="264"/>
      <c r="C634" s="264"/>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row>
    <row r="635">
      <c r="A635" s="264"/>
      <c r="B635" s="264"/>
      <c r="C635" s="264"/>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row>
    <row r="636">
      <c r="A636" s="264"/>
      <c r="B636" s="264"/>
      <c r="C636" s="264"/>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row>
    <row r="637">
      <c r="A637" s="264"/>
      <c r="B637" s="264"/>
      <c r="C637" s="264"/>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row>
    <row r="638">
      <c r="A638" s="264"/>
      <c r="B638" s="264"/>
      <c r="C638" s="264"/>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row>
    <row r="639">
      <c r="A639" s="264"/>
      <c r="B639" s="264"/>
      <c r="C639" s="264"/>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row>
    <row r="640">
      <c r="A640" s="264"/>
      <c r="B640" s="264"/>
      <c r="C640" s="264"/>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row>
    <row r="641">
      <c r="A641" s="264"/>
      <c r="B641" s="264"/>
      <c r="C641" s="264"/>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row>
    <row r="642">
      <c r="A642" s="264"/>
      <c r="B642" s="264"/>
      <c r="C642" s="264"/>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row>
    <row r="643">
      <c r="A643" s="264"/>
      <c r="B643" s="264"/>
      <c r="C643" s="264"/>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row>
    <row r="644">
      <c r="A644" s="264"/>
      <c r="B644" s="264"/>
      <c r="C644" s="264"/>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row>
    <row r="645">
      <c r="A645" s="264"/>
      <c r="B645" s="264"/>
      <c r="C645" s="264"/>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row>
    <row r="646">
      <c r="A646" s="264"/>
      <c r="B646" s="264"/>
      <c r="C646" s="264"/>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row>
    <row r="647">
      <c r="A647" s="264"/>
      <c r="B647" s="264"/>
      <c r="C647" s="264"/>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row>
    <row r="648">
      <c r="A648" s="264"/>
      <c r="B648" s="264"/>
      <c r="C648" s="264"/>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row>
    <row r="649">
      <c r="A649" s="264"/>
      <c r="B649" s="264"/>
      <c r="C649" s="264"/>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row>
    <row r="650">
      <c r="A650" s="264"/>
      <c r="B650" s="264"/>
      <c r="C650" s="264"/>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row>
    <row r="651">
      <c r="A651" s="264"/>
      <c r="B651" s="264"/>
      <c r="C651" s="264"/>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row>
    <row r="652">
      <c r="A652" s="264"/>
      <c r="B652" s="264"/>
      <c r="C652" s="264"/>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row>
    <row r="653">
      <c r="A653" s="264"/>
      <c r="B653" s="264"/>
      <c r="C653" s="264"/>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row>
    <row r="654">
      <c r="A654" s="264"/>
      <c r="B654" s="264"/>
      <c r="C654" s="264"/>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row>
    <row r="655">
      <c r="A655" s="264"/>
      <c r="B655" s="264"/>
      <c r="C655" s="264"/>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row>
    <row r="656">
      <c r="A656" s="264"/>
      <c r="B656" s="264"/>
      <c r="C656" s="264"/>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row>
    <row r="657">
      <c r="A657" s="264"/>
      <c r="B657" s="264"/>
      <c r="C657" s="264"/>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row>
    <row r="658">
      <c r="A658" s="264"/>
      <c r="B658" s="264"/>
      <c r="C658" s="264"/>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row>
    <row r="659">
      <c r="A659" s="264"/>
      <c r="B659" s="264"/>
      <c r="C659" s="264"/>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row>
    <row r="660">
      <c r="A660" s="264"/>
      <c r="B660" s="264"/>
      <c r="C660" s="264"/>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row>
    <row r="661">
      <c r="A661" s="264"/>
      <c r="B661" s="264"/>
      <c r="C661" s="264"/>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row>
    <row r="662">
      <c r="A662" s="264"/>
      <c r="B662" s="264"/>
      <c r="C662" s="264"/>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row>
    <row r="663">
      <c r="A663" s="264"/>
      <c r="B663" s="264"/>
      <c r="C663" s="264"/>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row>
    <row r="664">
      <c r="A664" s="264"/>
      <c r="B664" s="264"/>
      <c r="C664" s="264"/>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row>
    <row r="665">
      <c r="A665" s="264"/>
      <c r="B665" s="264"/>
      <c r="C665" s="264"/>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row>
    <row r="666">
      <c r="A666" s="264"/>
      <c r="B666" s="264"/>
      <c r="C666" s="264"/>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row>
    <row r="667">
      <c r="A667" s="264"/>
      <c r="B667" s="264"/>
      <c r="C667" s="264"/>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row>
    <row r="668">
      <c r="A668" s="264"/>
      <c r="B668" s="264"/>
      <c r="C668" s="264"/>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row>
    <row r="669">
      <c r="A669" s="264"/>
      <c r="B669" s="264"/>
      <c r="C669" s="264"/>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row>
    <row r="670">
      <c r="A670" s="264"/>
      <c r="B670" s="264"/>
      <c r="C670" s="264"/>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row>
    <row r="671">
      <c r="A671" s="264"/>
      <c r="B671" s="264"/>
      <c r="C671" s="264"/>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row>
    <row r="672">
      <c r="A672" s="264"/>
      <c r="B672" s="264"/>
      <c r="C672" s="264"/>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row>
    <row r="673">
      <c r="A673" s="264"/>
      <c r="B673" s="264"/>
      <c r="C673" s="264"/>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row>
    <row r="674">
      <c r="A674" s="264"/>
      <c r="B674" s="264"/>
      <c r="C674" s="264"/>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row>
    <row r="675">
      <c r="A675" s="264"/>
      <c r="B675" s="264"/>
      <c r="C675" s="264"/>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row>
    <row r="676">
      <c r="A676" s="264"/>
      <c r="B676" s="264"/>
      <c r="C676" s="264"/>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row>
    <row r="677">
      <c r="A677" s="264"/>
      <c r="B677" s="264"/>
      <c r="C677" s="264"/>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row>
    <row r="678">
      <c r="A678" s="264"/>
      <c r="B678" s="264"/>
      <c r="C678" s="264"/>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row>
    <row r="679">
      <c r="A679" s="264"/>
      <c r="B679" s="264"/>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row>
    <row r="680">
      <c r="A680" s="264"/>
      <c r="B680" s="264"/>
      <c r="C680" s="264"/>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row>
    <row r="681">
      <c r="A681" s="264"/>
      <c r="B681" s="264"/>
      <c r="C681" s="264"/>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row>
    <row r="682">
      <c r="A682" s="264"/>
      <c r="B682" s="264"/>
      <c r="C682" s="264"/>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row>
    <row r="683">
      <c r="A683" s="264"/>
      <c r="B683" s="264"/>
      <c r="C683" s="264"/>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row>
    <row r="684">
      <c r="A684" s="264"/>
      <c r="B684" s="264"/>
      <c r="C684" s="264"/>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row>
    <row r="685">
      <c r="A685" s="264"/>
      <c r="B685" s="264"/>
      <c r="C685" s="264"/>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row>
    <row r="686">
      <c r="A686" s="264"/>
      <c r="B686" s="264"/>
      <c r="C686" s="264"/>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row>
    <row r="687">
      <c r="A687" s="264"/>
      <c r="B687" s="264"/>
      <c r="C687" s="264"/>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row>
    <row r="688">
      <c r="A688" s="264"/>
      <c r="B688" s="264"/>
      <c r="C688" s="264"/>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row>
    <row r="689">
      <c r="A689" s="264"/>
      <c r="B689" s="264"/>
      <c r="C689" s="264"/>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row>
    <row r="690">
      <c r="A690" s="264"/>
      <c r="B690" s="264"/>
      <c r="C690" s="264"/>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row>
    <row r="691">
      <c r="A691" s="264"/>
      <c r="B691" s="264"/>
      <c r="C691" s="264"/>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row>
    <row r="692">
      <c r="A692" s="264"/>
      <c r="B692" s="264"/>
      <c r="C692" s="264"/>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row>
    <row r="693">
      <c r="A693" s="264"/>
      <c r="B693" s="264"/>
      <c r="C693" s="264"/>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row>
    <row r="694">
      <c r="A694" s="264"/>
      <c r="B694" s="264"/>
      <c r="C694" s="264"/>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row>
    <row r="695">
      <c r="A695" s="264"/>
      <c r="B695" s="264"/>
      <c r="C695" s="264"/>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row>
    <row r="696">
      <c r="A696" s="264"/>
      <c r="B696" s="264"/>
      <c r="C696" s="264"/>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row>
    <row r="697">
      <c r="A697" s="264"/>
      <c r="B697" s="264"/>
      <c r="C697" s="264"/>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row>
    <row r="698">
      <c r="A698" s="264"/>
      <c r="B698" s="264"/>
      <c r="C698" s="264"/>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row>
    <row r="699">
      <c r="A699" s="264"/>
      <c r="B699" s="264"/>
      <c r="C699" s="264"/>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row>
    <row r="700">
      <c r="A700" s="264"/>
      <c r="B700" s="264"/>
      <c r="C700" s="264"/>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row>
    <row r="701">
      <c r="A701" s="264"/>
      <c r="B701" s="264"/>
      <c r="C701" s="264"/>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row>
    <row r="702">
      <c r="A702" s="264"/>
      <c r="B702" s="264"/>
      <c r="C702" s="264"/>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row>
    <row r="703">
      <c r="A703" s="264"/>
      <c r="B703" s="264"/>
      <c r="C703" s="264"/>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row>
    <row r="704">
      <c r="A704" s="264"/>
      <c r="B704" s="264"/>
      <c r="C704" s="264"/>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row>
    <row r="705">
      <c r="A705" s="264"/>
      <c r="B705" s="264"/>
      <c r="C705" s="264"/>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row>
    <row r="706">
      <c r="A706" s="264"/>
      <c r="B706" s="264"/>
      <c r="C706" s="264"/>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row>
    <row r="707">
      <c r="A707" s="264"/>
      <c r="B707" s="264"/>
      <c r="C707" s="264"/>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row>
    <row r="708">
      <c r="A708" s="264"/>
      <c r="B708" s="264"/>
      <c r="C708" s="264"/>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row>
    <row r="709">
      <c r="A709" s="264"/>
      <c r="B709" s="264"/>
      <c r="C709" s="264"/>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row>
    <row r="710">
      <c r="A710" s="264"/>
      <c r="B710" s="264"/>
      <c r="C710" s="264"/>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row>
    <row r="711">
      <c r="A711" s="264"/>
      <c r="B711" s="264"/>
      <c r="C711" s="264"/>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row>
    <row r="712">
      <c r="A712" s="264"/>
      <c r="B712" s="264"/>
      <c r="C712" s="264"/>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row>
    <row r="713">
      <c r="A713" s="264"/>
      <c r="B713" s="264"/>
      <c r="C713" s="264"/>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row>
    <row r="714">
      <c r="A714" s="264"/>
      <c r="B714" s="264"/>
      <c r="C714" s="264"/>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row>
    <row r="715">
      <c r="A715" s="264"/>
      <c r="B715" s="264"/>
      <c r="C715" s="264"/>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row>
    <row r="716">
      <c r="A716" s="264"/>
      <c r="B716" s="264"/>
      <c r="C716" s="264"/>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row>
    <row r="717">
      <c r="A717" s="264"/>
      <c r="B717" s="264"/>
      <c r="C717" s="264"/>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row>
    <row r="718">
      <c r="A718" s="264"/>
      <c r="B718" s="264"/>
      <c r="C718" s="264"/>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row>
    <row r="719">
      <c r="A719" s="264"/>
      <c r="B719" s="264"/>
      <c r="C719" s="264"/>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row>
    <row r="720">
      <c r="A720" s="264"/>
      <c r="B720" s="264"/>
      <c r="C720" s="264"/>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row>
    <row r="721">
      <c r="A721" s="264"/>
      <c r="B721" s="264"/>
      <c r="C721" s="264"/>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row>
    <row r="722">
      <c r="A722" s="264"/>
      <c r="B722" s="264"/>
      <c r="C722" s="264"/>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row>
    <row r="723">
      <c r="A723" s="264"/>
      <c r="B723" s="264"/>
      <c r="C723" s="264"/>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row>
    <row r="724">
      <c r="A724" s="264"/>
      <c r="B724" s="264"/>
      <c r="C724" s="264"/>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row>
    <row r="725">
      <c r="A725" s="264"/>
      <c r="B725" s="264"/>
      <c r="C725" s="264"/>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row>
    <row r="726">
      <c r="A726" s="264"/>
      <c r="B726" s="264"/>
      <c r="C726" s="264"/>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row>
    <row r="727">
      <c r="A727" s="264"/>
      <c r="B727" s="264"/>
      <c r="C727" s="264"/>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row>
    <row r="728">
      <c r="A728" s="264"/>
      <c r="B728" s="264"/>
      <c r="C728" s="264"/>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row>
    <row r="729">
      <c r="A729" s="264"/>
      <c r="B729" s="264"/>
      <c r="C729" s="264"/>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row>
    <row r="730">
      <c r="A730" s="264"/>
      <c r="B730" s="264"/>
      <c r="C730" s="264"/>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row>
    <row r="731">
      <c r="A731" s="264"/>
      <c r="B731" s="264"/>
      <c r="C731" s="264"/>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row>
    <row r="732">
      <c r="A732" s="264"/>
      <c r="B732" s="264"/>
      <c r="C732" s="264"/>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row>
    <row r="733">
      <c r="A733" s="264"/>
      <c r="B733" s="264"/>
      <c r="C733" s="264"/>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row>
    <row r="734">
      <c r="A734" s="264"/>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row>
    <row r="735">
      <c r="A735" s="264"/>
      <c r="B735" s="264"/>
      <c r="C735" s="264"/>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row>
    <row r="736">
      <c r="A736" s="264"/>
      <c r="B736" s="264"/>
      <c r="C736" s="264"/>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row>
    <row r="737">
      <c r="A737" s="264"/>
      <c r="B737" s="264"/>
      <c r="C737" s="264"/>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row>
    <row r="738">
      <c r="A738" s="264"/>
      <c r="B738" s="264"/>
      <c r="C738" s="264"/>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row>
    <row r="739">
      <c r="A739" s="264"/>
      <c r="B739" s="264"/>
      <c r="C739" s="264"/>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row>
    <row r="740">
      <c r="A740" s="264"/>
      <c r="B740" s="264"/>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row>
    <row r="741">
      <c r="A741" s="264"/>
      <c r="B741" s="264"/>
      <c r="C741" s="264"/>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row>
    <row r="742">
      <c r="A742" s="264"/>
      <c r="B742" s="264"/>
      <c r="C742" s="264"/>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row>
    <row r="743">
      <c r="A743" s="264"/>
      <c r="B743" s="264"/>
      <c r="C743" s="264"/>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row>
    <row r="744">
      <c r="A744" s="264"/>
      <c r="B744" s="264"/>
      <c r="C744" s="264"/>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row>
    <row r="745">
      <c r="A745" s="264"/>
      <c r="B745" s="264"/>
      <c r="C745" s="264"/>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row>
    <row r="746">
      <c r="A746" s="264"/>
      <c r="B746" s="264"/>
      <c r="C746" s="264"/>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row>
    <row r="747">
      <c r="A747" s="264"/>
      <c r="B747" s="264"/>
      <c r="C747" s="264"/>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row>
    <row r="748">
      <c r="A748" s="264"/>
      <c r="B748" s="264"/>
      <c r="C748" s="264"/>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row>
    <row r="749">
      <c r="A749" s="264"/>
      <c r="B749" s="264"/>
      <c r="C749" s="264"/>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row>
    <row r="750">
      <c r="A750" s="264"/>
      <c r="B750" s="264"/>
      <c r="C750" s="264"/>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row>
    <row r="751">
      <c r="A751" s="264"/>
      <c r="B751" s="264"/>
      <c r="C751" s="264"/>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row>
    <row r="752">
      <c r="A752" s="264"/>
      <c r="B752" s="264"/>
      <c r="C752" s="264"/>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row>
    <row r="753">
      <c r="A753" s="264"/>
      <c r="B753" s="264"/>
      <c r="C753" s="264"/>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row>
    <row r="754">
      <c r="A754" s="264"/>
      <c r="B754" s="264"/>
      <c r="C754" s="264"/>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row>
    <row r="755">
      <c r="A755" s="264"/>
      <c r="B755" s="264"/>
      <c r="C755" s="264"/>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row>
    <row r="756">
      <c r="A756" s="264"/>
      <c r="B756" s="264"/>
      <c r="C756" s="264"/>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row>
    <row r="757">
      <c r="A757" s="264"/>
      <c r="B757" s="264"/>
      <c r="C757" s="264"/>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row>
    <row r="758">
      <c r="A758" s="264"/>
      <c r="B758" s="264"/>
      <c r="C758" s="264"/>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row>
    <row r="759">
      <c r="A759" s="264"/>
      <c r="B759" s="264"/>
      <c r="C759" s="264"/>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row>
    <row r="760">
      <c r="A760" s="264"/>
      <c r="B760" s="264"/>
      <c r="C760" s="264"/>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row>
    <row r="761">
      <c r="A761" s="264"/>
      <c r="B761" s="264"/>
      <c r="C761" s="264"/>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row>
    <row r="762">
      <c r="A762" s="264"/>
      <c r="B762" s="264"/>
      <c r="C762" s="264"/>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row>
    <row r="763">
      <c r="A763" s="264"/>
      <c r="B763" s="264"/>
      <c r="C763" s="264"/>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row>
    <row r="764">
      <c r="A764" s="264"/>
      <c r="B764" s="264"/>
      <c r="C764" s="264"/>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row>
    <row r="765">
      <c r="A765" s="264"/>
      <c r="B765" s="264"/>
      <c r="C765" s="264"/>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row>
    <row r="766">
      <c r="A766" s="264"/>
      <c r="B766" s="264"/>
      <c r="C766" s="264"/>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row>
    <row r="767">
      <c r="A767" s="264"/>
      <c r="B767" s="264"/>
      <c r="C767" s="264"/>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row>
    <row r="768">
      <c r="A768" s="264"/>
      <c r="B768" s="264"/>
      <c r="C768" s="264"/>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row>
    <row r="769">
      <c r="A769" s="264"/>
      <c r="B769" s="264"/>
      <c r="C769" s="264"/>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row>
    <row r="770">
      <c r="A770" s="264"/>
      <c r="B770" s="264"/>
      <c r="C770" s="264"/>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row>
    <row r="771">
      <c r="A771" s="264"/>
      <c r="B771" s="264"/>
      <c r="C771" s="264"/>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row>
    <row r="772">
      <c r="A772" s="264"/>
      <c r="B772" s="264"/>
      <c r="C772" s="264"/>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row>
    <row r="773">
      <c r="A773" s="264"/>
      <c r="B773" s="264"/>
      <c r="C773" s="264"/>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row>
    <row r="774">
      <c r="A774" s="264"/>
      <c r="B774" s="264"/>
      <c r="C774" s="264"/>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row>
    <row r="775">
      <c r="A775" s="264"/>
      <c r="B775" s="264"/>
      <c r="C775" s="264"/>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row>
    <row r="776">
      <c r="A776" s="264"/>
      <c r="B776" s="264"/>
      <c r="C776" s="264"/>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row>
    <row r="777">
      <c r="A777" s="264"/>
      <c r="B777" s="264"/>
      <c r="C777" s="264"/>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row>
    <row r="778">
      <c r="A778" s="264"/>
      <c r="B778" s="264"/>
      <c r="C778" s="264"/>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row>
    <row r="779">
      <c r="A779" s="264"/>
      <c r="B779" s="264"/>
      <c r="C779" s="264"/>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row>
    <row r="780">
      <c r="A780" s="264"/>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row>
    <row r="781">
      <c r="A781" s="264"/>
      <c r="B781" s="264"/>
      <c r="C781" s="264"/>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row>
    <row r="782">
      <c r="A782" s="264"/>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row>
    <row r="783">
      <c r="A783" s="264"/>
      <c r="B783" s="264"/>
      <c r="C783" s="264"/>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row>
    <row r="784">
      <c r="A784" s="264"/>
      <c r="B784" s="264"/>
      <c r="C784" s="264"/>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row>
    <row r="785">
      <c r="A785" s="264"/>
      <c r="B785" s="264"/>
      <c r="C785" s="264"/>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row>
    <row r="786">
      <c r="A786" s="264"/>
      <c r="B786" s="264"/>
      <c r="C786" s="264"/>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row>
    <row r="787">
      <c r="A787" s="264"/>
      <c r="B787" s="264"/>
      <c r="C787" s="264"/>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row>
    <row r="788">
      <c r="A788" s="264"/>
      <c r="B788" s="264"/>
      <c r="C788" s="264"/>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row>
    <row r="789">
      <c r="A789" s="264"/>
      <c r="B789" s="264"/>
      <c r="C789" s="264"/>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row>
    <row r="790">
      <c r="A790" s="264"/>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row>
    <row r="791">
      <c r="A791" s="264"/>
      <c r="B791" s="264"/>
      <c r="C791" s="264"/>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row>
    <row r="792">
      <c r="A792" s="264"/>
      <c r="B792" s="264"/>
      <c r="C792" s="264"/>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row>
    <row r="793">
      <c r="A793" s="264"/>
      <c r="B793" s="264"/>
      <c r="C793" s="264"/>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row>
    <row r="794">
      <c r="A794" s="264"/>
      <c r="B794" s="264"/>
      <c r="C794" s="264"/>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row>
    <row r="795">
      <c r="A795" s="264"/>
      <c r="B795" s="264"/>
      <c r="C795" s="264"/>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row>
    <row r="796">
      <c r="A796" s="264"/>
      <c r="B796" s="264"/>
      <c r="C796" s="264"/>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row>
    <row r="797">
      <c r="A797" s="264"/>
      <c r="B797" s="264"/>
      <c r="C797" s="264"/>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row>
    <row r="798">
      <c r="A798" s="264"/>
      <c r="B798" s="264"/>
      <c r="C798" s="264"/>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row>
    <row r="799">
      <c r="A799" s="264"/>
      <c r="B799" s="264"/>
      <c r="C799" s="264"/>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row>
    <row r="800">
      <c r="A800" s="264"/>
      <c r="B800" s="264"/>
      <c r="C800" s="264"/>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row>
    <row r="801">
      <c r="A801" s="264"/>
      <c r="B801" s="264"/>
      <c r="C801" s="264"/>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row>
    <row r="802">
      <c r="A802" s="264"/>
      <c r="B802" s="264"/>
      <c r="C802" s="264"/>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row>
    <row r="803">
      <c r="A803" s="264"/>
      <c r="B803" s="264"/>
      <c r="C803" s="264"/>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row>
    <row r="804">
      <c r="A804" s="264"/>
      <c r="B804" s="264"/>
      <c r="C804" s="264"/>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row>
    <row r="805">
      <c r="A805" s="264"/>
      <c r="B805" s="264"/>
      <c r="C805" s="264"/>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row>
    <row r="806">
      <c r="A806" s="264"/>
      <c r="B806" s="264"/>
      <c r="C806" s="264"/>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row>
    <row r="807">
      <c r="A807" s="264"/>
      <c r="B807" s="264"/>
      <c r="C807" s="264"/>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row>
    <row r="808">
      <c r="A808" s="264"/>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row>
    <row r="809">
      <c r="A809" s="264"/>
      <c r="B809" s="264"/>
      <c r="C809" s="264"/>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row>
    <row r="810">
      <c r="A810" s="264"/>
      <c r="B810" s="264"/>
      <c r="C810" s="264"/>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row>
    <row r="811">
      <c r="A811" s="264"/>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row>
    <row r="812">
      <c r="A812" s="264"/>
      <c r="B812" s="264"/>
      <c r="C812" s="264"/>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row>
    <row r="813">
      <c r="A813" s="264"/>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row>
    <row r="814">
      <c r="A814" s="264"/>
      <c r="B814" s="264"/>
      <c r="C814" s="264"/>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row>
    <row r="815">
      <c r="A815" s="264"/>
      <c r="B815" s="264"/>
      <c r="C815" s="264"/>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row>
    <row r="816">
      <c r="A816" s="264"/>
      <c r="B816" s="264"/>
      <c r="C816" s="264"/>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row>
    <row r="817">
      <c r="A817" s="264"/>
      <c r="B817" s="264"/>
      <c r="C817" s="264"/>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row>
    <row r="818">
      <c r="A818" s="264"/>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row>
    <row r="819">
      <c r="A819" s="264"/>
      <c r="B819" s="264"/>
      <c r="C819" s="264"/>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row>
    <row r="820">
      <c r="A820" s="264"/>
      <c r="B820" s="264"/>
      <c r="C820" s="264"/>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row>
    <row r="821">
      <c r="A821" s="264"/>
      <c r="B821" s="264"/>
      <c r="C821" s="264"/>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row>
    <row r="822">
      <c r="A822" s="264"/>
      <c r="B822" s="264"/>
      <c r="C822" s="264"/>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row>
    <row r="823">
      <c r="A823" s="264"/>
      <c r="B823" s="264"/>
      <c r="C823" s="264"/>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row>
    <row r="824">
      <c r="A824" s="264"/>
      <c r="B824" s="264"/>
      <c r="C824" s="264"/>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row>
    <row r="825">
      <c r="A825" s="264"/>
      <c r="B825" s="264"/>
      <c r="C825" s="264"/>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row>
    <row r="826">
      <c r="A826" s="264"/>
      <c r="B826" s="264"/>
      <c r="C826" s="264"/>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row>
    <row r="827">
      <c r="A827" s="264"/>
      <c r="B827" s="264"/>
      <c r="C827" s="264"/>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row>
    <row r="828">
      <c r="A828" s="264"/>
      <c r="B828" s="264"/>
      <c r="C828" s="264"/>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row>
    <row r="829">
      <c r="A829" s="264"/>
      <c r="B829" s="264"/>
      <c r="C829" s="264"/>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row>
    <row r="830">
      <c r="A830" s="264"/>
      <c r="B830" s="264"/>
      <c r="C830" s="264"/>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row>
    <row r="831">
      <c r="A831" s="264"/>
      <c r="B831" s="264"/>
      <c r="C831" s="264"/>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row>
    <row r="832">
      <c r="A832" s="264"/>
      <c r="B832" s="264"/>
      <c r="C832" s="264"/>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row>
    <row r="833">
      <c r="A833" s="264"/>
      <c r="B833" s="264"/>
      <c r="C833" s="264"/>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row>
    <row r="834">
      <c r="A834" s="264"/>
      <c r="B834" s="264"/>
      <c r="C834" s="264"/>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row>
    <row r="835">
      <c r="A835" s="264"/>
      <c r="B835" s="264"/>
      <c r="C835" s="264"/>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row>
    <row r="836">
      <c r="A836" s="264"/>
      <c r="B836" s="264"/>
      <c r="C836" s="264"/>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row>
    <row r="837">
      <c r="A837" s="264"/>
      <c r="B837" s="264"/>
      <c r="C837" s="264"/>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row>
    <row r="838">
      <c r="A838" s="264"/>
      <c r="B838" s="264"/>
      <c r="C838" s="264"/>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row>
    <row r="839">
      <c r="A839" s="264"/>
      <c r="B839" s="264"/>
      <c r="C839" s="264"/>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row>
    <row r="840">
      <c r="A840" s="264"/>
      <c r="B840" s="264"/>
      <c r="C840" s="264"/>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row>
    <row r="841">
      <c r="A841" s="264"/>
      <c r="B841" s="264"/>
      <c r="C841" s="264"/>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row>
    <row r="842">
      <c r="A842" s="264"/>
      <c r="B842" s="264"/>
      <c r="C842" s="264"/>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row>
    <row r="843">
      <c r="A843" s="264"/>
      <c r="B843" s="264"/>
      <c r="C843" s="264"/>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row>
    <row r="844">
      <c r="A844" s="264"/>
      <c r="B844" s="264"/>
      <c r="C844" s="264"/>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row>
    <row r="845">
      <c r="A845" s="264"/>
      <c r="B845" s="264"/>
      <c r="C845" s="264"/>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row>
    <row r="846">
      <c r="A846" s="264"/>
      <c r="B846" s="264"/>
      <c r="C846" s="264"/>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row>
    <row r="847">
      <c r="A847" s="264"/>
      <c r="B847" s="264"/>
      <c r="C847" s="264"/>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row>
    <row r="848">
      <c r="A848" s="264"/>
      <c r="B848" s="264"/>
      <c r="C848" s="264"/>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row>
    <row r="849">
      <c r="A849" s="264"/>
      <c r="B849" s="264"/>
      <c r="C849" s="264"/>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row>
    <row r="850">
      <c r="A850" s="264"/>
      <c r="B850" s="264"/>
      <c r="C850" s="264"/>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row>
    <row r="851">
      <c r="A851" s="264"/>
      <c r="B851" s="264"/>
      <c r="C851" s="264"/>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row>
    <row r="852">
      <c r="A852" s="264"/>
      <c r="B852" s="264"/>
      <c r="C852" s="264"/>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row>
    <row r="853">
      <c r="A853" s="264"/>
      <c r="B853" s="264"/>
      <c r="C853" s="264"/>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row>
    <row r="854">
      <c r="A854" s="264"/>
      <c r="B854" s="264"/>
      <c r="C854" s="264"/>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row>
    <row r="855">
      <c r="A855" s="264"/>
      <c r="B855" s="264"/>
      <c r="C855" s="264"/>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row>
    <row r="856">
      <c r="A856" s="264"/>
      <c r="B856" s="264"/>
      <c r="C856" s="264"/>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row>
    <row r="857">
      <c r="A857" s="264"/>
      <c r="B857" s="264"/>
      <c r="C857" s="264"/>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row>
    <row r="858">
      <c r="A858" s="264"/>
      <c r="B858" s="264"/>
      <c r="C858" s="264"/>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row>
    <row r="859">
      <c r="A859" s="264"/>
      <c r="B859" s="264"/>
      <c r="C859" s="264"/>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row>
    <row r="860">
      <c r="A860" s="264"/>
      <c r="B860" s="264"/>
      <c r="C860" s="264"/>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row>
    <row r="861">
      <c r="A861" s="264"/>
      <c r="B861" s="264"/>
      <c r="C861" s="264"/>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row>
    <row r="862">
      <c r="A862" s="264"/>
      <c r="B862" s="264"/>
      <c r="C862" s="264"/>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row>
    <row r="863">
      <c r="A863" s="264"/>
      <c r="B863" s="264"/>
      <c r="C863" s="264"/>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row>
    <row r="864">
      <c r="A864" s="264"/>
      <c r="B864" s="264"/>
      <c r="C864" s="264"/>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row>
    <row r="865">
      <c r="A865" s="264"/>
      <c r="B865" s="264"/>
      <c r="C865" s="264"/>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row>
    <row r="866">
      <c r="A866" s="264"/>
      <c r="B866" s="264"/>
      <c r="C866" s="264"/>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row>
    <row r="867">
      <c r="A867" s="264"/>
      <c r="B867" s="264"/>
      <c r="C867" s="264"/>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row>
    <row r="868">
      <c r="A868" s="264"/>
      <c r="B868" s="264"/>
      <c r="C868" s="264"/>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row>
    <row r="869">
      <c r="A869" s="264"/>
      <c r="B869" s="264"/>
      <c r="C869" s="264"/>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row>
    <row r="870">
      <c r="A870" s="264"/>
      <c r="B870" s="264"/>
      <c r="C870" s="264"/>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row>
    <row r="871">
      <c r="A871" s="264"/>
      <c r="B871" s="264"/>
      <c r="C871" s="264"/>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row>
    <row r="872">
      <c r="A872" s="264"/>
      <c r="B872" s="264"/>
      <c r="C872" s="264"/>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row>
    <row r="873">
      <c r="A873" s="264"/>
      <c r="B873" s="264"/>
      <c r="C873" s="264"/>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row>
    <row r="874">
      <c r="A874" s="264"/>
      <c r="B874" s="264"/>
      <c r="C874" s="264"/>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row>
    <row r="875">
      <c r="A875" s="264"/>
      <c r="B875" s="264"/>
      <c r="C875" s="264"/>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row>
    <row r="876">
      <c r="A876" s="264"/>
      <c r="B876" s="264"/>
      <c r="C876" s="264"/>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row>
    <row r="877">
      <c r="A877" s="264"/>
      <c r="B877" s="264"/>
      <c r="C877" s="264"/>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row>
    <row r="878">
      <c r="A878" s="264"/>
      <c r="B878" s="264"/>
      <c r="C878" s="264"/>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row>
    <row r="879">
      <c r="A879" s="264"/>
      <c r="B879" s="264"/>
      <c r="C879" s="264"/>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row>
    <row r="880">
      <c r="A880" s="264"/>
      <c r="B880" s="264"/>
      <c r="C880" s="264"/>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row>
    <row r="881">
      <c r="A881" s="264"/>
      <c r="B881" s="264"/>
      <c r="C881" s="264"/>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row>
    <row r="882">
      <c r="A882" s="264"/>
      <c r="B882" s="264"/>
      <c r="C882" s="264"/>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row>
    <row r="883">
      <c r="A883" s="264"/>
      <c r="B883" s="264"/>
      <c r="C883" s="264"/>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row>
    <row r="884">
      <c r="A884" s="264"/>
      <c r="B884" s="264"/>
      <c r="C884" s="264"/>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row>
    <row r="885">
      <c r="A885" s="264"/>
      <c r="B885" s="264"/>
      <c r="C885" s="264"/>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row>
    <row r="886">
      <c r="A886" s="264"/>
      <c r="B886" s="264"/>
      <c r="C886" s="264"/>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row>
    <row r="887">
      <c r="A887" s="264"/>
      <c r="B887" s="264"/>
      <c r="C887" s="264"/>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row>
    <row r="888">
      <c r="A888" s="264"/>
      <c r="B888" s="264"/>
      <c r="C888" s="264"/>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row>
    <row r="889">
      <c r="A889" s="264"/>
      <c r="B889" s="264"/>
      <c r="C889" s="264"/>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row>
    <row r="890">
      <c r="A890" s="264"/>
      <c r="B890" s="264"/>
      <c r="C890" s="264"/>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row>
    <row r="891">
      <c r="A891" s="264"/>
      <c r="B891" s="264"/>
      <c r="C891" s="264"/>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row>
    <row r="892">
      <c r="A892" s="264"/>
      <c r="B892" s="264"/>
      <c r="C892" s="264"/>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row>
    <row r="893">
      <c r="A893" s="264"/>
      <c r="B893" s="264"/>
      <c r="C893" s="264"/>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row>
    <row r="894">
      <c r="A894" s="264"/>
      <c r="B894" s="264"/>
      <c r="C894" s="264"/>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row>
    <row r="895">
      <c r="A895" s="264"/>
      <c r="B895" s="264"/>
      <c r="C895" s="264"/>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row>
    <row r="896">
      <c r="A896" s="264"/>
      <c r="B896" s="264"/>
      <c r="C896" s="264"/>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row>
    <row r="897">
      <c r="A897" s="264"/>
      <c r="B897" s="264"/>
      <c r="C897" s="264"/>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row>
    <row r="898">
      <c r="A898" s="264"/>
      <c r="B898" s="264"/>
      <c r="C898" s="264"/>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row>
    <row r="899">
      <c r="A899" s="264"/>
      <c r="B899" s="264"/>
      <c r="C899" s="264"/>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row>
    <row r="900">
      <c r="A900" s="264"/>
      <c r="B900" s="264"/>
      <c r="C900" s="264"/>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row>
    <row r="901">
      <c r="A901" s="264"/>
      <c r="B901" s="264"/>
      <c r="C901" s="264"/>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row>
    <row r="902">
      <c r="A902" s="264"/>
      <c r="B902" s="264"/>
      <c r="C902" s="264"/>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row>
    <row r="903">
      <c r="A903" s="264"/>
      <c r="B903" s="264"/>
      <c r="C903" s="264"/>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row>
    <row r="904">
      <c r="A904" s="264"/>
      <c r="B904" s="264"/>
      <c r="C904" s="264"/>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row>
    <row r="905">
      <c r="A905" s="264"/>
      <c r="B905" s="264"/>
      <c r="C905" s="264"/>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row>
    <row r="906">
      <c r="A906" s="264"/>
      <c r="B906" s="264"/>
      <c r="C906" s="264"/>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row>
    <row r="907">
      <c r="A907" s="264"/>
      <c r="B907" s="264"/>
      <c r="C907" s="264"/>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row>
    <row r="908">
      <c r="A908" s="264"/>
      <c r="B908" s="264"/>
      <c r="C908" s="264"/>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row>
    <row r="909">
      <c r="A909" s="264"/>
      <c r="B909" s="264"/>
      <c r="C909" s="264"/>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row>
    <row r="910">
      <c r="A910" s="264"/>
      <c r="B910" s="264"/>
      <c r="C910" s="264"/>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row>
    <row r="911">
      <c r="A911" s="264"/>
      <c r="B911" s="264"/>
      <c r="C911" s="264"/>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row>
    <row r="912">
      <c r="A912" s="264"/>
      <c r="B912" s="264"/>
      <c r="C912" s="264"/>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row>
    <row r="913">
      <c r="A913" s="264"/>
      <c r="B913" s="264"/>
      <c r="C913" s="264"/>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row>
    <row r="914">
      <c r="A914" s="264"/>
      <c r="B914" s="264"/>
      <c r="C914" s="264"/>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row>
    <row r="915">
      <c r="A915" s="264"/>
      <c r="B915" s="264"/>
      <c r="C915" s="264"/>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row>
    <row r="916">
      <c r="A916" s="264"/>
      <c r="B916" s="264"/>
      <c r="C916" s="264"/>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row>
    <row r="917">
      <c r="A917" s="264"/>
      <c r="B917" s="264"/>
      <c r="C917" s="264"/>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row>
    <row r="918">
      <c r="A918" s="264"/>
      <c r="B918" s="264"/>
      <c r="C918" s="264"/>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row>
    <row r="919">
      <c r="A919" s="264"/>
      <c r="B919" s="264"/>
      <c r="C919" s="264"/>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row>
    <row r="920">
      <c r="A920" s="264"/>
      <c r="B920" s="264"/>
      <c r="C920" s="264"/>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row>
    <row r="921">
      <c r="A921" s="264"/>
      <c r="B921" s="264"/>
      <c r="C921" s="264"/>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row>
    <row r="922">
      <c r="A922" s="264"/>
      <c r="B922" s="264"/>
      <c r="C922" s="264"/>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row>
    <row r="923">
      <c r="A923" s="264"/>
      <c r="B923" s="264"/>
      <c r="C923" s="264"/>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row>
    <row r="924">
      <c r="A924" s="264"/>
      <c r="B924" s="264"/>
      <c r="C924" s="264"/>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row>
    <row r="925">
      <c r="A925" s="264"/>
      <c r="B925" s="264"/>
      <c r="C925" s="264"/>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row>
    <row r="926">
      <c r="A926" s="264"/>
      <c r="B926" s="264"/>
      <c r="C926" s="264"/>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row>
    <row r="927">
      <c r="A927" s="264"/>
      <c r="B927" s="264"/>
      <c r="C927" s="264"/>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row>
    <row r="928">
      <c r="A928" s="264"/>
      <c r="B928" s="264"/>
      <c r="C928" s="264"/>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row>
    <row r="929">
      <c r="A929" s="264"/>
      <c r="B929" s="264"/>
      <c r="C929" s="264"/>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row>
    <row r="930">
      <c r="A930" s="264"/>
      <c r="B930" s="264"/>
      <c r="C930" s="264"/>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row>
    <row r="931">
      <c r="A931" s="264"/>
      <c r="B931" s="264"/>
      <c r="C931" s="264"/>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row>
    <row r="932">
      <c r="A932" s="264"/>
      <c r="B932" s="264"/>
      <c r="C932" s="264"/>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row>
    <row r="933">
      <c r="A933" s="264"/>
      <c r="B933" s="264"/>
      <c r="C933" s="264"/>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row>
    <row r="934">
      <c r="A934" s="264"/>
      <c r="B934" s="264"/>
      <c r="C934" s="264"/>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row>
    <row r="935">
      <c r="A935" s="264"/>
      <c r="B935" s="264"/>
      <c r="C935" s="264"/>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row>
    <row r="936">
      <c r="A936" s="264"/>
      <c r="B936" s="264"/>
      <c r="C936" s="264"/>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row>
    <row r="937">
      <c r="A937" s="264"/>
      <c r="B937" s="264"/>
      <c r="C937" s="264"/>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row>
    <row r="938">
      <c r="A938" s="264"/>
      <c r="B938" s="264"/>
      <c r="C938" s="264"/>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row>
    <row r="939">
      <c r="A939" s="264"/>
      <c r="B939" s="264"/>
      <c r="C939" s="264"/>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row>
    <row r="940">
      <c r="A940" s="264"/>
      <c r="B940" s="264"/>
      <c r="C940" s="264"/>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row>
    <row r="941">
      <c r="A941" s="264"/>
      <c r="B941" s="264"/>
      <c r="C941" s="264"/>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row>
    <row r="942">
      <c r="A942" s="264"/>
      <c r="B942" s="264"/>
      <c r="C942" s="264"/>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row>
    <row r="943">
      <c r="A943" s="264"/>
      <c r="B943" s="264"/>
      <c r="C943" s="264"/>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row>
    <row r="944">
      <c r="A944" s="264"/>
      <c r="B944" s="264"/>
      <c r="C944" s="264"/>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row>
    <row r="945">
      <c r="A945" s="264"/>
      <c r="B945" s="264"/>
      <c r="C945" s="264"/>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row>
    <row r="946">
      <c r="A946" s="264"/>
      <c r="B946" s="264"/>
      <c r="C946" s="264"/>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row>
    <row r="947">
      <c r="A947" s="264"/>
      <c r="B947" s="264"/>
      <c r="C947" s="264"/>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row>
    <row r="948">
      <c r="A948" s="264"/>
      <c r="B948" s="264"/>
      <c r="C948" s="264"/>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row>
    <row r="949">
      <c r="A949" s="264"/>
      <c r="B949" s="264"/>
      <c r="C949" s="264"/>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row>
    <row r="950">
      <c r="A950" s="264"/>
      <c r="B950" s="264"/>
      <c r="C950" s="264"/>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row>
    <row r="951">
      <c r="A951" s="264"/>
      <c r="B951" s="264"/>
      <c r="C951" s="264"/>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row>
    <row r="952">
      <c r="A952" s="264"/>
      <c r="B952" s="264"/>
      <c r="C952" s="264"/>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row>
    <row r="953">
      <c r="A953" s="264"/>
      <c r="B953" s="264"/>
      <c r="C953" s="264"/>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row>
    <row r="954">
      <c r="A954" s="264"/>
      <c r="B954" s="264"/>
      <c r="C954" s="264"/>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row>
    <row r="955">
      <c r="A955" s="264"/>
      <c r="B955" s="264"/>
      <c r="C955" s="264"/>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row>
    <row r="956">
      <c r="A956" s="264"/>
      <c r="B956" s="264"/>
      <c r="C956" s="264"/>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row>
    <row r="957">
      <c r="A957" s="264"/>
      <c r="B957" s="264"/>
      <c r="C957" s="264"/>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row>
    <row r="958">
      <c r="A958" s="264"/>
      <c r="B958" s="264"/>
      <c r="C958" s="264"/>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row>
    <row r="959">
      <c r="A959" s="264"/>
      <c r="B959" s="264"/>
      <c r="C959" s="264"/>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row>
    <row r="960">
      <c r="A960" s="264"/>
      <c r="B960" s="264"/>
      <c r="C960" s="264"/>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row>
    <row r="961">
      <c r="A961" s="264"/>
      <c r="B961" s="264"/>
      <c r="C961" s="264"/>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row>
    <row r="962">
      <c r="A962" s="264"/>
      <c r="B962" s="264"/>
      <c r="C962" s="264"/>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row>
    <row r="963">
      <c r="A963" s="264"/>
      <c r="B963" s="264"/>
      <c r="C963" s="264"/>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row>
    <row r="964">
      <c r="A964" s="264"/>
      <c r="B964" s="264"/>
      <c r="C964" s="264"/>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row>
    <row r="965">
      <c r="A965" s="264"/>
      <c r="B965" s="264"/>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row>
    <row r="966">
      <c r="A966" s="264"/>
      <c r="B966" s="264"/>
      <c r="C966" s="264"/>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row>
    <row r="967">
      <c r="A967" s="264"/>
      <c r="B967" s="264"/>
      <c r="C967" s="264"/>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row>
    <row r="968">
      <c r="A968" s="264"/>
      <c r="B968" s="264"/>
      <c r="C968" s="264"/>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row>
    <row r="969">
      <c r="A969" s="264"/>
      <c r="B969" s="264"/>
      <c r="C969" s="264"/>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row>
    <row r="970">
      <c r="A970" s="264"/>
      <c r="B970" s="264"/>
      <c r="C970" s="264"/>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row>
    <row r="971">
      <c r="A971" s="264"/>
      <c r="B971" s="264"/>
      <c r="C971" s="264"/>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row>
    <row r="972">
      <c r="A972" s="264"/>
      <c r="B972" s="264"/>
      <c r="C972" s="264"/>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row>
    <row r="973">
      <c r="A973" s="264"/>
      <c r="B973" s="264"/>
      <c r="C973" s="264"/>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row>
    <row r="974">
      <c r="A974" s="264"/>
      <c r="B974" s="264"/>
      <c r="C974" s="264"/>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row>
    <row r="975">
      <c r="A975" s="264"/>
      <c r="B975" s="264"/>
      <c r="C975" s="264"/>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row>
    <row r="976">
      <c r="A976" s="264"/>
      <c r="B976" s="264"/>
      <c r="C976" s="264"/>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row>
    <row r="977">
      <c r="A977" s="264"/>
      <c r="B977" s="264"/>
      <c r="C977" s="264"/>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row>
    <row r="978">
      <c r="A978" s="264"/>
      <c r="B978" s="264"/>
      <c r="C978" s="264"/>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row>
    <row r="979">
      <c r="A979" s="264"/>
      <c r="B979" s="264"/>
      <c r="C979" s="264"/>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row>
    <row r="980">
      <c r="A980" s="264"/>
      <c r="B980" s="264"/>
      <c r="C980" s="264"/>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row>
    <row r="981">
      <c r="A981" s="264"/>
      <c r="B981" s="264"/>
      <c r="C981" s="264"/>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row>
    <row r="982">
      <c r="A982" s="264"/>
      <c r="B982" s="264"/>
      <c r="C982" s="264"/>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row>
    <row r="983">
      <c r="A983" s="264"/>
      <c r="B983" s="264"/>
      <c r="C983" s="264"/>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row>
    <row r="984">
      <c r="A984" s="264"/>
      <c r="B984" s="264"/>
      <c r="C984" s="264"/>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row>
    <row r="985">
      <c r="A985" s="264"/>
      <c r="B985" s="264"/>
      <c r="C985" s="264"/>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row>
    <row r="986">
      <c r="A986" s="264"/>
      <c r="B986" s="264"/>
      <c r="C986" s="264"/>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row>
    <row r="987">
      <c r="A987" s="264"/>
      <c r="B987" s="264"/>
      <c r="C987" s="264"/>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row>
    <row r="988">
      <c r="A988" s="264"/>
      <c r="B988" s="264"/>
      <c r="C988" s="264"/>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row>
    <row r="989">
      <c r="A989" s="264"/>
      <c r="B989" s="264"/>
      <c r="C989" s="264"/>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row>
    <row r="990">
      <c r="A990" s="264"/>
      <c r="B990" s="264"/>
      <c r="C990" s="264"/>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row>
    <row r="991">
      <c r="A991" s="264"/>
      <c r="B991" s="264"/>
      <c r="C991" s="264"/>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row>
    <row r="992">
      <c r="A992" s="264"/>
      <c r="B992" s="264"/>
      <c r="C992" s="264"/>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row>
    <row r="993">
      <c r="A993" s="264"/>
      <c r="B993" s="264"/>
      <c r="C993" s="264"/>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row>
    <row r="994">
      <c r="A994" s="264"/>
      <c r="B994" s="264"/>
      <c r="C994" s="264"/>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row>
    <row r="995">
      <c r="A995" s="264"/>
      <c r="B995" s="264"/>
      <c r="C995" s="264"/>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row>
    <row r="996">
      <c r="A996" s="264"/>
      <c r="B996" s="264"/>
      <c r="C996" s="264"/>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row>
    <row r="997">
      <c r="A997" s="264"/>
      <c r="B997" s="264"/>
      <c r="C997" s="264"/>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row>
    <row r="998">
      <c r="A998" s="264"/>
      <c r="B998" s="264"/>
      <c r="C998" s="264"/>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row>
    <row r="999">
      <c r="A999" s="264"/>
      <c r="B999" s="264"/>
      <c r="C999" s="264"/>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row>
    <row r="1000">
      <c r="A1000" s="264"/>
      <c r="B1000" s="264"/>
      <c r="C1000" s="264"/>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c r="Y1000" s="264"/>
      <c r="Z1000" s="264"/>
    </row>
  </sheetData>
  <conditionalFormatting sqref="A2:H104">
    <cfRule type="expression" dxfId="8" priority="1">
      <formula>$I2="Vinland"</formula>
    </cfRule>
  </conditionalFormatting>
  <conditionalFormatting sqref="A2:H104">
    <cfRule type="expression" dxfId="9" priority="2">
      <formula>$I2="Teaching"</formula>
    </cfRule>
  </conditionalFormatting>
  <conditionalFormatting sqref="A2:H104">
    <cfRule type="expression" dxfId="10" priority="3">
      <formula>$I2="Icelandic"</formula>
    </cfRule>
  </conditionalFormatting>
  <conditionalFormatting sqref="A2:H104">
    <cfRule type="expression" dxfId="11" priority="4">
      <formula>$I2="Turf-to-Tools"</formula>
    </cfRule>
  </conditionalFormatting>
  <conditionalFormatting sqref="A2:H104">
    <cfRule type="expression" dxfId="12" priority="5">
      <formula>$I2="Air"</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2.71"/>
    <col customWidth="1" min="2" max="2" width="16.86"/>
    <col customWidth="1" min="3" max="3" width="12.0"/>
    <col customWidth="1" min="6" max="6" width="23.14"/>
    <col customWidth="1" min="7" max="7" width="8.29"/>
    <col customWidth="1" min="8" max="8" width="7.86"/>
    <col customWidth="1" min="9" max="9" width="8.71"/>
    <col customWidth="1" min="10" max="10" width="9.86"/>
    <col customWidth="1" min="11" max="11" width="7.57"/>
    <col customWidth="1" min="12" max="12" width="11.29"/>
    <col customWidth="1" min="13" max="13" width="10.71"/>
  </cols>
  <sheetData>
    <row r="1">
      <c r="A1" s="228" t="str">
        <f>Raw!A1</f>
        <v>Reference</v>
      </c>
      <c r="B1" s="229" t="str">
        <f>Raw!B1</f>
        <v>Name</v>
      </c>
      <c r="C1" s="230" t="str">
        <f>Raw!E1</f>
        <v>Date</v>
      </c>
      <c r="D1" s="229" t="str">
        <f>Raw!F1</f>
        <v>Period</v>
      </c>
      <c r="E1" s="229" t="str">
        <f>Raw!I1</f>
        <v>Furnace Type</v>
      </c>
      <c r="F1" s="229" t="str">
        <f>Raw!J1</f>
        <v>Construction</v>
      </c>
      <c r="G1" s="229" t="str">
        <f>Display_All!N1</f>
        <v>Shaft Ht Used (cm)</v>
      </c>
      <c r="H1" s="229" t="str">
        <f>Display_All!O1</f>
        <v>Stack Ht (cm)</v>
      </c>
      <c r="I1" s="229" t="str">
        <f>Display_All!P1</f>
        <v>Ext. Dia (cm)</v>
      </c>
      <c r="J1" s="229" t="str">
        <f>Display_All!Q1</f>
        <v>Int. Dia (cm)</v>
      </c>
      <c r="K1" s="229" t="str">
        <f>Display_All!R1</f>
        <v>Tuyere Dia (cm)</v>
      </c>
      <c r="L1" s="229" t="str">
        <f>Display_All!T1</f>
        <v>Thickness (cm)</v>
      </c>
      <c r="M1" s="229" t="str">
        <f>Display_All!U1</f>
        <v>Arch Size (cm wxh)</v>
      </c>
      <c r="N1" s="287" t="str">
        <f>Display_All!Z1</f>
        <v>Base Type</v>
      </c>
      <c r="O1" s="288" t="str">
        <f>Raw!H1</f>
        <v>Expt Group</v>
      </c>
      <c r="P1" s="288" t="str">
        <f>Raw!G1</f>
        <v>Demo</v>
      </c>
    </row>
    <row r="2">
      <c r="A2" s="238">
        <f>Raw!A2</f>
        <v>1</v>
      </c>
      <c r="B2" s="239" t="str">
        <f>Raw!B2</f>
        <v>Vinland Theory</v>
      </c>
      <c r="C2" s="240">
        <f>Raw!E2</f>
        <v>37069</v>
      </c>
      <c r="D2" s="239" t="str">
        <f>Raw!F2</f>
        <v>Viking Age</v>
      </c>
      <c r="E2" s="239" t="str">
        <f>Raw!I2</f>
        <v>boxed bowl</v>
      </c>
      <c r="F2" s="239" t="str">
        <f>Raw!J2</f>
        <v>stone slabs, clay seal</v>
      </c>
      <c r="G2" s="239">
        <f>Display_All!N2</f>
        <v>50</v>
      </c>
      <c r="H2" s="239">
        <f>Display_All!O2</f>
        <v>42</v>
      </c>
      <c r="I2" s="239" t="str">
        <f>Display_All!P2</f>
        <v>NR</v>
      </c>
      <c r="J2" s="239" t="str">
        <f>Display_All!Q2</f>
        <v>35 x 30</v>
      </c>
      <c r="K2" s="239" t="str">
        <f>Display_All!R2</f>
        <v/>
      </c>
      <c r="L2" s="239" t="str">
        <f>Display_All!T2</f>
        <v>na</v>
      </c>
      <c r="M2" s="239" t="str">
        <f>Display_All!U2</f>
        <v>none</v>
      </c>
      <c r="N2" s="278" t="str">
        <f>Display_All!Z2</f>
        <v>natural</v>
      </c>
      <c r="O2" s="264" t="str">
        <f>Raw!H2</f>
        <v>Vinland</v>
      </c>
      <c r="P2" s="264" t="str">
        <f>Raw!G2</f>
        <v>N</v>
      </c>
    </row>
    <row r="3">
      <c r="A3" s="249" t="str">
        <f>Raw!A3</f>
        <v>2 / D1</v>
      </c>
      <c r="B3" s="250" t="str">
        <f>Raw!B3</f>
        <v>Vinland Theory</v>
      </c>
      <c r="C3" s="251">
        <f>Raw!E3</f>
        <v>37402</v>
      </c>
      <c r="D3" s="250" t="str">
        <f>Raw!F3</f>
        <v>Viking Age</v>
      </c>
      <c r="E3" s="250" t="str">
        <f>Raw!I3</f>
        <v>boxed bowl</v>
      </c>
      <c r="F3" s="250" t="str">
        <f>Raw!J3</f>
        <v>stone slabs, clay seal</v>
      </c>
      <c r="G3" s="250">
        <f>Display_All!N3</f>
        <v>40</v>
      </c>
      <c r="H3" s="250">
        <f>Display_All!O3</f>
        <v>30</v>
      </c>
      <c r="I3" s="250" t="str">
        <f>Display_All!P3</f>
        <v>NR</v>
      </c>
      <c r="J3" s="250" t="str">
        <f>Display_All!Q3</f>
        <v>45 x 40</v>
      </c>
      <c r="K3" s="250" t="str">
        <f>Display_All!R3</f>
        <v/>
      </c>
      <c r="L3" s="250" t="str">
        <f>Display_All!T3</f>
        <v>na</v>
      </c>
      <c r="M3" s="250" t="str">
        <f>Display_All!U3</f>
        <v>none</v>
      </c>
      <c r="N3" s="279" t="str">
        <f>Display_All!Z3</f>
        <v>natural</v>
      </c>
      <c r="O3" s="264" t="str">
        <f>Raw!H3</f>
        <v>Vinland</v>
      </c>
      <c r="P3" s="264" t="str">
        <f>Raw!G3</f>
        <v>N</v>
      </c>
    </row>
    <row r="4">
      <c r="A4" s="249" t="str">
        <f>Raw!A4</f>
        <v>3 / D2</v>
      </c>
      <c r="B4" s="250" t="str">
        <f>Raw!B4</f>
        <v>Taller Stack</v>
      </c>
      <c r="C4" s="251">
        <f>Raw!E4</f>
        <v>37778</v>
      </c>
      <c r="D4" s="250" t="str">
        <f>Raw!F4</f>
        <v>Romano British</v>
      </c>
      <c r="E4" s="250" t="str">
        <f>Raw!D4</f>
        <v>Wareham ON</v>
      </c>
      <c r="F4" s="250" t="str">
        <f>Raw!F4</f>
        <v>Romano British</v>
      </c>
      <c r="G4" s="250">
        <f>Display_All!N4</f>
        <v>90</v>
      </c>
      <c r="H4" s="250">
        <f>Display_All!O4</f>
        <v>55</v>
      </c>
      <c r="I4" s="250">
        <f>Display_All!P4</f>
        <v>35</v>
      </c>
      <c r="J4" s="250" t="str">
        <f>Display_All!Q4</f>
        <v>27 to 24</v>
      </c>
      <c r="K4" s="250" t="str">
        <f>Display_All!R4</f>
        <v>26 (E)</v>
      </c>
      <c r="L4" s="250">
        <f>Display_All!T4</f>
        <v>5</v>
      </c>
      <c r="M4" s="250" t="str">
        <f>Display_All!U4</f>
        <v>15 x 20</v>
      </c>
      <c r="N4" s="279" t="str">
        <f>Display_All!Z4</f>
        <v>natural</v>
      </c>
      <c r="O4" s="264" t="str">
        <f>Raw!H4</f>
        <v/>
      </c>
      <c r="P4" s="264" t="str">
        <f>Raw!G4</f>
        <v>N</v>
      </c>
    </row>
    <row r="5">
      <c r="A5" s="249" t="str">
        <f>Raw!A5</f>
        <v>4 / D3</v>
      </c>
      <c r="B5" s="250" t="str">
        <f>Raw!B5</f>
        <v>Low Stack</v>
      </c>
      <c r="C5" s="251">
        <f>Raw!E5</f>
        <v>38150</v>
      </c>
      <c r="D5" s="250" t="str">
        <f>Raw!F5</f>
        <v>Viking Age</v>
      </c>
      <c r="E5" s="250" t="str">
        <f>Raw!D5</f>
        <v>Wareham ON</v>
      </c>
      <c r="F5" s="250" t="str">
        <f>Raw!F5</f>
        <v>Viking Age</v>
      </c>
      <c r="G5" s="250">
        <f>Display_All!N5</f>
        <v>55</v>
      </c>
      <c r="H5" s="250">
        <f>Display_All!O5</f>
        <v>50</v>
      </c>
      <c r="I5" s="250">
        <f>Display_All!P5</f>
        <v>45</v>
      </c>
      <c r="J5" s="250">
        <f>Display_All!Q5</f>
        <v>25</v>
      </c>
      <c r="K5" s="250" t="str">
        <f>Display_All!R5</f>
        <v/>
      </c>
      <c r="L5" s="250" t="str">
        <f>Display_All!T5</f>
        <v>10 +</v>
      </c>
      <c r="M5" s="250" t="str">
        <f>Display_All!U5</f>
        <v>none</v>
      </c>
      <c r="N5" s="279" t="str">
        <f>Display_All!Z5</f>
        <v>natural</v>
      </c>
      <c r="O5" s="264" t="str">
        <f>Raw!H5</f>
        <v/>
      </c>
      <c r="P5" s="264" t="str">
        <f>Raw!G5</f>
        <v>N</v>
      </c>
    </row>
    <row r="6">
      <c r="A6" s="249">
        <f>Raw!A6</f>
        <v>5</v>
      </c>
      <c r="B6" s="250" t="str">
        <f>Raw!B6</f>
        <v>Early Iron 1</v>
      </c>
      <c r="C6" s="251">
        <f>Raw!E6</f>
        <v>38271</v>
      </c>
      <c r="D6" s="250" t="str">
        <f>Raw!F6</f>
        <v>Viking Age</v>
      </c>
      <c r="E6" s="250" t="str">
        <f>Raw!D6</f>
        <v>Cooperstown NY</v>
      </c>
      <c r="F6" s="250" t="str">
        <f>Raw!F6</f>
        <v>Viking Age</v>
      </c>
      <c r="G6" s="250">
        <f>Display_All!N6</f>
        <v>60</v>
      </c>
      <c r="H6" s="250">
        <f>Display_All!O6</f>
        <v>46</v>
      </c>
      <c r="I6" s="250">
        <f>Display_All!P6</f>
        <v>70</v>
      </c>
      <c r="J6" s="250" t="str">
        <f>Display_All!Q6</f>
        <v>28 to 27</v>
      </c>
      <c r="K6" s="250">
        <f>Display_All!R6</f>
        <v>27</v>
      </c>
      <c r="L6" s="250" t="str">
        <f>Display_All!T6</f>
        <v>8 varies</v>
      </c>
      <c r="M6" s="250" t="str">
        <f>Display_All!U6</f>
        <v>none</v>
      </c>
      <c r="N6" s="279" t="str">
        <f>Display_All!Z6</f>
        <v>charcoal fines</v>
      </c>
      <c r="O6" s="264" t="str">
        <f>Raw!H6</f>
        <v/>
      </c>
      <c r="P6" s="264" t="str">
        <f>Raw!G6</f>
        <v>Y</v>
      </c>
    </row>
    <row r="7">
      <c r="A7" s="249" t="str">
        <f>Raw!A7</f>
        <v>6 / D4</v>
      </c>
      <c r="B7" s="250" t="str">
        <f>Raw!B7</f>
        <v>Econo Norse test</v>
      </c>
      <c r="C7" s="251">
        <f>Raw!E7</f>
        <v>38283</v>
      </c>
      <c r="D7" s="250" t="str">
        <f>Raw!F7</f>
        <v>modern</v>
      </c>
      <c r="E7" s="250" t="str">
        <f>Raw!D7</f>
        <v>Wareham ON</v>
      </c>
      <c r="F7" s="250" t="str">
        <f>Raw!F7</f>
        <v>modern</v>
      </c>
      <c r="G7" s="250">
        <f>Display_All!N7</f>
        <v>68</v>
      </c>
      <c r="H7" s="250">
        <f>Display_All!O7</f>
        <v>45</v>
      </c>
      <c r="I7" s="250">
        <f>Display_All!P7</f>
        <v>55</v>
      </c>
      <c r="J7" s="250">
        <f>Display_All!Q7</f>
        <v>35</v>
      </c>
      <c r="K7" s="250" t="str">
        <f>Display_All!R7</f>
        <v/>
      </c>
      <c r="L7" s="250" t="str">
        <f>Display_All!T7</f>
        <v>7.5 +</v>
      </c>
      <c r="M7" s="250" t="str">
        <f>Display_All!U7</f>
        <v>none</v>
      </c>
      <c r="N7" s="279" t="str">
        <f>Display_All!Z7</f>
        <v>none</v>
      </c>
      <c r="O7" s="264" t="str">
        <f>Raw!H7</f>
        <v/>
      </c>
      <c r="P7" s="264" t="str">
        <f>Raw!G7</f>
        <v>N</v>
      </c>
    </row>
    <row r="8">
      <c r="A8" s="249">
        <f>Raw!A8</f>
        <v>7</v>
      </c>
      <c r="B8" s="250" t="str">
        <f>Raw!B8</f>
        <v>Econo Norse test</v>
      </c>
      <c r="C8" s="251">
        <f>Raw!E8</f>
        <v>38408</v>
      </c>
      <c r="D8" s="250" t="str">
        <f>Raw!F8</f>
        <v>modern</v>
      </c>
      <c r="E8" s="250" t="str">
        <f>Raw!D8</f>
        <v>Lexington VA</v>
      </c>
      <c r="F8" s="250" t="str">
        <f>Raw!F8</f>
        <v>modern</v>
      </c>
      <c r="G8" s="250">
        <f>Display_All!N8</f>
        <v>60</v>
      </c>
      <c r="H8" s="250">
        <f>Display_All!O8</f>
        <v>40</v>
      </c>
      <c r="I8" s="250">
        <f>Display_All!P8</f>
        <v>50</v>
      </c>
      <c r="J8" s="250">
        <f>Display_All!Q8</f>
        <v>25</v>
      </c>
      <c r="K8" s="250" t="str">
        <f>Display_All!R8</f>
        <v/>
      </c>
      <c r="L8" s="250" t="str">
        <f>Display_All!T8</f>
        <v>7.5 +</v>
      </c>
      <c r="M8" s="250" t="str">
        <f>Display_All!U8</f>
        <v>10 x 15</v>
      </c>
      <c r="N8" s="279" t="str">
        <f>Display_All!Z8</f>
        <v>charcoal fines</v>
      </c>
      <c r="O8" s="264" t="str">
        <f>Raw!H8</f>
        <v/>
      </c>
      <c r="P8" s="264" t="str">
        <f>Raw!G8</f>
        <v>N</v>
      </c>
    </row>
    <row r="9">
      <c r="A9" s="249">
        <f>Raw!A9</f>
        <v>8</v>
      </c>
      <c r="B9" s="250" t="str">
        <f>Raw!B9</f>
        <v>Econo Norse test</v>
      </c>
      <c r="C9" s="251">
        <f>Raw!E9</f>
        <v>38410</v>
      </c>
      <c r="D9" s="250" t="str">
        <f>Raw!F9</f>
        <v>modern</v>
      </c>
      <c r="E9" s="250" t="str">
        <f>Raw!D9</f>
        <v>Lexington VA</v>
      </c>
      <c r="F9" s="250" t="str">
        <f>Raw!F9</f>
        <v>modern</v>
      </c>
      <c r="G9" s="250">
        <f>Display_All!N9</f>
        <v>60</v>
      </c>
      <c r="H9" s="250">
        <f>Display_All!O9</f>
        <v>40</v>
      </c>
      <c r="I9" s="250">
        <f>Display_All!P9</f>
        <v>50</v>
      </c>
      <c r="J9" s="250">
        <f>Display_All!Q9</f>
        <v>25</v>
      </c>
      <c r="K9" s="250" t="str">
        <f>Display_All!R9</f>
        <v/>
      </c>
      <c r="L9" s="250" t="str">
        <f>Display_All!T9</f>
        <v>7.5 +</v>
      </c>
      <c r="M9" s="250" t="str">
        <f>Display_All!U9</f>
        <v>10 x 15</v>
      </c>
      <c r="N9" s="279" t="str">
        <f>Display_All!Z9</f>
        <v>charcoal fines</v>
      </c>
      <c r="O9" s="264" t="str">
        <f>Raw!H9</f>
        <v/>
      </c>
      <c r="P9" s="264" t="str">
        <f>Raw!G9</f>
        <v>N</v>
      </c>
    </row>
    <row r="10">
      <c r="A10" s="249">
        <f>Raw!A10</f>
        <v>9</v>
      </c>
      <c r="B10" s="250" t="str">
        <f>Raw!B10</f>
        <v>OABA demo</v>
      </c>
      <c r="C10" s="251">
        <f>Raw!E10</f>
        <v>38486</v>
      </c>
      <c r="D10" s="250" t="str">
        <f>Raw!F10</f>
        <v>modern</v>
      </c>
      <c r="E10" s="250" t="str">
        <f>Raw!D10</f>
        <v>Wareham ON</v>
      </c>
      <c r="F10" s="250" t="str">
        <f>Raw!F10</f>
        <v>modern</v>
      </c>
      <c r="G10" s="250">
        <f>Display_All!N10</f>
        <v>60</v>
      </c>
      <c r="H10" s="250">
        <f>Display_All!O10</f>
        <v>40</v>
      </c>
      <c r="I10" s="250">
        <f>Display_All!P10</f>
        <v>50</v>
      </c>
      <c r="J10" s="250">
        <f>Display_All!Q10</f>
        <v>25</v>
      </c>
      <c r="K10" s="250" t="str">
        <f>Display_All!R10</f>
        <v/>
      </c>
      <c r="L10" s="250" t="str">
        <f>Display_All!T10</f>
        <v>7.5 +</v>
      </c>
      <c r="M10" s="250" t="str">
        <f>Display_All!U10</f>
        <v>10 x 15 E</v>
      </c>
      <c r="N10" s="279" t="str">
        <f>Display_All!Z10</f>
        <v>charcoal fines</v>
      </c>
      <c r="O10" s="264" t="str">
        <f>Raw!H10</f>
        <v/>
      </c>
      <c r="P10" s="264" t="str">
        <f>Raw!G10</f>
        <v>Y</v>
      </c>
    </row>
    <row r="11">
      <c r="A11" s="249" t="str">
        <f>Raw!A11</f>
        <v>10 / D5</v>
      </c>
      <c r="B11" s="250" t="str">
        <f>Raw!B11</f>
        <v>CanIRON test</v>
      </c>
      <c r="C11" s="251">
        <f>Raw!E11</f>
        <v>38514</v>
      </c>
      <c r="D11" s="250" t="str">
        <f>Raw!F11</f>
        <v>Viking Age</v>
      </c>
      <c r="E11" s="250" t="str">
        <f>Raw!D11</f>
        <v>Wareham ON</v>
      </c>
      <c r="F11" s="250" t="str">
        <f>Raw!F11</f>
        <v>Viking Age</v>
      </c>
      <c r="G11" s="250">
        <f>Display_All!N11</f>
        <v>60</v>
      </c>
      <c r="H11" s="250">
        <f>Display_All!O11</f>
        <v>46</v>
      </c>
      <c r="I11" s="250">
        <f>Display_All!P11</f>
        <v>40</v>
      </c>
      <c r="J11" s="250">
        <f>Display_All!Q11</f>
        <v>25</v>
      </c>
      <c r="K11" s="250" t="str">
        <f>Display_All!R11</f>
        <v/>
      </c>
      <c r="L11" s="250">
        <f>Display_All!T11</f>
        <v>7.5</v>
      </c>
      <c r="M11" s="250" t="str">
        <f>Display_All!U11</f>
        <v>10 x 15</v>
      </c>
      <c r="N11" s="279" t="str">
        <f>Display_All!Z11</f>
        <v>charcoal fines</v>
      </c>
      <c r="O11" s="264" t="str">
        <f>Raw!H11</f>
        <v/>
      </c>
      <c r="P11" s="264" t="str">
        <f>Raw!G11</f>
        <v>N</v>
      </c>
    </row>
    <row r="12">
      <c r="A12" s="249" t="str">
        <f>Raw!A12</f>
        <v>11 / D6</v>
      </c>
      <c r="B12" s="250" t="str">
        <f>Raw!B12</f>
        <v>CanIRON 5</v>
      </c>
      <c r="C12" s="251">
        <f>Raw!E12</f>
        <v>38596</v>
      </c>
      <c r="D12" s="250" t="str">
        <f>Raw!F12</f>
        <v>Viking Age</v>
      </c>
      <c r="E12" s="250" t="str">
        <f>Raw!D12</f>
        <v>Annapolis Royal NS</v>
      </c>
      <c r="F12" s="250" t="str">
        <f>Raw!F12</f>
        <v>Viking Age</v>
      </c>
      <c r="G12" s="250">
        <f>Display_All!N12</f>
        <v>60</v>
      </c>
      <c r="H12" s="250">
        <f>Display_All!O12</f>
        <v>46</v>
      </c>
      <c r="I12" s="250">
        <f>Display_All!P12</f>
        <v>40</v>
      </c>
      <c r="J12" s="250">
        <f>Display_All!Q12</f>
        <v>25</v>
      </c>
      <c r="K12" s="250" t="str">
        <f>Display_All!R12</f>
        <v/>
      </c>
      <c r="L12" s="250">
        <f>Display_All!T12</f>
        <v>7.5</v>
      </c>
      <c r="M12" s="250" t="str">
        <f>Display_All!U12</f>
        <v>10 x 15 E</v>
      </c>
      <c r="N12" s="279" t="str">
        <f>Display_All!Z12</f>
        <v>charcoal fines</v>
      </c>
      <c r="O12" s="264" t="str">
        <f>Raw!H12</f>
        <v/>
      </c>
      <c r="P12" s="264" t="str">
        <f>Raw!G12</f>
        <v>Y</v>
      </c>
    </row>
    <row r="13">
      <c r="A13" s="249">
        <f>Raw!A13</f>
        <v>12</v>
      </c>
      <c r="B13" s="250" t="str">
        <f>Raw!B13</f>
        <v>Early Iron 2</v>
      </c>
      <c r="C13" s="251">
        <f>Raw!E13</f>
        <v>38626</v>
      </c>
      <c r="D13" s="250" t="str">
        <f>Raw!F13</f>
        <v>modern</v>
      </c>
      <c r="E13" s="250" t="str">
        <f>Raw!D13</f>
        <v>Cooperstown NY</v>
      </c>
      <c r="F13" s="250" t="str">
        <f>Raw!F13</f>
        <v>modern</v>
      </c>
      <c r="G13" s="250">
        <f>Display_All!N13</f>
        <v>60</v>
      </c>
      <c r="H13" s="250">
        <f>Display_All!O13</f>
        <v>40</v>
      </c>
      <c r="I13" s="250" t="str">
        <f>Display_All!P13</f>
        <v>30 x 30</v>
      </c>
      <c r="J13" s="250" t="str">
        <f>Display_All!Q13</f>
        <v>25 x 25</v>
      </c>
      <c r="K13" s="250" t="str">
        <f>Display_All!R13</f>
        <v/>
      </c>
      <c r="L13" s="250">
        <f>Display_All!T13</f>
        <v>2.5</v>
      </c>
      <c r="M13" s="250" t="str">
        <f>Display_All!U13</f>
        <v>10 x 15 E</v>
      </c>
      <c r="N13" s="279" t="str">
        <f>Display_All!Z13</f>
        <v>charcoal fines</v>
      </c>
      <c r="O13" s="264" t="str">
        <f>Raw!H13</f>
        <v>Teaching</v>
      </c>
      <c r="P13" s="264" t="str">
        <f>Raw!G13</f>
        <v>N</v>
      </c>
    </row>
    <row r="14">
      <c r="A14" s="249" t="str">
        <f>Raw!A14</f>
        <v>13 / D7</v>
      </c>
      <c r="B14" s="250" t="str">
        <f>Raw!B14</f>
        <v>Short Shaft</v>
      </c>
      <c r="C14" s="251">
        <f>Raw!E14</f>
        <v>38668</v>
      </c>
      <c r="D14" s="250" t="str">
        <f>Raw!F14</f>
        <v>Viking Age</v>
      </c>
      <c r="E14" s="250" t="str">
        <f>Raw!D14</f>
        <v>Wareham ON</v>
      </c>
      <c r="F14" s="250" t="str">
        <f>Raw!F14</f>
        <v>Viking Age</v>
      </c>
      <c r="G14" s="250">
        <f>Display_All!N14</f>
        <v>60</v>
      </c>
      <c r="H14" s="250">
        <f>Display_All!O14</f>
        <v>42</v>
      </c>
      <c r="I14" s="250">
        <f>Display_All!P14</f>
        <v>40</v>
      </c>
      <c r="J14" s="250">
        <f>Display_All!Q14</f>
        <v>25</v>
      </c>
      <c r="K14" s="250" t="str">
        <f>Display_All!R14</f>
        <v/>
      </c>
      <c r="L14" s="250">
        <f>Display_All!T14</f>
        <v>7.5</v>
      </c>
      <c r="M14" s="250" t="str">
        <f>Display_All!U14</f>
        <v>10 x 15</v>
      </c>
      <c r="N14" s="279" t="str">
        <f>Display_All!Z14</f>
        <v>charcoal fines</v>
      </c>
      <c r="O14" s="264" t="str">
        <f>Raw!H14</f>
        <v/>
      </c>
      <c r="P14" s="264" t="str">
        <f>Raw!G14</f>
        <v>N</v>
      </c>
    </row>
    <row r="15">
      <c r="A15" s="249">
        <f>Raw!A15</f>
        <v>14</v>
      </c>
      <c r="B15" s="250" t="str">
        <f>Raw!B15</f>
        <v>Black Rock demo</v>
      </c>
      <c r="C15" s="251">
        <f>Raw!E15</f>
        <v>38766</v>
      </c>
      <c r="D15" s="250" t="str">
        <f>Raw!F15</f>
        <v>modern</v>
      </c>
      <c r="E15" s="250" t="str">
        <f>Raw!D15</f>
        <v>Traverse City MN</v>
      </c>
      <c r="F15" s="250" t="str">
        <f>Raw!F15</f>
        <v>modern</v>
      </c>
      <c r="G15" s="250">
        <f>Display_All!N15</f>
        <v>60</v>
      </c>
      <c r="H15" s="250">
        <f>Display_All!O15</f>
        <v>40</v>
      </c>
      <c r="I15" s="250">
        <f>Display_All!P15</f>
        <v>50</v>
      </c>
      <c r="J15" s="250">
        <f>Display_All!Q15</f>
        <v>25</v>
      </c>
      <c r="K15" s="250" t="str">
        <f>Display_All!R15</f>
        <v/>
      </c>
      <c r="L15" s="250" t="str">
        <f>Display_All!T15</f>
        <v>7.5 +</v>
      </c>
      <c r="M15" s="250" t="str">
        <f>Display_All!U15</f>
        <v>15 x 10</v>
      </c>
      <c r="N15" s="279" t="str">
        <f>Display_All!Z15</f>
        <v>charcoal fines</v>
      </c>
      <c r="O15" s="264" t="str">
        <f>Raw!H15</f>
        <v/>
      </c>
      <c r="P15" s="264" t="str">
        <f>Raw!G15</f>
        <v>Y</v>
      </c>
    </row>
    <row r="16">
      <c r="A16" s="249">
        <f>Raw!A16</f>
        <v>15</v>
      </c>
      <c r="B16" s="250" t="str">
        <f>Raw!B16</f>
        <v>Smeltfest 06</v>
      </c>
      <c r="C16" s="251">
        <f>Raw!E16</f>
        <v>38784</v>
      </c>
      <c r="D16" s="250" t="str">
        <f>Raw!F16</f>
        <v>Viking Age</v>
      </c>
      <c r="E16" s="250" t="str">
        <f>Raw!D16</f>
        <v>Lexington VA</v>
      </c>
      <c r="F16" s="250" t="str">
        <f>Raw!F16</f>
        <v>Viking Age</v>
      </c>
      <c r="G16" s="250">
        <f>Display_All!N16</f>
        <v>85</v>
      </c>
      <c r="H16" s="250">
        <f>Display_All!O16</f>
        <v>60</v>
      </c>
      <c r="I16" s="250" t="str">
        <f>Display_All!P16</f>
        <v>46 to 40</v>
      </c>
      <c r="J16" s="250" t="str">
        <f>Display_All!Q16</f>
        <v>40 to 30</v>
      </c>
      <c r="K16" s="250" t="str">
        <f>Display_All!R16</f>
        <v>35 (E)</v>
      </c>
      <c r="L16" s="250" t="str">
        <f>Display_All!T16</f>
        <v>9 to 5</v>
      </c>
      <c r="M16" s="250" t="str">
        <f>Display_All!U16</f>
        <v>12 x 18</v>
      </c>
      <c r="N16" s="279" t="str">
        <f>Display_All!Z16</f>
        <v>charcoal fines</v>
      </c>
      <c r="O16" s="264" t="str">
        <f>Raw!H16</f>
        <v/>
      </c>
      <c r="P16" s="264" t="str">
        <f>Raw!G16</f>
        <v>N</v>
      </c>
    </row>
    <row r="17">
      <c r="A17" s="249">
        <f>Raw!A17</f>
        <v>16</v>
      </c>
      <c r="B17" s="250" t="str">
        <f>Raw!B17</f>
        <v>Smeltfest 06</v>
      </c>
      <c r="C17" s="251">
        <f>Raw!E17</f>
        <v>38786</v>
      </c>
      <c r="D17" s="250" t="str">
        <f>Raw!F17</f>
        <v>Viking Age</v>
      </c>
      <c r="E17" s="250" t="str">
        <f>Raw!D17</f>
        <v>Lexington VA</v>
      </c>
      <c r="F17" s="250" t="str">
        <f>Raw!F17</f>
        <v>Viking Age</v>
      </c>
      <c r="G17" s="250">
        <f>Display_All!N17</f>
        <v>60</v>
      </c>
      <c r="H17" s="250">
        <f>Display_All!O17</f>
        <v>40</v>
      </c>
      <c r="I17" s="250" t="str">
        <f>Display_All!P17</f>
        <v>46 to 40</v>
      </c>
      <c r="J17" s="250" t="str">
        <f>Display_All!Q17</f>
        <v>40 to 28</v>
      </c>
      <c r="K17" s="250" t="str">
        <f>Display_All!R17</f>
        <v>35 (E)</v>
      </c>
      <c r="L17" s="250" t="str">
        <f>Display_All!T17</f>
        <v>9 to 6</v>
      </c>
      <c r="M17" s="250" t="str">
        <f>Display_All!U17</f>
        <v>12 x 18</v>
      </c>
      <c r="N17" s="279" t="str">
        <f>Display_All!Z17</f>
        <v>charcoal fines</v>
      </c>
      <c r="O17" s="264" t="str">
        <f>Raw!H17</f>
        <v/>
      </c>
      <c r="P17" s="264" t="str">
        <f>Raw!G17</f>
        <v>N</v>
      </c>
    </row>
    <row r="18">
      <c r="A18" s="249" t="str">
        <f>Raw!A18</f>
        <v>17 / D8</v>
      </c>
      <c r="B18" s="250" t="str">
        <f>Raw!B18</f>
        <v>Spring Smelt</v>
      </c>
      <c r="C18" s="251">
        <f>Raw!E18</f>
        <v>38878</v>
      </c>
      <c r="D18" s="250" t="str">
        <f>Raw!F18</f>
        <v>Viking Age</v>
      </c>
      <c r="E18" s="250" t="str">
        <f>Raw!D18</f>
        <v>Wareham ON</v>
      </c>
      <c r="F18" s="250" t="str">
        <f>Raw!F18</f>
        <v>Viking Age</v>
      </c>
      <c r="G18" s="250">
        <f>Display_All!N18</f>
        <v>65</v>
      </c>
      <c r="H18" s="250">
        <f>Display_All!O18</f>
        <v>45</v>
      </c>
      <c r="I18" s="250">
        <f>Display_All!P18</f>
        <v>38</v>
      </c>
      <c r="J18" s="250">
        <f>Display_All!Q18</f>
        <v>23</v>
      </c>
      <c r="K18" s="250" t="str">
        <f>Display_All!R18</f>
        <v/>
      </c>
      <c r="L18" s="250">
        <f>Display_All!T18</f>
        <v>7.5</v>
      </c>
      <c r="M18" s="250" t="str">
        <f>Display_All!U18</f>
        <v>13 x 20</v>
      </c>
      <c r="N18" s="279" t="str">
        <f>Display_All!Z18</f>
        <v>charcoal fines</v>
      </c>
      <c r="O18" s="264" t="str">
        <f>Raw!H18</f>
        <v/>
      </c>
      <c r="P18" s="264" t="str">
        <f>Raw!G18</f>
        <v>N</v>
      </c>
    </row>
    <row r="19">
      <c r="A19" s="249" t="str">
        <f>Raw!A19</f>
        <v>18 / D9</v>
      </c>
      <c r="B19" s="250" t="str">
        <f>Raw!B19</f>
        <v>SCA Bonfield demo</v>
      </c>
      <c r="C19" s="251">
        <f>Raw!E19</f>
        <v>38962</v>
      </c>
      <c r="D19" s="250" t="str">
        <f>Raw!F19</f>
        <v>Viking Age</v>
      </c>
      <c r="E19" s="250" t="str">
        <f>Raw!D19</f>
        <v>Bonfield ON</v>
      </c>
      <c r="F19" s="250" t="str">
        <f>Raw!F19</f>
        <v>Viking Age</v>
      </c>
      <c r="G19" s="250">
        <f>Display_All!N19</f>
        <v>60</v>
      </c>
      <c r="H19" s="250">
        <f>Display_All!O19</f>
        <v>35</v>
      </c>
      <c r="I19" s="250" t="str">
        <f>Display_All!P19</f>
        <v>40 E</v>
      </c>
      <c r="J19" s="250" t="str">
        <f>Display_All!Q19</f>
        <v>25 to 22</v>
      </c>
      <c r="K19" s="250" t="str">
        <f>Display_All!R19</f>
        <v>21.5 (E)</v>
      </c>
      <c r="L19" s="250" t="str">
        <f>Display_All!T19</f>
        <v>7.5 E</v>
      </c>
      <c r="M19" s="250" t="str">
        <f>Display_All!U19</f>
        <v>10 X 15 E</v>
      </c>
      <c r="N19" s="279" t="str">
        <f>Display_All!Z19</f>
        <v>charcoal fines</v>
      </c>
      <c r="O19" s="264" t="str">
        <f>Raw!H19</f>
        <v>Air</v>
      </c>
      <c r="P19" s="264" t="str">
        <f>Raw!G19</f>
        <v>N</v>
      </c>
    </row>
    <row r="20">
      <c r="A20" s="249">
        <f>Raw!A20</f>
        <v>19</v>
      </c>
      <c r="B20" s="250" t="str">
        <f>Raw!B20</f>
        <v>Loki' / Minden</v>
      </c>
      <c r="C20" s="251">
        <f>Raw!E20</f>
        <v>38997</v>
      </c>
      <c r="D20" s="250" t="str">
        <f>Raw!F20</f>
        <v>Viking Age</v>
      </c>
      <c r="E20" s="250" t="str">
        <f>Raw!D20</f>
        <v>Peters Valley NJ</v>
      </c>
      <c r="F20" s="250" t="str">
        <f>Raw!F20</f>
        <v>Viking Age</v>
      </c>
      <c r="G20" s="250">
        <f>Display_All!N20</f>
        <v>66</v>
      </c>
      <c r="H20" s="250">
        <f>Display_All!O20</f>
        <v>50</v>
      </c>
      <c r="I20" s="250">
        <f>Display_All!P20</f>
        <v>30</v>
      </c>
      <c r="J20" s="250">
        <f>Display_All!Q20</f>
        <v>20</v>
      </c>
      <c r="K20" s="250" t="str">
        <f>Display_All!R20</f>
        <v/>
      </c>
      <c r="L20" s="250">
        <f>Display_All!T20</f>
        <v>5</v>
      </c>
      <c r="M20" s="250" t="str">
        <f>Display_All!U20</f>
        <v>11 x 20</v>
      </c>
      <c r="N20" s="279" t="str">
        <f>Display_All!Z20</f>
        <v>charcoal fines</v>
      </c>
      <c r="O20" s="264" t="str">
        <f>Raw!H20</f>
        <v/>
      </c>
      <c r="P20" s="264" t="str">
        <f>Raw!G20</f>
        <v>N</v>
      </c>
    </row>
    <row r="21">
      <c r="A21" s="249">
        <f>Raw!A21</f>
        <v>20</v>
      </c>
      <c r="B21" s="250" t="str">
        <f>Raw!B21</f>
        <v>Early Iron 3</v>
      </c>
      <c r="C21" s="251">
        <f>Raw!E21</f>
        <v>38999</v>
      </c>
      <c r="D21" s="250" t="str">
        <f>Raw!F21</f>
        <v>modern</v>
      </c>
      <c r="E21" s="250" t="str">
        <f>Raw!D21</f>
        <v>Peters Valley NJ</v>
      </c>
      <c r="F21" s="250" t="str">
        <f>Raw!F21</f>
        <v>modern</v>
      </c>
      <c r="G21" s="250">
        <f>Display_All!N21</f>
        <v>60</v>
      </c>
      <c r="H21" s="250">
        <f>Display_All!O21</f>
        <v>40</v>
      </c>
      <c r="I21" s="250" t="str">
        <f>Display_All!P21</f>
        <v>30 x 30</v>
      </c>
      <c r="J21" s="250" t="str">
        <f>Display_All!Q21</f>
        <v>25 x 25</v>
      </c>
      <c r="K21" s="250" t="str">
        <f>Display_All!R21</f>
        <v/>
      </c>
      <c r="L21" s="250">
        <f>Display_All!T21</f>
        <v>2.5</v>
      </c>
      <c r="M21" s="250" t="str">
        <f>Display_All!U21</f>
        <v>10 x 15 E</v>
      </c>
      <c r="N21" s="279" t="str">
        <f>Display_All!Z21</f>
        <v>charcoal fines</v>
      </c>
      <c r="O21" s="264" t="str">
        <f>Raw!H21</f>
        <v/>
      </c>
      <c r="P21" s="264" t="str">
        <f>Raw!G21</f>
        <v>N</v>
      </c>
    </row>
    <row r="22">
      <c r="A22" s="249" t="str">
        <f>Raw!A22</f>
        <v>21 / D10</v>
      </c>
      <c r="B22" s="250" t="str">
        <f>Raw!B22</f>
        <v>Fall Smelt</v>
      </c>
      <c r="C22" s="251">
        <f>Raw!E22</f>
        <v>39026</v>
      </c>
      <c r="D22" s="250" t="str">
        <f>Raw!F22</f>
        <v>Viking Age</v>
      </c>
      <c r="E22" s="250" t="str">
        <f>Raw!D22</f>
        <v>Wareham ON</v>
      </c>
      <c r="F22" s="250" t="str">
        <f>Raw!F22</f>
        <v>Viking Age</v>
      </c>
      <c r="G22" s="250">
        <f>Display_All!N22</f>
        <v>90</v>
      </c>
      <c r="H22" s="250">
        <f>Display_All!O22</f>
        <v>75</v>
      </c>
      <c r="I22" s="250">
        <f>Display_All!P22</f>
        <v>50</v>
      </c>
      <c r="J22" s="250">
        <f>Display_All!Q22</f>
        <v>23</v>
      </c>
      <c r="K22" s="250" t="str">
        <f>Display_All!R22</f>
        <v/>
      </c>
      <c r="L22" s="250">
        <f>Display_All!T22</f>
        <v>7.5</v>
      </c>
      <c r="M22" s="250" t="str">
        <f>Display_All!U22</f>
        <v>13 x 20</v>
      </c>
      <c r="N22" s="279" t="str">
        <f>Display_All!Z22</f>
        <v>natural</v>
      </c>
      <c r="O22" s="264" t="str">
        <f>Raw!H22</f>
        <v/>
      </c>
      <c r="P22" s="264" t="str">
        <f>Raw!G22</f>
        <v>N</v>
      </c>
    </row>
    <row r="23">
      <c r="A23" s="249">
        <f>Raw!A23</f>
        <v>22</v>
      </c>
      <c r="B23" s="250" t="str">
        <f>Raw!B23</f>
        <v>Redemption'</v>
      </c>
      <c r="C23" s="251">
        <f>Raw!E23</f>
        <v>39027</v>
      </c>
      <c r="D23" s="250" t="str">
        <f>Raw!F23</f>
        <v>Viking Age</v>
      </c>
      <c r="E23" s="250" t="str">
        <f>Raw!D23</f>
        <v>Wareham ON</v>
      </c>
      <c r="F23" s="250" t="str">
        <f>Raw!F23</f>
        <v>Viking Age</v>
      </c>
      <c r="G23" s="250">
        <f>Display_All!N23</f>
        <v>90</v>
      </c>
      <c r="H23" s="250">
        <f>Display_All!O23</f>
        <v>75</v>
      </c>
      <c r="I23" s="250">
        <f>Display_All!P23</f>
        <v>50</v>
      </c>
      <c r="J23" s="250">
        <f>Display_All!Q23</f>
        <v>23</v>
      </c>
      <c r="K23" s="250" t="str">
        <f>Display_All!R23</f>
        <v/>
      </c>
      <c r="L23" s="250">
        <f>Display_All!T23</f>
        <v>7.5</v>
      </c>
      <c r="M23" s="250" t="str">
        <f>Display_All!U23</f>
        <v>13 x 20</v>
      </c>
      <c r="N23" s="279" t="str">
        <f>Display_All!Z23</f>
        <v>natural</v>
      </c>
      <c r="O23" s="264" t="str">
        <f>Raw!H23</f>
        <v/>
      </c>
      <c r="P23" s="264" t="str">
        <f>Raw!G23</f>
        <v>N</v>
      </c>
    </row>
    <row r="24">
      <c r="A24" s="249">
        <f>Raw!A24</f>
        <v>23</v>
      </c>
      <c r="B24" s="250" t="str">
        <f>Raw!B24</f>
        <v>Intro Smelting</v>
      </c>
      <c r="C24" s="251">
        <f>Raw!E24</f>
        <v>39235</v>
      </c>
      <c r="D24" s="250" t="str">
        <f>Raw!F24</f>
        <v>modern</v>
      </c>
      <c r="E24" s="250" t="str">
        <f>Raw!D24</f>
        <v>Wareham ON</v>
      </c>
      <c r="F24" s="250" t="str">
        <f>Raw!F24</f>
        <v>modern</v>
      </c>
      <c r="G24" s="250">
        <f>Display_All!N24</f>
        <v>60</v>
      </c>
      <c r="H24" s="250">
        <f>Display_All!O24</f>
        <v>40</v>
      </c>
      <c r="I24" s="250">
        <f>Display_All!P24</f>
        <v>50</v>
      </c>
      <c r="J24" s="250">
        <f>Display_All!Q24</f>
        <v>25</v>
      </c>
      <c r="K24" s="250" t="str">
        <f>Display_All!R24</f>
        <v/>
      </c>
      <c r="L24" s="250" t="str">
        <f>Display_All!T24</f>
        <v>7.5 +</v>
      </c>
      <c r="M24" s="250" t="str">
        <f>Display_All!U24</f>
        <v>15 x 10</v>
      </c>
      <c r="N24" s="279" t="str">
        <f>Display_All!Z24</f>
        <v>charcoal fines</v>
      </c>
      <c r="O24" s="264" t="str">
        <f>Raw!H24</f>
        <v>Teaching</v>
      </c>
      <c r="P24" s="264" t="str">
        <f>Raw!G24</f>
        <v>N</v>
      </c>
    </row>
    <row r="25">
      <c r="A25" s="249" t="str">
        <f>Raw!A25</f>
        <v>24 / D11</v>
      </c>
      <c r="B25" s="250" t="str">
        <f>Raw!B25</f>
        <v>Hot Swap</v>
      </c>
      <c r="C25" s="251">
        <f>Raw!E25</f>
        <v>39242</v>
      </c>
      <c r="D25" s="250" t="str">
        <f>Raw!F25</f>
        <v>Viking Age</v>
      </c>
      <c r="E25" s="250" t="str">
        <f>Raw!D25</f>
        <v>Wareham ON</v>
      </c>
      <c r="F25" s="250" t="str">
        <f>Raw!F25</f>
        <v>Viking Age</v>
      </c>
      <c r="G25" s="250">
        <f>Display_All!N25</f>
        <v>90</v>
      </c>
      <c r="H25" s="250">
        <f>Display_All!O25</f>
        <v>75</v>
      </c>
      <c r="I25" s="250">
        <f>Display_All!P25</f>
        <v>40</v>
      </c>
      <c r="J25" s="250">
        <f>Display_All!Q25</f>
        <v>23</v>
      </c>
      <c r="K25" s="250" t="str">
        <f>Display_All!R25</f>
        <v/>
      </c>
      <c r="L25" s="250">
        <f>Display_All!T25</f>
        <v>7.5</v>
      </c>
      <c r="M25" s="250" t="str">
        <f>Display_All!U25</f>
        <v>13 x 20</v>
      </c>
      <c r="N25" s="279" t="str">
        <f>Display_All!Z25</f>
        <v>charcoal fines</v>
      </c>
      <c r="O25" s="264" t="str">
        <f>Raw!H25</f>
        <v/>
      </c>
      <c r="P25" s="264" t="str">
        <f>Raw!G25</f>
        <v>N</v>
      </c>
    </row>
    <row r="26">
      <c r="A26" s="249" t="str">
        <f>Raw!A26</f>
        <v>25 / D12</v>
      </c>
      <c r="B26" s="250" t="str">
        <f>Raw!B26</f>
        <v>Hot Swap</v>
      </c>
      <c r="C26" s="251">
        <f>Raw!E26</f>
        <v>39242</v>
      </c>
      <c r="D26" s="250" t="str">
        <f>Raw!F26</f>
        <v>Viking Age</v>
      </c>
      <c r="E26" s="250" t="str">
        <f>Raw!D26</f>
        <v>Wareham ON</v>
      </c>
      <c r="F26" s="250" t="str">
        <f>Raw!F26</f>
        <v>Viking Age</v>
      </c>
      <c r="G26" s="250">
        <f>Display_All!N26</f>
        <v>90</v>
      </c>
      <c r="H26" s="250">
        <f>Display_All!O26</f>
        <v>75</v>
      </c>
      <c r="I26" s="250">
        <f>Display_All!P26</f>
        <v>40</v>
      </c>
      <c r="J26" s="250">
        <f>Display_All!Q26</f>
        <v>23</v>
      </c>
      <c r="K26" s="250" t="str">
        <f>Display_All!R26</f>
        <v/>
      </c>
      <c r="L26" s="250">
        <f>Display_All!T26</f>
        <v>7.5</v>
      </c>
      <c r="M26" s="250" t="str">
        <f>Display_All!U26</f>
        <v>13 x 20</v>
      </c>
      <c r="N26" s="279" t="str">
        <f>Display_All!Z26</f>
        <v>hot slag bowl</v>
      </c>
      <c r="O26" s="264" t="str">
        <f>Raw!H26</f>
        <v/>
      </c>
      <c r="P26" s="264" t="str">
        <f>Raw!G26</f>
        <v>N</v>
      </c>
    </row>
    <row r="27">
      <c r="A27" s="249">
        <f>Raw!A27</f>
        <v>26</v>
      </c>
      <c r="B27" s="250" t="str">
        <f>Raw!B27</f>
        <v>Icelandic 1</v>
      </c>
      <c r="C27" s="251">
        <f>Raw!E27</f>
        <v>39362</v>
      </c>
      <c r="D27" s="250" t="str">
        <f>Raw!F27</f>
        <v>Viking Age Icelandic</v>
      </c>
      <c r="E27" s="250" t="str">
        <f>Raw!D27</f>
        <v>Wareham ON</v>
      </c>
      <c r="F27" s="250" t="str">
        <f>Raw!F27</f>
        <v>Viking Age Icelandic</v>
      </c>
      <c r="G27" s="250">
        <f>Display_All!N27</f>
        <v>77</v>
      </c>
      <c r="H27" s="250">
        <f>Display_All!O27</f>
        <v>53.5</v>
      </c>
      <c r="I27" s="250">
        <f>Display_All!P27</f>
        <v>40</v>
      </c>
      <c r="J27" s="250" t="str">
        <f>Display_All!Q27</f>
        <v>27 to 23</v>
      </c>
      <c r="K27" s="250" t="str">
        <f>Display_All!R27</f>
        <v/>
      </c>
      <c r="L27" s="250" t="str">
        <f>Display_All!T27</f>
        <v>7.5 +</v>
      </c>
      <c r="M27" s="250" t="str">
        <f>Display_All!U27</f>
        <v>15 x 30</v>
      </c>
      <c r="N27" s="279" t="str">
        <f>Display_All!Z27</f>
        <v>natural</v>
      </c>
      <c r="O27" s="264" t="str">
        <f>Raw!H27</f>
        <v>Icelandic</v>
      </c>
      <c r="P27" s="264" t="str">
        <f>Raw!G27</f>
        <v>N</v>
      </c>
    </row>
    <row r="28">
      <c r="A28" s="249" t="str">
        <f>Raw!A28</f>
        <v>27 / D13</v>
      </c>
      <c r="B28" s="250" t="str">
        <f>Raw!B28</f>
        <v> Icelandic 2</v>
      </c>
      <c r="C28" s="251">
        <f>Raw!E28</f>
        <v>39382</v>
      </c>
      <c r="D28" s="250" t="str">
        <f>Raw!F28</f>
        <v>Viking Age Icelandic</v>
      </c>
      <c r="E28" s="250" t="str">
        <f>Raw!D28</f>
        <v>Wareham ON</v>
      </c>
      <c r="F28" s="250" t="str">
        <f>Raw!F28</f>
        <v>Viking Age Icelandic</v>
      </c>
      <c r="G28" s="250">
        <f>Display_All!N28</f>
        <v>70</v>
      </c>
      <c r="H28" s="250">
        <f>Display_All!O28</f>
        <v>45</v>
      </c>
      <c r="I28" s="250">
        <f>Display_All!P28</f>
        <v>46</v>
      </c>
      <c r="J28" s="250" t="str">
        <f>Display_All!Q28</f>
        <v>35 x 25</v>
      </c>
      <c r="K28" s="250">
        <f>Display_All!R28</f>
        <v>35</v>
      </c>
      <c r="L28" s="289" t="str">
        <f>Display_All!T28</f>
        <v>5 to 10</v>
      </c>
      <c r="M28" s="250" t="str">
        <f>Display_All!U28</f>
        <v>20 x 20</v>
      </c>
      <c r="N28" s="279" t="str">
        <f>Display_All!Z28</f>
        <v>charcoal fines</v>
      </c>
      <c r="O28" s="264" t="str">
        <f>Raw!H28</f>
        <v>Icelandic</v>
      </c>
      <c r="P28" s="264" t="str">
        <f>Raw!G28</f>
        <v>N</v>
      </c>
    </row>
    <row r="29">
      <c r="A29" s="249">
        <f>Raw!A29</f>
        <v>28</v>
      </c>
      <c r="B29" s="250" t="str">
        <f>Raw!B29</f>
        <v>Intro Smelting</v>
      </c>
      <c r="C29" s="251">
        <f>Raw!E29</f>
        <v>39411</v>
      </c>
      <c r="D29" s="250" t="str">
        <f>Raw!F29</f>
        <v>Viking Age</v>
      </c>
      <c r="E29" s="250" t="str">
        <f>Raw!D29</f>
        <v>Wareham ON</v>
      </c>
      <c r="F29" s="250" t="str">
        <f>Raw!F29</f>
        <v>Viking Age</v>
      </c>
      <c r="G29" s="250">
        <f>Display_All!N29</f>
        <v>72</v>
      </c>
      <c r="H29" s="250">
        <f>Display_All!O29</f>
        <v>50</v>
      </c>
      <c r="I29" s="250">
        <f>Display_All!P29</f>
        <v>40</v>
      </c>
      <c r="J29" s="250">
        <f>Display_All!Q29</f>
        <v>25</v>
      </c>
      <c r="K29" s="250" t="str">
        <f>Display_All!R29</f>
        <v/>
      </c>
      <c r="L29" s="289" t="str">
        <f>Display_All!T29</f>
        <v>6 to 8</v>
      </c>
      <c r="M29" s="250" t="str">
        <f>Display_All!U29</f>
        <v>15 x 20</v>
      </c>
      <c r="N29" s="279" t="str">
        <f>Display_All!Z29</f>
        <v>charcoal fines</v>
      </c>
      <c r="O29" s="264" t="str">
        <f>Raw!H29</f>
        <v>Teaching</v>
      </c>
      <c r="P29" s="264" t="str">
        <f>Raw!G29</f>
        <v>N</v>
      </c>
    </row>
    <row r="30">
      <c r="A30" s="249">
        <f>Raw!A30</f>
        <v>29</v>
      </c>
      <c r="B30" s="250" t="str">
        <f>Raw!B30</f>
        <v>Bellows Plate </v>
      </c>
      <c r="C30" s="251">
        <f>Raw!E30</f>
        <v>39520</v>
      </c>
      <c r="D30" s="250" t="str">
        <f>Raw!F30</f>
        <v>Viking Age</v>
      </c>
      <c r="E30" s="250" t="str">
        <f>Raw!D30</f>
        <v>Lexington VA</v>
      </c>
      <c r="F30" s="250" t="str">
        <f>Raw!F30</f>
        <v>Viking Age</v>
      </c>
      <c r="G30" s="250">
        <f>Display_All!N30</f>
        <v>105</v>
      </c>
      <c r="H30" s="250">
        <f>Display_All!O30</f>
        <v>60</v>
      </c>
      <c r="I30" s="250" t="str">
        <f>Display_All!P30</f>
        <v>60 to 43</v>
      </c>
      <c r="J30" s="250">
        <f>Display_All!Q30</f>
        <v>30</v>
      </c>
      <c r="K30" s="250" t="str">
        <f>Display_All!R30</f>
        <v/>
      </c>
      <c r="L30" s="250">
        <f>Display_All!T30</f>
        <v>7</v>
      </c>
      <c r="M30" s="250" t="str">
        <f>Display_All!U30</f>
        <v>9 x 12</v>
      </c>
      <c r="N30" s="279" t="str">
        <f>Display_All!Z30</f>
        <v>charcoal fines</v>
      </c>
      <c r="O30" s="264" t="str">
        <f>Raw!H30</f>
        <v/>
      </c>
      <c r="P30" s="264" t="str">
        <f>Raw!G30</f>
        <v>N</v>
      </c>
    </row>
    <row r="31">
      <c r="A31" s="249">
        <f>Raw!A31</f>
        <v>30</v>
      </c>
      <c r="B31" s="250" t="str">
        <f>Raw!B31</f>
        <v>DARC Dirt 1</v>
      </c>
      <c r="C31" s="251">
        <f>Raw!E31</f>
        <v>39523</v>
      </c>
      <c r="D31" s="250" t="str">
        <f>Raw!F31</f>
        <v>Viking Age</v>
      </c>
      <c r="E31" s="250" t="str">
        <f>Raw!D31</f>
        <v>Lexington VA</v>
      </c>
      <c r="F31" s="250" t="str">
        <f>Raw!F31</f>
        <v>Viking Age</v>
      </c>
      <c r="G31" s="250">
        <f>Display_All!N31</f>
        <v>105</v>
      </c>
      <c r="H31" s="250">
        <f>Display_All!O31</f>
        <v>60</v>
      </c>
      <c r="I31" s="250" t="str">
        <f>Display_All!P31</f>
        <v>60 to 43</v>
      </c>
      <c r="J31" s="250">
        <f>Display_All!Q31</f>
        <v>30</v>
      </c>
      <c r="K31" s="250" t="str">
        <f>Display_All!R31</f>
        <v/>
      </c>
      <c r="L31" s="250">
        <f>Display_All!T31</f>
        <v>7</v>
      </c>
      <c r="M31" s="250" t="str">
        <f>Display_All!U31</f>
        <v>above +</v>
      </c>
      <c r="N31" s="279" t="str">
        <f>Display_All!Z31</f>
        <v>charcoal fines</v>
      </c>
      <c r="O31" s="264" t="str">
        <f>Raw!H31</f>
        <v/>
      </c>
      <c r="P31" s="264" t="str">
        <f>Raw!G31</f>
        <v>N</v>
      </c>
    </row>
    <row r="32">
      <c r="A32" s="249">
        <f>Raw!A32</f>
        <v>31</v>
      </c>
      <c r="B32" s="250" t="str">
        <f>Raw!B32</f>
        <v>Bellows Plate </v>
      </c>
      <c r="C32" s="251">
        <f>Raw!E32</f>
        <v>39524</v>
      </c>
      <c r="D32" s="250" t="str">
        <f>Raw!F32</f>
        <v>Viking Age</v>
      </c>
      <c r="E32" s="250" t="str">
        <f>Raw!D32</f>
        <v>Lexington VA</v>
      </c>
      <c r="F32" s="250" t="str">
        <f>Raw!F32</f>
        <v>Viking Age</v>
      </c>
      <c r="G32" s="250">
        <f>Display_All!N32</f>
        <v>105</v>
      </c>
      <c r="H32" s="250">
        <f>Display_All!O32</f>
        <v>58</v>
      </c>
      <c r="I32" s="250" t="str">
        <f>Display_All!P32</f>
        <v>60 to 43</v>
      </c>
      <c r="J32" s="250">
        <f>Display_All!Q32</f>
        <v>30</v>
      </c>
      <c r="K32" s="250" t="str">
        <f>Display_All!R32</f>
        <v/>
      </c>
      <c r="L32" s="250">
        <f>Display_All!T32</f>
        <v>7</v>
      </c>
      <c r="M32" s="250" t="str">
        <f>Display_All!U32</f>
        <v>25 x 28</v>
      </c>
      <c r="N32" s="279" t="str">
        <f>Display_All!Z32</f>
        <v>charcoal fines</v>
      </c>
      <c r="O32" s="264" t="str">
        <f>Raw!H32</f>
        <v/>
      </c>
      <c r="P32" s="264" t="str">
        <f>Raw!G32</f>
        <v>N</v>
      </c>
    </row>
    <row r="33">
      <c r="A33" s="249" t="str">
        <f>Raw!A33</f>
        <v>32 / D14</v>
      </c>
      <c r="B33" s="250" t="str">
        <f>Raw!B33</f>
        <v>DARC Dirt 2</v>
      </c>
      <c r="C33" s="251">
        <f>Raw!E33</f>
        <v>39551</v>
      </c>
      <c r="D33" s="250" t="str">
        <f>Raw!F33</f>
        <v>modern</v>
      </c>
      <c r="E33" s="250" t="str">
        <f>Raw!D33</f>
        <v>Wareham ON</v>
      </c>
      <c r="F33" s="250" t="str">
        <f>Raw!F33</f>
        <v>modern</v>
      </c>
      <c r="G33" s="250">
        <f>Display_All!N33</f>
        <v>70</v>
      </c>
      <c r="H33" s="250">
        <f>Display_All!O33</f>
        <v>45</v>
      </c>
      <c r="I33" s="250">
        <f>Display_All!P33</f>
        <v>35</v>
      </c>
      <c r="J33" s="250">
        <f>Display_All!Q33</f>
        <v>20</v>
      </c>
      <c r="K33" s="250" t="str">
        <f>Display_All!R33</f>
        <v/>
      </c>
      <c r="L33" s="250" t="str">
        <f>Display_All!T33</f>
        <v>7.5 hexigon</v>
      </c>
      <c r="M33" s="250" t="str">
        <f>Display_All!U33</f>
        <v>23 x 20</v>
      </c>
      <c r="N33" s="279" t="str">
        <f>Display_All!Z33</f>
        <v>charcoal fines</v>
      </c>
      <c r="O33" s="264" t="str">
        <f>Raw!H33</f>
        <v/>
      </c>
      <c r="P33" s="264" t="str">
        <f>Raw!G33</f>
        <v>N</v>
      </c>
    </row>
    <row r="34">
      <c r="A34" s="249">
        <f>Raw!A34</f>
        <v>33</v>
      </c>
      <c r="B34" s="250" t="str">
        <f>Raw!B34</f>
        <v>2 Stage test A</v>
      </c>
      <c r="C34" s="251">
        <f>Raw!E34</f>
        <v>39568</v>
      </c>
      <c r="D34" s="250" t="str">
        <f>Raw!F34</f>
        <v>Norway</v>
      </c>
      <c r="E34" s="250" t="str">
        <f>Raw!D34</f>
        <v>Heltborg DK</v>
      </c>
      <c r="F34" s="250" t="str">
        <f>Raw!F34</f>
        <v>Norway</v>
      </c>
      <c r="G34" s="250">
        <f>Display_All!N34</f>
        <v>55</v>
      </c>
      <c r="H34" s="250">
        <f>Display_All!O34</f>
        <v>30</v>
      </c>
      <c r="I34" s="250" t="str">
        <f>Display_All!P34</f>
        <v>NR</v>
      </c>
      <c r="J34" s="250">
        <f>Display_All!Q34</f>
        <v>25</v>
      </c>
      <c r="K34" s="250" t="str">
        <f>Display_All!R34</f>
        <v/>
      </c>
      <c r="L34" s="250" t="str">
        <f>Display_All!T34</f>
        <v>NR</v>
      </c>
      <c r="M34" s="250" t="str">
        <f>Display_All!U34</f>
        <v>20 x 30</v>
      </c>
      <c r="N34" s="279" t="str">
        <f>Display_All!Z34</f>
        <v>ash &amp; charcoal</v>
      </c>
      <c r="O34" s="264" t="str">
        <f>Raw!H34</f>
        <v/>
      </c>
      <c r="P34" s="264" t="str">
        <f>Raw!G34</f>
        <v>N</v>
      </c>
    </row>
    <row r="35">
      <c r="A35" s="249">
        <f>Raw!A35</f>
        <v>34</v>
      </c>
      <c r="B35" s="250" t="str">
        <f>Raw!B35</f>
        <v>2 stage test B</v>
      </c>
      <c r="C35" s="251">
        <f>Raw!E35</f>
        <v>39570</v>
      </c>
      <c r="D35" s="250" t="str">
        <f>Raw!F35</f>
        <v>Norway</v>
      </c>
      <c r="E35" s="250" t="str">
        <f>Raw!D35</f>
        <v>Heltborg DK</v>
      </c>
      <c r="F35" s="250" t="str">
        <f>Raw!F35</f>
        <v>Norway</v>
      </c>
      <c r="G35" s="250">
        <f>Display_All!N35</f>
        <v>70</v>
      </c>
      <c r="H35" s="250">
        <f>Display_All!O35</f>
        <v>50</v>
      </c>
      <c r="I35" s="250" t="str">
        <f>Display_All!P35</f>
        <v>NR</v>
      </c>
      <c r="J35" s="250">
        <f>Display_All!Q35</f>
        <v>25</v>
      </c>
      <c r="K35" s="250" t="str">
        <f>Display_All!R35</f>
        <v/>
      </c>
      <c r="L35" s="250" t="str">
        <f>Display_All!T35</f>
        <v>NR</v>
      </c>
      <c r="M35" s="250" t="str">
        <f>Display_All!U35</f>
        <v>15 x 15</v>
      </c>
      <c r="N35" s="279" t="str">
        <f>Display_All!Z35</f>
        <v>charcoal fines</v>
      </c>
      <c r="O35" s="264" t="str">
        <f>Raw!H35</f>
        <v/>
      </c>
      <c r="P35" s="264" t="str">
        <f>Raw!G35</f>
        <v>N</v>
      </c>
    </row>
    <row r="36">
      <c r="A36" s="249">
        <f>Raw!A36</f>
        <v>35</v>
      </c>
      <c r="B36" s="250" t="str">
        <f>Raw!B36</f>
        <v>method demo</v>
      </c>
      <c r="C36" s="251">
        <f>Raw!E36</f>
        <v>39572</v>
      </c>
      <c r="D36" s="250" t="str">
        <f>Raw!F36</f>
        <v>Norway</v>
      </c>
      <c r="E36" s="250" t="str">
        <f>Raw!D36</f>
        <v>Heltborg DK</v>
      </c>
      <c r="F36" s="250" t="str">
        <f>Raw!F36</f>
        <v>Norway</v>
      </c>
      <c r="G36" s="250">
        <f>Display_All!N36</f>
        <v>110</v>
      </c>
      <c r="H36" s="250">
        <f>Display_All!O36</f>
        <v>85</v>
      </c>
      <c r="I36" s="250" t="str">
        <f>Display_All!P36</f>
        <v>NR</v>
      </c>
      <c r="J36" s="250">
        <f>Display_All!Q36</f>
        <v>25</v>
      </c>
      <c r="K36" s="250" t="str">
        <f>Display_All!R36</f>
        <v/>
      </c>
      <c r="L36" s="250" t="str">
        <f>Display_All!T36</f>
        <v>NR</v>
      </c>
      <c r="M36" s="250" t="str">
        <f>Display_All!U36</f>
        <v>15 x 15</v>
      </c>
      <c r="N36" s="279" t="str">
        <f>Display_All!Z36</f>
        <v>charcoal fines</v>
      </c>
      <c r="O36" s="264" t="str">
        <f>Raw!H36</f>
        <v/>
      </c>
      <c r="P36" s="264" t="str">
        <f>Raw!G36</f>
        <v>Y</v>
      </c>
    </row>
    <row r="37">
      <c r="A37" s="249" t="str">
        <f>Raw!A37</f>
        <v>36 / D15</v>
      </c>
      <c r="B37" s="250" t="str">
        <f>Raw!B37</f>
        <v>DARC Dirt 3</v>
      </c>
      <c r="C37" s="251">
        <f>Raw!E37</f>
        <v>39613</v>
      </c>
      <c r="D37" s="250" t="str">
        <f>Raw!F37</f>
        <v>Viking Age</v>
      </c>
      <c r="E37" s="250" t="str">
        <f>Raw!D37</f>
        <v>Wareham ON</v>
      </c>
      <c r="F37" s="250" t="str">
        <f>Raw!F37</f>
        <v>Viking Age</v>
      </c>
      <c r="G37" s="250">
        <f>Display_All!N37</f>
        <v>65</v>
      </c>
      <c r="H37" s="250">
        <f>Display_All!O37</f>
        <v>47</v>
      </c>
      <c r="I37" s="250" t="str">
        <f>Display_All!P37</f>
        <v>NR</v>
      </c>
      <c r="J37" s="250" t="str">
        <f>Display_All!Q37</f>
        <v>26 by 23</v>
      </c>
      <c r="K37" s="250" t="str">
        <f>Display_All!R37</f>
        <v/>
      </c>
      <c r="L37" s="250" t="str">
        <f>Display_All!T37</f>
        <v>NR</v>
      </c>
      <c r="M37" s="250" t="str">
        <f>Display_All!U37</f>
        <v>20 x 25 E</v>
      </c>
      <c r="N37" s="279" t="str">
        <f>Display_All!Z37</f>
        <v>natural</v>
      </c>
      <c r="O37" s="264" t="str">
        <f>Raw!H37</f>
        <v/>
      </c>
      <c r="P37" s="264" t="str">
        <f>Raw!G37</f>
        <v>N</v>
      </c>
    </row>
    <row r="38">
      <c r="A38" s="249">
        <f>Raw!A38</f>
        <v>37</v>
      </c>
      <c r="B38" s="250" t="str">
        <f>Raw!B38</f>
        <v>Quad State demo</v>
      </c>
      <c r="C38" s="251">
        <f>Raw!E38</f>
        <v>39718</v>
      </c>
      <c r="D38" s="250" t="str">
        <f>Raw!F38</f>
        <v>Viking Age</v>
      </c>
      <c r="E38" s="250" t="str">
        <f>Raw!D38</f>
        <v>Troy OH</v>
      </c>
      <c r="F38" s="250" t="str">
        <f>Raw!F38</f>
        <v>Viking Age</v>
      </c>
      <c r="G38" s="250">
        <f>Display_All!N38</f>
        <v>85</v>
      </c>
      <c r="H38" s="250">
        <f>Display_All!O38</f>
        <v>45</v>
      </c>
      <c r="I38" s="250" t="str">
        <f>Display_All!P38</f>
        <v>NR</v>
      </c>
      <c r="J38" s="250">
        <f>Display_All!Q38</f>
        <v>25</v>
      </c>
      <c r="K38" s="250" t="str">
        <f>Display_All!R38</f>
        <v/>
      </c>
      <c r="L38" s="250" t="str">
        <f>Display_All!T38</f>
        <v>NR</v>
      </c>
      <c r="M38" s="250" t="str">
        <f>Display_All!U38</f>
        <v>none</v>
      </c>
      <c r="N38" s="279" t="str">
        <f>Display_All!Z38</f>
        <v>charcoal fines</v>
      </c>
      <c r="O38" s="264" t="str">
        <f>Raw!H38</f>
        <v/>
      </c>
      <c r="P38" s="264" t="str">
        <f>Raw!G38</f>
        <v>Y</v>
      </c>
    </row>
    <row r="39">
      <c r="A39" s="249" t="str">
        <f>Raw!A39</f>
        <v>38 / D16</v>
      </c>
      <c r="B39" s="250" t="str">
        <f>Raw!B39</f>
        <v>Work Dynamic</v>
      </c>
      <c r="C39" s="251">
        <f>Raw!E39</f>
        <v>39733</v>
      </c>
      <c r="D39" s="250" t="str">
        <f>Raw!F39</f>
        <v>Viking Age Icelandic</v>
      </c>
      <c r="E39" s="250" t="str">
        <f>Raw!D39</f>
        <v>Wareham ON</v>
      </c>
      <c r="F39" s="250" t="str">
        <f>Raw!F39</f>
        <v>Viking Age Icelandic</v>
      </c>
      <c r="G39" s="250">
        <f>Display_All!N39</f>
        <v>65</v>
      </c>
      <c r="H39" s="250">
        <f>Display_All!O39</f>
        <v>37</v>
      </c>
      <c r="I39" s="250">
        <f>Display_All!P39</f>
        <v>28</v>
      </c>
      <c r="J39" s="250">
        <f>Display_All!Q39</f>
        <v>22</v>
      </c>
      <c r="K39" s="250" t="str">
        <f>Display_All!R39</f>
        <v/>
      </c>
      <c r="L39" s="250">
        <f>Display_All!T39</f>
        <v>5</v>
      </c>
      <c r="M39" s="250" t="str">
        <f>Display_All!U39</f>
        <v>10 x 20</v>
      </c>
      <c r="N39" s="279" t="str">
        <f>Display_All!Z39</f>
        <v>natural</v>
      </c>
      <c r="O39" s="264" t="str">
        <f>Raw!H39</f>
        <v>Icelandic</v>
      </c>
      <c r="P39" s="264" t="str">
        <f>Raw!G39</f>
        <v>Y</v>
      </c>
    </row>
    <row r="40">
      <c r="A40" s="249" t="str">
        <f>Raw!A40</f>
        <v>39 / D17</v>
      </c>
      <c r="B40" s="250" t="str">
        <f>Raw!B40</f>
        <v>Icelandic 4</v>
      </c>
      <c r="C40" s="251">
        <f>Raw!E40</f>
        <v>39760</v>
      </c>
      <c r="D40" s="250" t="str">
        <f>Raw!F40</f>
        <v>Viking Age Icelandic</v>
      </c>
      <c r="E40" s="250" t="str">
        <f>Raw!D40</f>
        <v>Wareham ON</v>
      </c>
      <c r="F40" s="250" t="str">
        <f>Raw!F40</f>
        <v>Viking Age Icelandic</v>
      </c>
      <c r="G40" s="250">
        <f>Display_All!N40</f>
        <v>85</v>
      </c>
      <c r="H40" s="250">
        <f>Display_All!O40</f>
        <v>42</v>
      </c>
      <c r="I40" s="250">
        <f>Display_All!P40</f>
        <v>20</v>
      </c>
      <c r="J40" s="250" t="str">
        <f>Display_All!Q40</f>
        <v>26 by 24</v>
      </c>
      <c r="K40" s="250" t="str">
        <f>Display_All!R40</f>
        <v/>
      </c>
      <c r="L40" s="250">
        <f>Display_All!T40</f>
        <v>5</v>
      </c>
      <c r="M40" s="250" t="str">
        <f>Display_All!U40</f>
        <v>10 x 19</v>
      </c>
      <c r="N40" s="279" t="str">
        <f>Display_All!Z40</f>
        <v>natural</v>
      </c>
      <c r="O40" s="264" t="str">
        <f>Raw!H40</f>
        <v>Icelandic</v>
      </c>
      <c r="P40" s="264" t="str">
        <f>Raw!G40</f>
        <v>Y</v>
      </c>
    </row>
    <row r="41">
      <c r="A41" s="249" t="str">
        <f>Raw!A41</f>
        <v>40 / D18</v>
      </c>
      <c r="B41" s="250" t="str">
        <f>Raw!B41</f>
        <v>Vinland 1</v>
      </c>
      <c r="C41" s="251">
        <f>Raw!E41</f>
        <v>39963</v>
      </c>
      <c r="D41" s="250" t="str">
        <f>Raw!F41</f>
        <v>Viking Age Vinland</v>
      </c>
      <c r="E41" s="250" t="str">
        <f>Raw!D41</f>
        <v>Wareham ON</v>
      </c>
      <c r="F41" s="250" t="str">
        <f>Raw!F41</f>
        <v>Viking Age Vinland</v>
      </c>
      <c r="G41" s="250">
        <f>Display_All!N41</f>
        <v>62</v>
      </c>
      <c r="H41" s="250">
        <f>Display_All!O41</f>
        <v>45</v>
      </c>
      <c r="I41" s="250">
        <f>Display_All!P41</f>
        <v>30</v>
      </c>
      <c r="J41" s="250">
        <f>Display_All!Q41</f>
        <v>20</v>
      </c>
      <c r="K41" s="250" t="str">
        <f>Display_All!R41</f>
        <v/>
      </c>
      <c r="L41" s="250">
        <f>Display_All!T41</f>
        <v>5</v>
      </c>
      <c r="M41" s="250" t="str">
        <f>Display_All!U41</f>
        <v>none</v>
      </c>
      <c r="N41" s="279" t="str">
        <f>Display_All!Z41</f>
        <v>natural</v>
      </c>
      <c r="O41" s="264" t="str">
        <f>Raw!H41</f>
        <v>Vinland</v>
      </c>
      <c r="P41" s="264" t="str">
        <f>Raw!G41</f>
        <v>N</v>
      </c>
    </row>
    <row r="42">
      <c r="A42" s="249" t="str">
        <f>Raw!A42</f>
        <v>41 / D19</v>
      </c>
      <c r="B42" s="250" t="str">
        <f>Raw!B42</f>
        <v>Vinland 2</v>
      </c>
      <c r="C42" s="251">
        <f>Raw!E42</f>
        <v>40097</v>
      </c>
      <c r="D42" s="250" t="str">
        <f>Raw!F42</f>
        <v>Viking Age Vinland</v>
      </c>
      <c r="E42" s="250" t="str">
        <f>Raw!D42</f>
        <v>Wareham ON</v>
      </c>
      <c r="F42" s="250" t="str">
        <f>Raw!F42</f>
        <v>Viking Age Vinland</v>
      </c>
      <c r="G42" s="250">
        <f>Display_All!N42</f>
        <v>62</v>
      </c>
      <c r="H42" s="250">
        <f>Display_All!O42</f>
        <v>48</v>
      </c>
      <c r="I42" s="250" t="str">
        <f>Display_All!P42</f>
        <v>varies</v>
      </c>
      <c r="J42" s="250">
        <f>Display_All!Q42</f>
        <v>20</v>
      </c>
      <c r="K42" s="250" t="str">
        <f>Display_All!R42</f>
        <v/>
      </c>
      <c r="L42" s="289" t="str">
        <f>Display_All!T42</f>
        <v>5 + 7</v>
      </c>
      <c r="M42" s="250" t="str">
        <f>Display_All!U42</f>
        <v>none</v>
      </c>
      <c r="N42" s="279" t="str">
        <f>Display_All!Z42</f>
        <v>natural</v>
      </c>
      <c r="O42" s="264" t="str">
        <f>Raw!H42</f>
        <v>Vinland</v>
      </c>
      <c r="P42" s="264" t="str">
        <f>Raw!G42</f>
        <v>N</v>
      </c>
    </row>
    <row r="43">
      <c r="A43" s="249" t="str">
        <f>Raw!A43</f>
        <v>42 / D20</v>
      </c>
      <c r="B43" s="250" t="str">
        <f>Raw!B43</f>
        <v>Vinland 3</v>
      </c>
      <c r="C43" s="251">
        <f>Raw!E43</f>
        <v>40124</v>
      </c>
      <c r="D43" s="250" t="str">
        <f>Raw!F43</f>
        <v>Viking Age Vinland</v>
      </c>
      <c r="E43" s="250" t="str">
        <f>Raw!D43</f>
        <v>Wareham ON</v>
      </c>
      <c r="F43" s="250" t="str">
        <f>Raw!F43</f>
        <v>Viking Age Vinland</v>
      </c>
      <c r="G43" s="250">
        <f>Display_All!N43</f>
        <v>55</v>
      </c>
      <c r="H43" s="250">
        <f>Display_All!O43</f>
        <v>40</v>
      </c>
      <c r="I43" s="250">
        <f>Display_All!P43</f>
        <v>32</v>
      </c>
      <c r="J43" s="250">
        <f>Display_All!Q43</f>
        <v>22</v>
      </c>
      <c r="K43" s="250" t="str">
        <f>Display_All!R43</f>
        <v/>
      </c>
      <c r="L43" s="250">
        <f>Display_All!T43</f>
        <v>5</v>
      </c>
      <c r="M43" s="250" t="str">
        <f>Display_All!U43</f>
        <v>27 x 15</v>
      </c>
      <c r="N43" s="279" t="str">
        <f>Display_All!Z43</f>
        <v>natural</v>
      </c>
      <c r="O43" s="264" t="str">
        <f>Raw!H43</f>
        <v>Vinland</v>
      </c>
      <c r="P43" s="264" t="str">
        <f>Raw!G43</f>
        <v>N</v>
      </c>
    </row>
    <row r="44">
      <c r="A44" s="249" t="str">
        <f>Raw!A44</f>
        <v>43 / D21</v>
      </c>
      <c r="B44" s="250" t="str">
        <f>Raw!B44</f>
        <v>Vinland 4</v>
      </c>
      <c r="C44" s="251">
        <f>Raw!E44</f>
        <v>40341</v>
      </c>
      <c r="D44" s="250" t="str">
        <f>Raw!F44</f>
        <v>Viking Age Vinland</v>
      </c>
      <c r="E44" s="250" t="str">
        <f>Raw!D44</f>
        <v>Wareham ON</v>
      </c>
      <c r="F44" s="250" t="str">
        <f>Raw!F44</f>
        <v>Viking Age Vinland</v>
      </c>
      <c r="G44" s="250">
        <f>Display_All!N44</f>
        <v>68</v>
      </c>
      <c r="H44" s="250">
        <f>Display_All!O44</f>
        <v>48</v>
      </c>
      <c r="I44" s="250" t="str">
        <f>Display_All!P44</f>
        <v>32 to 25</v>
      </c>
      <c r="J44" s="250" t="str">
        <f>Display_All!Q44</f>
        <v>28 to 23</v>
      </c>
      <c r="K44" s="250" t="str">
        <f>Display_All!R44</f>
        <v>28 (E)</v>
      </c>
      <c r="L44" s="250">
        <f>Display_All!T44</f>
        <v>5</v>
      </c>
      <c r="M44" s="250" t="str">
        <f>Display_All!U44</f>
        <v>20 x 14</v>
      </c>
      <c r="N44" s="279" t="str">
        <f>Display_All!Z44</f>
        <v>natural</v>
      </c>
      <c r="O44" s="264" t="str">
        <f>Raw!H44</f>
        <v>Vinland</v>
      </c>
      <c r="P44" s="264" t="str">
        <f>Raw!G44</f>
        <v>N</v>
      </c>
    </row>
    <row r="45">
      <c r="A45" s="249" t="str">
        <f>Raw!A45</f>
        <v>44 / D22</v>
      </c>
      <c r="B45" s="250" t="str">
        <f>Raw!B45</f>
        <v>Vinland 5 demo</v>
      </c>
      <c r="C45" s="251">
        <f>Raw!E45</f>
        <v>40411</v>
      </c>
      <c r="D45" s="250" t="str">
        <f>Raw!F45</f>
        <v>Viking Age Vinland</v>
      </c>
      <c r="E45" s="250" t="str">
        <f>Raw!D45</f>
        <v>L'Anse aux Meadows NL</v>
      </c>
      <c r="F45" s="250" t="str">
        <f>Raw!F45</f>
        <v>Viking Age Vinland</v>
      </c>
      <c r="G45" s="250">
        <f>Display_All!N45</f>
        <v>63</v>
      </c>
      <c r="H45" s="250">
        <f>Display_All!O45</f>
        <v>45</v>
      </c>
      <c r="I45" s="250" t="str">
        <f>Display_All!P45</f>
        <v>33 to 29</v>
      </c>
      <c r="J45" s="250" t="str">
        <f>Display_All!Q45</f>
        <v>24 by 22</v>
      </c>
      <c r="K45" s="250" t="str">
        <f>Display_All!R45</f>
        <v/>
      </c>
      <c r="L45" s="250" t="str">
        <f>Display_All!T45</f>
        <v>7 to 9</v>
      </c>
      <c r="M45" s="250" t="str">
        <f>Display_All!U45</f>
        <v>25 x 20</v>
      </c>
      <c r="N45" s="279" t="str">
        <f>Display_All!Z45</f>
        <v>natural</v>
      </c>
      <c r="O45" s="264" t="str">
        <f>Raw!H45</f>
        <v>Vinland</v>
      </c>
      <c r="P45" s="264" t="str">
        <f>Raw!G45</f>
        <v>Y</v>
      </c>
    </row>
    <row r="46">
      <c r="A46" s="249" t="str">
        <f>Raw!A46</f>
        <v>45 / D23</v>
      </c>
      <c r="B46" s="250" t="str">
        <f>Raw!B46</f>
        <v>CanIRON 8 test</v>
      </c>
      <c r="C46" s="251">
        <f>Raw!E46</f>
        <v>40488</v>
      </c>
      <c r="D46" s="250" t="str">
        <f>Raw!F46</f>
        <v>modern</v>
      </c>
      <c r="E46" s="250" t="str">
        <f>Raw!D46</f>
        <v>Wareham ON</v>
      </c>
      <c r="F46" s="250" t="str">
        <f>Raw!F46</f>
        <v>modern</v>
      </c>
      <c r="G46" s="250">
        <f>Display_All!N46</f>
        <v>76</v>
      </c>
      <c r="H46" s="250">
        <f>Display_All!O46</f>
        <v>55</v>
      </c>
      <c r="I46" s="250">
        <f>Display_All!P46</f>
        <v>45</v>
      </c>
      <c r="J46" s="250">
        <f>Display_All!Q46</f>
        <v>28</v>
      </c>
      <c r="K46" s="250" t="str">
        <f>Display_All!R46</f>
        <v/>
      </c>
      <c r="L46" s="250" t="str">
        <f>Display_All!T46</f>
        <v>10 +</v>
      </c>
      <c r="M46" s="250" t="str">
        <f>Display_All!U46</f>
        <v>none</v>
      </c>
      <c r="N46" s="279" t="str">
        <f>Display_All!Z46</f>
        <v>charcoal fines</v>
      </c>
      <c r="O46" s="264" t="str">
        <f>Raw!H46</f>
        <v/>
      </c>
      <c r="P46" s="264" t="str">
        <f>Raw!G46</f>
        <v>N</v>
      </c>
    </row>
    <row r="47">
      <c r="A47" s="249">
        <f>Raw!A47</f>
        <v>46</v>
      </c>
      <c r="B47" s="250" t="str">
        <f>Raw!B47</f>
        <v>Africa'</v>
      </c>
      <c r="C47" s="251">
        <f>Raw!E47</f>
        <v>40620</v>
      </c>
      <c r="D47" s="250" t="str">
        <f>Raw!F47</f>
        <v>Africian</v>
      </c>
      <c r="E47" s="250" t="str">
        <f>Raw!D47</f>
        <v>Lexington VA</v>
      </c>
      <c r="F47" s="250" t="str">
        <f>Raw!F47</f>
        <v>Africian</v>
      </c>
      <c r="G47" s="250">
        <f>Display_All!N47</f>
        <v>310</v>
      </c>
      <c r="H47" s="250">
        <f>Display_All!O47</f>
        <v>85</v>
      </c>
      <c r="I47" s="250">
        <f>Display_All!P47</f>
        <v>110</v>
      </c>
      <c r="J47" s="250">
        <f>Display_All!Q47</f>
        <v>65</v>
      </c>
      <c r="K47" s="250" t="str">
        <f>Display_All!R47</f>
        <v/>
      </c>
      <c r="L47" s="250">
        <f>Display_All!T47</f>
        <v>20</v>
      </c>
      <c r="M47" s="250" t="str">
        <f>Display_All!U47</f>
        <v>slag pit</v>
      </c>
      <c r="N47" s="279" t="str">
        <f>Display_All!Z47</f>
        <v>sticks / straw</v>
      </c>
      <c r="O47" s="264" t="str">
        <f>Raw!H47</f>
        <v/>
      </c>
      <c r="P47" s="264" t="str">
        <f>Raw!G47</f>
        <v>N</v>
      </c>
    </row>
    <row r="48">
      <c r="A48" s="249">
        <f>Raw!A48</f>
        <v>47</v>
      </c>
      <c r="B48" s="250" t="str">
        <f>Raw!B48</f>
        <v>Experiment &amp; Iron</v>
      </c>
      <c r="C48" s="251">
        <f>Raw!E48</f>
        <v>40654</v>
      </c>
      <c r="D48" s="250" t="str">
        <f>Raw!F48</f>
        <v>Viking Age</v>
      </c>
      <c r="E48" s="250" t="str">
        <f>Raw!D48</f>
        <v>Bristol RI</v>
      </c>
      <c r="F48" s="250" t="str">
        <f>Raw!F48</f>
        <v>Viking Age</v>
      </c>
      <c r="G48" s="250">
        <f>Display_All!N48</f>
        <v>64</v>
      </c>
      <c r="H48" s="250">
        <f>Display_All!O48</f>
        <v>48</v>
      </c>
      <c r="I48" s="250">
        <f>Display_All!P48</f>
        <v>39</v>
      </c>
      <c r="J48" s="250" t="str">
        <f>Display_All!Q48</f>
        <v>25 to 24</v>
      </c>
      <c r="K48" s="250" t="str">
        <f>Display_All!R48</f>
        <v>25 (E)</v>
      </c>
      <c r="L48" s="250">
        <f>Display_All!T48</f>
        <v>8.5</v>
      </c>
      <c r="M48" s="250" t="str">
        <f>Display_All!U48</f>
        <v>8.5 x 25</v>
      </c>
      <c r="N48" s="279" t="str">
        <f>Display_All!Z48</f>
        <v>natural</v>
      </c>
      <c r="O48" s="264" t="str">
        <f>Raw!H48</f>
        <v>Teaching</v>
      </c>
      <c r="P48" s="264" t="str">
        <f>Raw!G48</f>
        <v>N</v>
      </c>
    </row>
    <row r="49">
      <c r="A49" s="249" t="str">
        <f>Raw!A49</f>
        <v>D24</v>
      </c>
      <c r="B49" s="250" t="str">
        <f>Raw!B49</f>
        <v>CanIRON 8 test</v>
      </c>
      <c r="C49" s="251">
        <f>Raw!E49</f>
        <v>40705</v>
      </c>
      <c r="D49" s="250" t="str">
        <f>Raw!F49</f>
        <v>modern</v>
      </c>
      <c r="E49" s="250" t="str">
        <f>Raw!D49</f>
        <v>Wareham ON</v>
      </c>
      <c r="F49" s="250" t="str">
        <f>Raw!F49</f>
        <v>modern</v>
      </c>
      <c r="G49" s="250">
        <f>Display_All!N49</f>
        <v>65</v>
      </c>
      <c r="H49" s="250">
        <f>Display_All!O49</f>
        <v>45</v>
      </c>
      <c r="I49" s="250">
        <f>Display_All!P49</f>
        <v>45</v>
      </c>
      <c r="J49" s="250">
        <f>Display_All!Q49</f>
        <v>25</v>
      </c>
      <c r="K49" s="250" t="str">
        <f>Display_All!R49</f>
        <v/>
      </c>
      <c r="L49" s="250" t="str">
        <f>Display_All!T49</f>
        <v>10 +</v>
      </c>
      <c r="M49" s="250" t="str">
        <f>Display_All!U49</f>
        <v>none</v>
      </c>
      <c r="N49" s="279" t="str">
        <f>Display_All!Z49</f>
        <v>charcoal fines</v>
      </c>
      <c r="O49" s="264" t="str">
        <f>Raw!H49</f>
        <v/>
      </c>
      <c r="P49" s="264" t="str">
        <f>Raw!G49</f>
        <v>N</v>
      </c>
    </row>
    <row r="50">
      <c r="A50" s="249" t="str">
        <f>Raw!A50</f>
        <v>D25</v>
      </c>
      <c r="B50" s="250" t="str">
        <f>Raw!B50</f>
        <v>CanIRON 8 demo</v>
      </c>
      <c r="C50" s="251">
        <f>Raw!E50</f>
        <v>40752</v>
      </c>
      <c r="D50" s="250" t="str">
        <f>Raw!F50</f>
        <v>modern</v>
      </c>
      <c r="E50" s="250" t="str">
        <f>Raw!D50</f>
        <v>Fergus ON</v>
      </c>
      <c r="F50" s="250" t="str">
        <f>Raw!F50</f>
        <v>modern</v>
      </c>
      <c r="G50" s="250">
        <f>Display_All!N50</f>
        <v>65</v>
      </c>
      <c r="H50" s="250">
        <f>Display_All!O50</f>
        <v>45</v>
      </c>
      <c r="I50" s="250">
        <f>Display_All!P50</f>
        <v>45</v>
      </c>
      <c r="J50" s="250">
        <f>Display_All!Q50</f>
        <v>25</v>
      </c>
      <c r="K50" s="250" t="str">
        <f>Display_All!R50</f>
        <v/>
      </c>
      <c r="L50" s="250" t="str">
        <f>Display_All!T50</f>
        <v>10 +</v>
      </c>
      <c r="M50" s="250" t="str">
        <f>Display_All!U50</f>
        <v>none</v>
      </c>
      <c r="N50" s="279" t="str">
        <f>Display_All!Z50</f>
        <v>charcoal fines</v>
      </c>
      <c r="O50" s="264" t="str">
        <f>Raw!H50</f>
        <v/>
      </c>
      <c r="P50" s="264" t="str">
        <f>Raw!G50</f>
        <v>Y</v>
      </c>
    </row>
    <row r="51">
      <c r="A51" s="249" t="str">
        <f>Raw!A51</f>
        <v>48 / D26</v>
      </c>
      <c r="B51" s="250" t="str">
        <f>Raw!B51</f>
        <v>Slag Pit 1</v>
      </c>
      <c r="C51" s="251">
        <f>Raw!E51</f>
        <v>40825</v>
      </c>
      <c r="D51" s="250" t="str">
        <f>Raw!F51</f>
        <v>Celtic Iron Age</v>
      </c>
      <c r="E51" s="250" t="str">
        <f>Raw!D51</f>
        <v>Wareham ON</v>
      </c>
      <c r="F51" s="250" t="str">
        <f>Raw!F51</f>
        <v>Celtic Iron Age</v>
      </c>
      <c r="G51" s="250">
        <f>Display_All!N51</f>
        <v>55</v>
      </c>
      <c r="H51" s="250">
        <f>Display_All!O51</f>
        <v>43</v>
      </c>
      <c r="I51" s="250">
        <f>Display_All!P51</f>
        <v>40</v>
      </c>
      <c r="J51" s="250">
        <f>Display_All!Q51</f>
        <v>25</v>
      </c>
      <c r="K51" s="250" t="str">
        <f>Display_All!R51</f>
        <v/>
      </c>
      <c r="L51" s="250">
        <f>Display_All!T51</f>
        <v>7.5</v>
      </c>
      <c r="M51" s="250" t="str">
        <f>Display_All!U51</f>
        <v>19 x 10</v>
      </c>
      <c r="N51" s="279" t="str">
        <f>Display_All!Z51</f>
        <v>charcoal fines</v>
      </c>
      <c r="O51" s="264" t="str">
        <f>Raw!H51</f>
        <v/>
      </c>
      <c r="P51" s="264" t="str">
        <f>Raw!G51</f>
        <v>N</v>
      </c>
    </row>
    <row r="52">
      <c r="A52" s="249">
        <f>Raw!A52</f>
        <v>49</v>
      </c>
      <c r="B52" s="250" t="str">
        <f>Raw!B52</f>
        <v>Slag Pit 2</v>
      </c>
      <c r="C52" s="251">
        <f>Raw!E52</f>
        <v>40852</v>
      </c>
      <c r="D52" s="250" t="str">
        <f>Raw!F52</f>
        <v>Celtic Iron Age</v>
      </c>
      <c r="E52" s="250" t="str">
        <f>Raw!D52</f>
        <v>Wareham ON</v>
      </c>
      <c r="F52" s="250" t="str">
        <f>Raw!F52</f>
        <v>Celtic Iron Age</v>
      </c>
      <c r="G52" s="250">
        <f>Display_All!N52</f>
        <v>55</v>
      </c>
      <c r="H52" s="250">
        <f>Display_All!O52</f>
        <v>43</v>
      </c>
      <c r="I52" s="250">
        <f>Display_All!P52</f>
        <v>40</v>
      </c>
      <c r="J52" s="250">
        <f>Display_All!Q52</f>
        <v>25</v>
      </c>
      <c r="K52" s="250" t="str">
        <f>Display_All!R52</f>
        <v/>
      </c>
      <c r="L52" s="250">
        <f>Display_All!T52</f>
        <v>7.5</v>
      </c>
      <c r="M52" s="250" t="str">
        <f>Display_All!U52</f>
        <v>19 x 10</v>
      </c>
      <c r="N52" s="279" t="str">
        <f>Display_All!Z52</f>
        <v>charcoal fines</v>
      </c>
      <c r="O52" s="264" t="str">
        <f>Raw!H52</f>
        <v/>
      </c>
      <c r="P52" s="264" t="str">
        <f>Raw!G52</f>
        <v>N</v>
      </c>
    </row>
    <row r="53">
      <c r="A53" s="249">
        <f>Raw!A53</f>
        <v>50</v>
      </c>
      <c r="B53" s="250" t="str">
        <f>Raw!B53</f>
        <v>Production</v>
      </c>
      <c r="C53" s="251">
        <f>Raw!E53</f>
        <v>41034</v>
      </c>
      <c r="D53" s="250" t="str">
        <f>Raw!F53</f>
        <v>modern</v>
      </c>
      <c r="E53" s="250" t="str">
        <f>Raw!D53</f>
        <v>Wareham ON</v>
      </c>
      <c r="F53" s="250" t="str">
        <f>Raw!F53</f>
        <v>modern</v>
      </c>
      <c r="G53" s="250">
        <f>Display_All!N53</f>
        <v>77</v>
      </c>
      <c r="H53" s="250">
        <f>Display_All!O53</f>
        <v>48</v>
      </c>
      <c r="I53" s="250" t="str">
        <f>Display_All!P53</f>
        <v>40 to 35</v>
      </c>
      <c r="J53" s="250" t="str">
        <f>Display_All!Q53</f>
        <v>29 to 25.5</v>
      </c>
      <c r="K53" s="250">
        <f>Display_All!R53</f>
        <v>28.5</v>
      </c>
      <c r="L53" s="250" t="str">
        <f>Display_All!T53</f>
        <v>NR to 5</v>
      </c>
      <c r="M53" s="250" t="str">
        <f>Display_All!U53</f>
        <v>23 x 23</v>
      </c>
      <c r="N53" s="279" t="str">
        <f>Display_All!Z53</f>
        <v>charcoal fines</v>
      </c>
      <c r="O53" s="264" t="str">
        <f>Raw!H53</f>
        <v/>
      </c>
      <c r="P53" s="264" t="str">
        <f>Raw!G53</f>
        <v>N</v>
      </c>
    </row>
    <row r="54">
      <c r="A54" s="249" t="str">
        <f>Raw!A54</f>
        <v>51 / D27</v>
      </c>
      <c r="B54" s="250" t="str">
        <f>Raw!B54</f>
        <v>Icelandic 5</v>
      </c>
      <c r="C54" s="251">
        <f>Raw!E54</f>
        <v>41055</v>
      </c>
      <c r="D54" s="250" t="str">
        <f>Raw!F54</f>
        <v>Viking Age Icelandic</v>
      </c>
      <c r="E54" s="250" t="str">
        <f>Raw!D54</f>
        <v>Wareham ON</v>
      </c>
      <c r="F54" s="250" t="str">
        <f>Raw!F54</f>
        <v>Viking Age Icelandic</v>
      </c>
      <c r="G54" s="250">
        <f>Display_All!N54</f>
        <v>60</v>
      </c>
      <c r="H54" s="250">
        <f>Display_All!O54</f>
        <v>48</v>
      </c>
      <c r="I54" s="250" t="str">
        <f>Display_All!P54</f>
        <v>36 - 34</v>
      </c>
      <c r="J54" s="250" t="str">
        <f>Display_All!Q54</f>
        <v>28 by 26</v>
      </c>
      <c r="K54" s="250" t="str">
        <f>Display_All!R54</f>
        <v/>
      </c>
      <c r="L54" s="250">
        <f>Display_All!T54</f>
        <v>4</v>
      </c>
      <c r="M54" s="250" t="str">
        <f>Display_All!U54</f>
        <v>10 x 14</v>
      </c>
      <c r="N54" s="279" t="str">
        <f>Display_All!Z54</f>
        <v>ash &amp; fines</v>
      </c>
      <c r="O54" s="264" t="str">
        <f>Raw!H54</f>
        <v>Icelandic</v>
      </c>
      <c r="P54" s="264" t="str">
        <f>Raw!G54</f>
        <v>Y</v>
      </c>
    </row>
    <row r="55">
      <c r="A55" s="249">
        <f>Raw!A55</f>
        <v>52</v>
      </c>
      <c r="B55" s="250" t="str">
        <f>Raw!B55</f>
        <v>Celtic Festival</v>
      </c>
      <c r="C55" s="251">
        <f>Raw!E55</f>
        <v>41132</v>
      </c>
      <c r="D55" s="250" t="str">
        <f>Raw!F55</f>
        <v>Viking Age</v>
      </c>
      <c r="E55" s="250" t="str">
        <f>Raw!D55</f>
        <v>Goderich ON</v>
      </c>
      <c r="F55" s="250" t="str">
        <f>Raw!F55</f>
        <v>Viking Age</v>
      </c>
      <c r="G55" s="250">
        <f>Display_All!N55</f>
        <v>64</v>
      </c>
      <c r="H55" s="250">
        <f>Display_All!O55</f>
        <v>45</v>
      </c>
      <c r="I55" s="250" t="str">
        <f>Display_All!P55</f>
        <v>41- 37</v>
      </c>
      <c r="J55" s="250" t="str">
        <f>Display_All!Q55</f>
        <v>29 by 27</v>
      </c>
      <c r="K55" s="250" t="str">
        <f>Display_All!R55</f>
        <v/>
      </c>
      <c r="L55" s="250" t="str">
        <f>Display_All!T55</f>
        <v>6 to 5</v>
      </c>
      <c r="M55" s="250" t="str">
        <f>Display_All!U55</f>
        <v>15 x 11</v>
      </c>
      <c r="N55" s="279" t="str">
        <f>Display_All!Z55</f>
        <v>ash &amp; fines</v>
      </c>
      <c r="O55" s="264" t="str">
        <f>Raw!H55</f>
        <v>Teaching</v>
      </c>
      <c r="P55" s="264" t="str">
        <f>Raw!G55</f>
        <v>Y</v>
      </c>
    </row>
    <row r="56">
      <c r="A56" s="249">
        <f>Raw!A56</f>
        <v>53</v>
      </c>
      <c r="B56" s="250" t="str">
        <f>Raw!B56</f>
        <v>ICMS demo</v>
      </c>
      <c r="C56" s="251">
        <f>Raw!E56</f>
        <v>41405</v>
      </c>
      <c r="D56" s="250" t="str">
        <f>Raw!F56</f>
        <v>Viking Age</v>
      </c>
      <c r="E56" s="250" t="str">
        <f>Raw!D56</f>
        <v>Kalamzoo MI</v>
      </c>
      <c r="F56" s="250" t="str">
        <f>Raw!F56</f>
        <v>Viking Age</v>
      </c>
      <c r="G56" s="250">
        <f>Display_All!N56</f>
        <v>72</v>
      </c>
      <c r="H56" s="250">
        <f>Display_All!O56</f>
        <v>59</v>
      </c>
      <c r="I56" s="250">
        <f>Display_All!P56</f>
        <v>37</v>
      </c>
      <c r="J56" s="250">
        <f>Display_All!Q56</f>
        <v>28</v>
      </c>
      <c r="K56" s="250" t="str">
        <f>Display_All!R56</f>
        <v/>
      </c>
      <c r="L56" s="250" t="str">
        <f>Display_All!T56</f>
        <v>7.5 to 4.5</v>
      </c>
      <c r="M56" s="250" t="str">
        <f>Display_All!U56</f>
        <v>15 x 6.5</v>
      </c>
      <c r="N56" s="279" t="str">
        <f>Display_All!Z56</f>
        <v>charcoal fines</v>
      </c>
      <c r="O56" s="264" t="str">
        <f>Raw!H56</f>
        <v/>
      </c>
      <c r="P56" s="264" t="str">
        <f>Raw!G56</f>
        <v>Y</v>
      </c>
    </row>
    <row r="57">
      <c r="A57" s="249">
        <f>Raw!A57</f>
        <v>54</v>
      </c>
      <c r="B57" s="250" t="str">
        <f>Raw!B57</f>
        <v>Intro Smelting</v>
      </c>
      <c r="C57" s="251">
        <f>Raw!E57</f>
        <v>41420</v>
      </c>
      <c r="D57" s="250" t="str">
        <f>Raw!F57</f>
        <v>Viking Age</v>
      </c>
      <c r="E57" s="250" t="str">
        <f>Raw!D57</f>
        <v>Wareham ON</v>
      </c>
      <c r="F57" s="250" t="str">
        <f>Raw!F57</f>
        <v>Viking Age</v>
      </c>
      <c r="G57" s="250">
        <f>Display_All!N57</f>
        <v>72</v>
      </c>
      <c r="H57" s="250">
        <f>Display_All!O57</f>
        <v>57</v>
      </c>
      <c r="I57" s="250">
        <f>Display_All!P57</f>
        <v>43</v>
      </c>
      <c r="J57" s="250" t="str">
        <f>Display_All!Q57</f>
        <v>29 by 27</v>
      </c>
      <c r="K57" s="250" t="str">
        <f>Display_All!R57</f>
        <v/>
      </c>
      <c r="L57" s="250" t="str">
        <f>Display_All!T57</f>
        <v>6 to 5</v>
      </c>
      <c r="M57" s="250" t="str">
        <f>Display_All!U57</f>
        <v>18 x 10</v>
      </c>
      <c r="N57" s="279" t="str">
        <f>Display_All!Z57</f>
        <v>charcoal fines</v>
      </c>
      <c r="O57" s="264" t="str">
        <f>Raw!H57</f>
        <v>Teaching</v>
      </c>
      <c r="P57" s="264" t="str">
        <f>Raw!G57</f>
        <v>N</v>
      </c>
    </row>
    <row r="58">
      <c r="A58" s="249">
        <f>Raw!A58</f>
        <v>55</v>
      </c>
      <c r="B58" s="250" t="str">
        <f>Raw!B58</f>
        <v>Experiment &amp; Iron</v>
      </c>
      <c r="C58" s="251">
        <f>Raw!E58</f>
        <v>41569</v>
      </c>
      <c r="D58" s="250" t="str">
        <f>Raw!F58</f>
        <v>Viking Age</v>
      </c>
      <c r="E58" s="250" t="str">
        <f>Raw!D58</f>
        <v>Washington College MD</v>
      </c>
      <c r="F58" s="250" t="str">
        <f>Raw!F58</f>
        <v>Viking Age</v>
      </c>
      <c r="G58" s="250">
        <f>Display_All!N58</f>
        <v>64</v>
      </c>
      <c r="H58" s="250">
        <f>Display_All!O58</f>
        <v>54</v>
      </c>
      <c r="I58" s="250">
        <f>Display_All!P58</f>
        <v>36</v>
      </c>
      <c r="J58" s="250">
        <f>Display_All!Q58</f>
        <v>28</v>
      </c>
      <c r="K58" s="250" t="str">
        <f>Display_All!R58</f>
        <v/>
      </c>
      <c r="L58" s="250">
        <f>Display_All!T58</f>
        <v>4</v>
      </c>
      <c r="M58" s="250">
        <f>Display_All!U58</f>
        <v>13</v>
      </c>
      <c r="N58" s="279" t="str">
        <f>Display_All!Z58</f>
        <v>charcoal fines</v>
      </c>
      <c r="O58" s="264" t="str">
        <f>Raw!H58</f>
        <v>Teaching</v>
      </c>
      <c r="P58" s="264" t="str">
        <f>Raw!G58</f>
        <v>N</v>
      </c>
    </row>
    <row r="59">
      <c r="A59" s="249">
        <f>Raw!A59</f>
        <v>56</v>
      </c>
      <c r="B59" s="250" t="str">
        <f>Raw!B59</f>
        <v>T2T prototype</v>
      </c>
      <c r="C59" s="251">
        <f>Raw!E59</f>
        <v>41804</v>
      </c>
      <c r="D59" s="250" t="str">
        <f>Raw!F59</f>
        <v>Pictish 200 - 400 AD</v>
      </c>
      <c r="E59" s="250" t="str">
        <f>Raw!D59</f>
        <v>Wareham ON</v>
      </c>
      <c r="F59" s="250" t="str">
        <f>Raw!F59</f>
        <v>Pictish 200 - 400 AD</v>
      </c>
      <c r="G59" s="250">
        <f>Display_All!N59</f>
        <v>61</v>
      </c>
      <c r="H59" s="250">
        <f>Display_All!O59</f>
        <v>45</v>
      </c>
      <c r="I59" s="250" t="str">
        <f>Display_All!P59</f>
        <v>52 to 32</v>
      </c>
      <c r="J59" s="250" t="str">
        <f>Display_All!Q59</f>
        <v>36 to 24</v>
      </c>
      <c r="K59" s="250" t="str">
        <f>Display_All!R59</f>
        <v>32 (E)</v>
      </c>
      <c r="L59" s="250" t="str">
        <f>Display_All!T59</f>
        <v>8 to 5</v>
      </c>
      <c r="M59" s="250" t="str">
        <f>Display_All!U59</f>
        <v>18 x 21</v>
      </c>
      <c r="N59" s="279" t="str">
        <f>Display_All!Z59</f>
        <v>charcoal fines</v>
      </c>
      <c r="O59" s="264" t="str">
        <f>Raw!H59</f>
        <v>Turf-to-Tools</v>
      </c>
      <c r="P59" s="264" t="str">
        <f>Raw!G59</f>
        <v>N</v>
      </c>
    </row>
    <row r="60">
      <c r="A60" s="249">
        <f>Raw!A60</f>
        <v>57</v>
      </c>
      <c r="B60" s="250" t="str">
        <f>Raw!B60</f>
        <v>T2T 1A</v>
      </c>
      <c r="C60" s="251">
        <f>Raw!E60</f>
        <v>41862</v>
      </c>
      <c r="D60" s="250" t="str">
        <f>Raw!F60</f>
        <v>Pictish 200 - 400 AD</v>
      </c>
      <c r="E60" s="250" t="str">
        <f>Raw!D60</f>
        <v>Lumsden Scotland</v>
      </c>
      <c r="F60" s="250" t="str">
        <f>Raw!F60</f>
        <v>Pictish 200 - 400 AD</v>
      </c>
      <c r="G60" s="250">
        <f>Display_All!N60</f>
        <v>66</v>
      </c>
      <c r="H60" s="250">
        <f>Display_All!O60</f>
        <v>45</v>
      </c>
      <c r="I60" s="250" t="str">
        <f>Display_All!P60</f>
        <v>45 to 30</v>
      </c>
      <c r="J60" s="250" t="str">
        <f>Display_All!Q60</f>
        <v>29 by 20</v>
      </c>
      <c r="K60" s="250" t="str">
        <f>Display_All!R60</f>
        <v>24 (E)</v>
      </c>
      <c r="L60" s="250" t="str">
        <f>Display_All!T60</f>
        <v>8 to 5</v>
      </c>
      <c r="M60" s="250" t="str">
        <f>Display_All!U60</f>
        <v>25 x 18</v>
      </c>
      <c r="N60" s="279" t="str">
        <f>Display_All!Z60</f>
        <v>charcoal fines</v>
      </c>
      <c r="O60" s="264" t="str">
        <f>Raw!H60</f>
        <v>Turf-to-Tools</v>
      </c>
      <c r="P60" s="264" t="str">
        <f>Raw!G60</f>
        <v>N</v>
      </c>
    </row>
    <row r="61">
      <c r="A61" s="249">
        <f>Raw!A61</f>
        <v>58</v>
      </c>
      <c r="B61" s="250" t="str">
        <f>Raw!B61</f>
        <v>T2T 1B</v>
      </c>
      <c r="C61" s="251">
        <f>Raw!E61</f>
        <v>41865</v>
      </c>
      <c r="D61" s="250" t="str">
        <f>Raw!F61</f>
        <v>Pictish 200 - 400 AD</v>
      </c>
      <c r="E61" s="250" t="str">
        <f>Raw!D61</f>
        <v>Lumsden Scotland</v>
      </c>
      <c r="F61" s="250" t="str">
        <f>Raw!F61</f>
        <v>Pictish 200 - 400 AD</v>
      </c>
      <c r="G61" s="250">
        <f>Display_All!N61</f>
        <v>66</v>
      </c>
      <c r="H61" s="250">
        <f>Display_All!O61</f>
        <v>45</v>
      </c>
      <c r="I61" s="250" t="str">
        <f>Display_All!P61</f>
        <v>45 to 30</v>
      </c>
      <c r="J61" s="250" t="str">
        <f>Display_All!Q61</f>
        <v>29 by 20</v>
      </c>
      <c r="K61" s="250" t="str">
        <f>Display_All!R61</f>
        <v>24 (E)</v>
      </c>
      <c r="L61" s="250" t="str">
        <f>Display_All!T61</f>
        <v>8 to 5</v>
      </c>
      <c r="M61" s="250" t="str">
        <f>Display_All!U61</f>
        <v>25 x 18</v>
      </c>
      <c r="N61" s="279" t="str">
        <f>Display_All!Z61</f>
        <v>charcoal fines</v>
      </c>
      <c r="O61" s="264" t="str">
        <f>Raw!H61</f>
        <v>Turf-to-Tools</v>
      </c>
      <c r="P61" s="264" t="str">
        <f>Raw!G61</f>
        <v>N</v>
      </c>
    </row>
    <row r="62">
      <c r="A62" s="249">
        <f>Raw!A62</f>
        <v>59</v>
      </c>
      <c r="B62" s="250" t="str">
        <f>Raw!B62</f>
        <v>T2T 1C</v>
      </c>
      <c r="C62" s="251">
        <f>Raw!E62</f>
        <v>41868</v>
      </c>
      <c r="D62" s="250" t="str">
        <f>Raw!F62</f>
        <v>Pictish 200 - 400 AD</v>
      </c>
      <c r="E62" s="250" t="str">
        <f>Raw!D62</f>
        <v>Lumsden Scotland</v>
      </c>
      <c r="F62" s="250" t="str">
        <f>Raw!F62</f>
        <v>Pictish 200 - 400 AD</v>
      </c>
      <c r="G62" s="250">
        <f>Display_All!N62</f>
        <v>64</v>
      </c>
      <c r="H62" s="250">
        <f>Display_All!O62</f>
        <v>58</v>
      </c>
      <c r="I62" s="250" t="str">
        <f>Display_All!P62</f>
        <v>NR to 30</v>
      </c>
      <c r="J62" s="250" t="str">
        <f>Display_All!Q62</f>
        <v>NR to 20</v>
      </c>
      <c r="K62" s="250" t="str">
        <f>Display_All!R62</f>
        <v>23 (E)</v>
      </c>
      <c r="L62" s="250" t="str">
        <f>Display_All!T62</f>
        <v>8 to 5</v>
      </c>
      <c r="M62" s="250" t="str">
        <f>Display_All!U62</f>
        <v>NR</v>
      </c>
      <c r="N62" s="279" t="str">
        <f>Display_All!Z62</f>
        <v>charcoal fines</v>
      </c>
      <c r="O62" s="264" t="str">
        <f>Raw!H62</f>
        <v>Turf-to-Tools</v>
      </c>
      <c r="P62" s="264" t="str">
        <f>Raw!G62</f>
        <v>Y</v>
      </c>
    </row>
    <row r="63">
      <c r="A63" s="249" t="str">
        <f>Raw!A63</f>
        <v>T1</v>
      </c>
      <c r="B63" s="250" t="str">
        <f>Raw!B63</f>
        <v>Peat Test</v>
      </c>
      <c r="C63" s="251">
        <f>Raw!E63</f>
        <v>41872</v>
      </c>
      <c r="D63" s="250" t="str">
        <f>Raw!F63</f>
        <v>Scotish</v>
      </c>
      <c r="E63" s="250" t="str">
        <f>Raw!D63</f>
        <v>Lumsden Scotland</v>
      </c>
      <c r="F63" s="250" t="str">
        <f>Raw!F63</f>
        <v>Scotish</v>
      </c>
      <c r="G63" s="250">
        <f>Display_All!N63</f>
        <v>64</v>
      </c>
      <c r="H63" s="250">
        <f>Display_All!O63</f>
        <v>58</v>
      </c>
      <c r="I63" s="250" t="str">
        <f>Display_All!P63</f>
        <v>NR to 30</v>
      </c>
      <c r="J63" s="250" t="str">
        <f>Display_All!Q63</f>
        <v>NR to 20</v>
      </c>
      <c r="K63" s="250" t="str">
        <f>Display_All!R63</f>
        <v>23 (E)</v>
      </c>
      <c r="L63" s="250" t="str">
        <f>Display_All!T63</f>
        <v>8 to 5</v>
      </c>
      <c r="M63" s="250" t="str">
        <f>Display_All!U63</f>
        <v>NR</v>
      </c>
      <c r="N63" s="279" t="str">
        <f>Display_All!Z63</f>
        <v>charcoal fines</v>
      </c>
      <c r="O63" s="264" t="str">
        <f>Raw!H63</f>
        <v>Turf-to-Tools</v>
      </c>
      <c r="P63" s="264" t="str">
        <f>Raw!G63</f>
        <v>N</v>
      </c>
    </row>
    <row r="64">
      <c r="A64" s="249" t="str">
        <f>Raw!A64</f>
        <v>60 / D28</v>
      </c>
      <c r="B64" s="250" t="str">
        <f>Raw!B64</f>
        <v>Icelandic 6</v>
      </c>
      <c r="C64" s="251">
        <f>Raw!E64</f>
        <v>42175</v>
      </c>
      <c r="D64" s="250" t="str">
        <f>Raw!F64</f>
        <v>Viking Age Icelandic</v>
      </c>
      <c r="E64" s="250" t="str">
        <f>Raw!D64</f>
        <v>Wareham ON</v>
      </c>
      <c r="F64" s="250" t="str">
        <f>Raw!F64</f>
        <v>Viking Age Icelandic</v>
      </c>
      <c r="G64" s="250">
        <f>Display_All!N64</f>
        <v>82</v>
      </c>
      <c r="H64" s="250">
        <f>Display_All!O64</f>
        <v>50</v>
      </c>
      <c r="I64" s="250" t="str">
        <f>Display_All!P64</f>
        <v>turf</v>
      </c>
      <c r="J64" s="250">
        <f>Display_All!Q64</f>
        <v>34</v>
      </c>
      <c r="K64" s="250" t="str">
        <f>Display_All!R64</f>
        <v/>
      </c>
      <c r="L64" s="250" t="str">
        <f>Display_All!T64</f>
        <v>none</v>
      </c>
      <c r="M64" s="250" t="str">
        <f>Display_All!U64</f>
        <v>18 x 20</v>
      </c>
      <c r="N64" s="279" t="str">
        <f>Display_All!Z64</f>
        <v>charcoal fines</v>
      </c>
      <c r="O64" s="264" t="str">
        <f>Raw!H64</f>
        <v>Icelandic</v>
      </c>
      <c r="P64" s="264" t="str">
        <f>Raw!G64</f>
        <v>Y</v>
      </c>
    </row>
    <row r="65">
      <c r="A65" s="249" t="str">
        <f>Raw!A65</f>
        <v>61 / D29</v>
      </c>
      <c r="B65" s="250" t="str">
        <f>Raw!B65</f>
        <v>Icelandic 7</v>
      </c>
      <c r="C65" s="251">
        <f>Raw!E65</f>
        <v>42289</v>
      </c>
      <c r="D65" s="250" t="str">
        <f>Raw!F65</f>
        <v>Viking Age Icelandic</v>
      </c>
      <c r="E65" s="250" t="str">
        <f>Raw!D65</f>
        <v>Wareham ON</v>
      </c>
      <c r="F65" s="250" t="str">
        <f>Raw!F65</f>
        <v>Viking Age Icelandic</v>
      </c>
      <c r="G65" s="250">
        <f>Display_All!N65</f>
        <v>97</v>
      </c>
      <c r="H65" s="250">
        <f>Display_All!O65</f>
        <v>72</v>
      </c>
      <c r="I65" s="250" t="str">
        <f>Display_All!P65</f>
        <v>turf</v>
      </c>
      <c r="J65" s="250">
        <f>Display_All!Q65</f>
        <v>29</v>
      </c>
      <c r="K65" s="250" t="str">
        <f>Display_All!R65</f>
        <v/>
      </c>
      <c r="L65" s="250" t="str">
        <f>Display_All!T65</f>
        <v>3-3.5</v>
      </c>
      <c r="M65" s="250" t="str">
        <f>Display_All!U65</f>
        <v>18 x 21</v>
      </c>
      <c r="N65" s="279" t="str">
        <f>Display_All!Z65</f>
        <v>charcoal fines</v>
      </c>
      <c r="O65" s="264" t="str">
        <f>Raw!H65</f>
        <v>Icelandic</v>
      </c>
      <c r="P65" s="264" t="str">
        <f>Raw!G65</f>
        <v>Y</v>
      </c>
    </row>
    <row r="66">
      <c r="A66" s="249">
        <f>Raw!A66</f>
        <v>62</v>
      </c>
      <c r="B66" s="250" t="str">
        <f>Raw!B66</f>
        <v>Production</v>
      </c>
      <c r="C66" s="251">
        <f>Raw!E66</f>
        <v>42512</v>
      </c>
      <c r="D66" s="250" t="str">
        <f>Raw!F66</f>
        <v>modern</v>
      </c>
      <c r="E66" s="250" t="str">
        <f>Raw!D66</f>
        <v>Wareham ON</v>
      </c>
      <c r="F66" s="250" t="str">
        <f>Raw!F66</f>
        <v>modern</v>
      </c>
      <c r="G66" s="250">
        <f>Display_All!N66</f>
        <v>77</v>
      </c>
      <c r="H66" s="250">
        <f>Display_All!O66</f>
        <v>48</v>
      </c>
      <c r="I66" s="250" t="str">
        <f>Display_All!P66</f>
        <v>40 to 35</v>
      </c>
      <c r="J66" s="250" t="str">
        <f>Display_All!Q66</f>
        <v>29 to 25.5</v>
      </c>
      <c r="K66" s="250">
        <f>Display_All!R66</f>
        <v>28</v>
      </c>
      <c r="L66" s="250" t="str">
        <f>Display_All!T66</f>
        <v>NR to 5</v>
      </c>
      <c r="M66" s="250" t="str">
        <f>Display_All!U66</f>
        <v>23 x 23</v>
      </c>
      <c r="N66" s="279" t="str">
        <f>Display_All!Z66</f>
        <v>charcoal fines</v>
      </c>
      <c r="O66" s="264" t="str">
        <f>Raw!H66</f>
        <v/>
      </c>
      <c r="P66" s="264" t="str">
        <f>Raw!G66</f>
        <v>N</v>
      </c>
    </row>
    <row r="67">
      <c r="A67" s="249">
        <f>Raw!A67</f>
        <v>63</v>
      </c>
      <c r="B67" s="250" t="str">
        <f>Raw!B67</f>
        <v>50 Year / demo</v>
      </c>
      <c r="C67" s="251">
        <f>Raw!E67</f>
        <v>42541</v>
      </c>
      <c r="D67" s="250" t="str">
        <f>Raw!F67</f>
        <v>Viking Age</v>
      </c>
      <c r="E67" s="250" t="str">
        <f>Raw!D67</f>
        <v>Danville IN</v>
      </c>
      <c r="F67" s="250" t="str">
        <f>Raw!F67</f>
        <v>Viking Age</v>
      </c>
      <c r="G67" s="250">
        <f>Display_All!N67</f>
        <v>75</v>
      </c>
      <c r="H67" s="250" t="str">
        <f>Display_All!O67</f>
        <v>NR</v>
      </c>
      <c r="I67" s="250" t="str">
        <f>Display_All!P67</f>
        <v>41 to 36</v>
      </c>
      <c r="J67" s="250">
        <f>Display_All!Q67</f>
        <v>26</v>
      </c>
      <c r="K67" s="250" t="str">
        <f>Display_All!R67</f>
        <v/>
      </c>
      <c r="L67" s="250" t="str">
        <f>Display_All!T67</f>
        <v>7.7 to 4.8</v>
      </c>
      <c r="M67" s="250" t="str">
        <f>Display_All!U67</f>
        <v>25 x 15</v>
      </c>
      <c r="N67" s="279" t="str">
        <f>Display_All!Z67</f>
        <v>charcoal fines</v>
      </c>
      <c r="O67" s="264" t="str">
        <f>Raw!H67</f>
        <v>Air</v>
      </c>
      <c r="P67" s="264" t="str">
        <f>Raw!G67</f>
        <v>Y</v>
      </c>
    </row>
    <row r="68">
      <c r="A68" s="249">
        <f>Raw!A68</f>
        <v>64</v>
      </c>
      <c r="B68" s="250" t="str">
        <f>Raw!B68</f>
        <v>ARTEfakty A</v>
      </c>
      <c r="C68" s="251">
        <f>Raw!E68</f>
        <v>42622</v>
      </c>
      <c r="D68" s="250" t="str">
        <f>Raw!F68</f>
        <v>Viking Age</v>
      </c>
      <c r="E68" s="250" t="str">
        <f>Raw!D68</f>
        <v>Proszkow Poland</v>
      </c>
      <c r="F68" s="250" t="str">
        <f>Raw!F68</f>
        <v>Viking Age</v>
      </c>
      <c r="G68" s="250">
        <f>Display_All!N68</f>
        <v>70</v>
      </c>
      <c r="H68" s="250">
        <f>Display_All!O68</f>
        <v>60</v>
      </c>
      <c r="I68" s="250" t="str">
        <f>Display_All!P68</f>
        <v>NR to 32</v>
      </c>
      <c r="J68" s="250">
        <f>Display_All!Q68</f>
        <v>28</v>
      </c>
      <c r="K68" s="250" t="str">
        <f>Display_All!R68</f>
        <v/>
      </c>
      <c r="L68" s="250" t="str">
        <f>Display_All!T68</f>
        <v>NR to 3</v>
      </c>
      <c r="M68" s="250" t="str">
        <f>Display_All!U68</f>
        <v>20 x 15</v>
      </c>
      <c r="N68" s="279" t="str">
        <f>Display_All!Z68</f>
        <v>natural</v>
      </c>
      <c r="O68" s="264" t="str">
        <f>Raw!H68</f>
        <v/>
      </c>
      <c r="P68" s="264" t="str">
        <f>Raw!G68</f>
        <v>Y</v>
      </c>
    </row>
    <row r="69">
      <c r="A69" s="249">
        <f>Raw!A69</f>
        <v>65</v>
      </c>
      <c r="B69" s="250" t="str">
        <f>Raw!B69</f>
        <v>ARTEfakty B</v>
      </c>
      <c r="C69" s="251">
        <f>Raw!E69</f>
        <v>42624</v>
      </c>
      <c r="D69" s="250" t="str">
        <f>Raw!F69</f>
        <v>Viking Age</v>
      </c>
      <c r="E69" s="250" t="str">
        <f>Raw!D69</f>
        <v>Proszkow Poland</v>
      </c>
      <c r="F69" s="250" t="str">
        <f>Raw!F69</f>
        <v>Viking Age</v>
      </c>
      <c r="G69" s="250">
        <f>Display_All!N69</f>
        <v>60</v>
      </c>
      <c r="H69" s="250">
        <f>Display_All!O69</f>
        <v>42</v>
      </c>
      <c r="I69" s="250" t="str">
        <f>Display_All!P69</f>
        <v>44 to 30</v>
      </c>
      <c r="J69" s="250" t="str">
        <f>Display_All!Q69</f>
        <v>30 to 22</v>
      </c>
      <c r="K69" s="250" t="str">
        <f>Display_All!R69</f>
        <v>28 (E)</v>
      </c>
      <c r="L69" s="250" t="str">
        <f>Display_All!T69</f>
        <v>7 to 3</v>
      </c>
      <c r="M69" s="250" t="str">
        <f>Display_All!U69</f>
        <v>28 x 20</v>
      </c>
      <c r="N69" s="279" t="str">
        <f>Display_All!Z69</f>
        <v>charcoal fines</v>
      </c>
      <c r="O69" s="264" t="str">
        <f>Raw!H69</f>
        <v/>
      </c>
      <c r="P69" s="264" t="str">
        <f>Raw!G69</f>
        <v>Y</v>
      </c>
    </row>
    <row r="70">
      <c r="A70" s="249">
        <f>Raw!A70</f>
        <v>66</v>
      </c>
      <c r="B70" s="250" t="str">
        <f>Raw!B70</f>
        <v>T2T 2A</v>
      </c>
      <c r="C70" s="251">
        <f>Raw!E70</f>
        <v>42630</v>
      </c>
      <c r="D70" s="250" t="str">
        <f>Raw!F70</f>
        <v>Pictish 200 - 400 AD</v>
      </c>
      <c r="E70" s="250" t="str">
        <f>Raw!D70</f>
        <v>Lumsden Scotland</v>
      </c>
      <c r="F70" s="250" t="str">
        <f>Raw!F70</f>
        <v>Pictish 200 - 400 AD</v>
      </c>
      <c r="G70" s="250">
        <f>Display_All!N70</f>
        <v>68</v>
      </c>
      <c r="H70" s="250">
        <f>Display_All!O70</f>
        <v>49</v>
      </c>
      <c r="I70" s="250" t="str">
        <f>Display_All!P70</f>
        <v>46 to 28</v>
      </c>
      <c r="J70" s="250" t="str">
        <f>Display_All!Q70</f>
        <v>30 to 20</v>
      </c>
      <c r="K70" s="250">
        <f>Display_All!R70</f>
        <v>25</v>
      </c>
      <c r="L70" s="250" t="str">
        <f>Display_All!T70</f>
        <v>8 to 4</v>
      </c>
      <c r="M70" s="250" t="str">
        <f>Display_All!U70</f>
        <v>27 x 15</v>
      </c>
      <c r="N70" s="279" t="str">
        <f>Display_All!Z70</f>
        <v>charcoal fines</v>
      </c>
      <c r="O70" s="264" t="str">
        <f>Raw!H70</f>
        <v>Turf-to-Tools</v>
      </c>
      <c r="P70" s="264" t="str">
        <f>Raw!G70</f>
        <v>N</v>
      </c>
    </row>
    <row r="71">
      <c r="A71" s="249">
        <f>Raw!A71</f>
        <v>67</v>
      </c>
      <c r="B71" s="250" t="str">
        <f>Raw!B71</f>
        <v>T2T 2B</v>
      </c>
      <c r="C71" s="251">
        <f>Raw!E71</f>
        <v>42637</v>
      </c>
      <c r="D71" s="250" t="str">
        <f>Raw!F71</f>
        <v>Pictish 200 - 400 AD</v>
      </c>
      <c r="E71" s="250" t="str">
        <f>Raw!D71</f>
        <v>Lumsden Scotland</v>
      </c>
      <c r="F71" s="250" t="str">
        <f>Raw!F71</f>
        <v>Pictish 200 - 400 AD</v>
      </c>
      <c r="G71" s="250">
        <f>Display_All!N71</f>
        <v>68</v>
      </c>
      <c r="H71" s="250">
        <f>Display_All!O71</f>
        <v>49</v>
      </c>
      <c r="I71" s="250" t="str">
        <f>Display_All!P71</f>
        <v>46 to 28</v>
      </c>
      <c r="J71" s="250" t="str">
        <f>Display_All!Q71</f>
        <v>30 to 20</v>
      </c>
      <c r="K71" s="250">
        <f>Display_All!R71</f>
        <v>25</v>
      </c>
      <c r="L71" s="250" t="str">
        <f>Display_All!T71</f>
        <v>8 to 4</v>
      </c>
      <c r="M71" s="250" t="str">
        <f>Display_All!U71</f>
        <v>27 x 15</v>
      </c>
      <c r="N71" s="279" t="str">
        <f>Display_All!Z71</f>
        <v>charcoal fines</v>
      </c>
      <c r="O71" s="264" t="str">
        <f>Raw!H71</f>
        <v>Turf-to-Tools</v>
      </c>
      <c r="P71" s="264" t="str">
        <f>Raw!G71</f>
        <v>N</v>
      </c>
    </row>
    <row r="72">
      <c r="A72" s="249">
        <f>Raw!A72</f>
        <v>68</v>
      </c>
      <c r="B72" s="250" t="str">
        <f>Raw!B72</f>
        <v>T2T 2C</v>
      </c>
      <c r="C72" s="251">
        <f>Raw!E72</f>
        <v>42640</v>
      </c>
      <c r="D72" s="250" t="str">
        <f>Raw!F72</f>
        <v>Pictish 200 - 400 AD</v>
      </c>
      <c r="E72" s="250" t="str">
        <f>Raw!D72</f>
        <v>Lumsden Scotland</v>
      </c>
      <c r="F72" s="250" t="str">
        <f>Raw!F72</f>
        <v>Pictish 200 - 400 AD</v>
      </c>
      <c r="G72" s="250">
        <f>Display_All!N72</f>
        <v>68</v>
      </c>
      <c r="H72" s="250">
        <f>Display_All!O72</f>
        <v>49</v>
      </c>
      <c r="I72" s="250" t="str">
        <f>Display_All!P72</f>
        <v>46 to 28</v>
      </c>
      <c r="J72" s="250" t="str">
        <f>Display_All!Q72</f>
        <v>30 to 20</v>
      </c>
      <c r="K72" s="250">
        <f>Display_All!R72</f>
        <v>25</v>
      </c>
      <c r="L72" s="250" t="str">
        <f>Display_All!T72</f>
        <v>8 to 4</v>
      </c>
      <c r="M72" s="250" t="str">
        <f>Display_All!U72</f>
        <v>27 x 15</v>
      </c>
      <c r="N72" s="279" t="str">
        <f>Display_All!Z72</f>
        <v>charcoal fines</v>
      </c>
      <c r="O72" s="264" t="str">
        <f>Raw!H72</f>
        <v>Turf-to-Tools</v>
      </c>
      <c r="P72" s="264" t="str">
        <f>Raw!G72</f>
        <v>Y</v>
      </c>
    </row>
    <row r="73">
      <c r="A73" s="249">
        <f>Raw!A73</f>
        <v>69</v>
      </c>
      <c r="B73" s="250" t="str">
        <f>Raw!B73</f>
        <v>Celtic Iron</v>
      </c>
      <c r="C73" s="251">
        <f>Raw!E73</f>
        <v>42622</v>
      </c>
      <c r="D73" s="250" t="str">
        <f>Raw!F73</f>
        <v>Celtic Iron Age</v>
      </c>
      <c r="E73" s="250" t="str">
        <f>Raw!D73</f>
        <v>Aberfeldy Scotland</v>
      </c>
      <c r="F73" s="250" t="str">
        <f>Raw!F73</f>
        <v>Celtic Iron Age</v>
      </c>
      <c r="G73" s="250">
        <f>Display_All!N73</f>
        <v>56</v>
      </c>
      <c r="H73" s="250">
        <f>Display_All!O73</f>
        <v>41</v>
      </c>
      <c r="I73" s="250" t="str">
        <f>Display_All!P73</f>
        <v>NR</v>
      </c>
      <c r="J73" s="250" t="str">
        <f>Display_All!Q73</f>
        <v>40 to 20</v>
      </c>
      <c r="K73" s="250">
        <f>Display_All!R73</f>
        <v>35</v>
      </c>
      <c r="L73" s="250" t="str">
        <f>Display_All!T73</f>
        <v>NR</v>
      </c>
      <c r="M73" s="250" t="str">
        <f>Display_All!U73</f>
        <v>25 x 22</v>
      </c>
      <c r="N73" s="279" t="str">
        <f>Display_All!Z73</f>
        <v>charcoal fines</v>
      </c>
      <c r="O73" s="264" t="str">
        <f>Raw!H73</f>
        <v>Teaching</v>
      </c>
      <c r="P73" s="264" t="str">
        <f>Raw!G73</f>
        <v>N</v>
      </c>
    </row>
    <row r="74">
      <c r="A74" s="249" t="str">
        <f>Raw!A74</f>
        <v>70 / D30</v>
      </c>
      <c r="B74" s="250" t="str">
        <f>Raw!B74</f>
        <v>Icelandic 8</v>
      </c>
      <c r="C74" s="251">
        <f>Raw!E74</f>
        <v>42672</v>
      </c>
      <c r="D74" s="250" t="str">
        <f>Raw!F74</f>
        <v>Viking Age Icelandic</v>
      </c>
      <c r="E74" s="250" t="str">
        <f>Raw!D74</f>
        <v>Amaranth ON</v>
      </c>
      <c r="F74" s="250" t="str">
        <f>Raw!F74</f>
        <v>Viking Age Icelandic</v>
      </c>
      <c r="G74" s="250">
        <f>Display_All!N74</f>
        <v>75</v>
      </c>
      <c r="H74" s="250">
        <f>Display_All!O74</f>
        <v>55</v>
      </c>
      <c r="I74" s="250" t="str">
        <f>Display_All!P74</f>
        <v>turf</v>
      </c>
      <c r="J74" s="250" t="str">
        <f>Display_All!Q74</f>
        <v>33 to 26</v>
      </c>
      <c r="K74" s="250" t="str">
        <f>Display_All!R74</f>
        <v/>
      </c>
      <c r="L74" s="250" t="str">
        <f>Display_All!T74</f>
        <v>varies</v>
      </c>
      <c r="M74" s="250" t="str">
        <f>Display_All!U74</f>
        <v>24 x 12</v>
      </c>
      <c r="N74" s="279" t="str">
        <f>Display_All!Z74</f>
        <v>wood ash</v>
      </c>
      <c r="O74" s="264" t="str">
        <f>Raw!H74</f>
        <v>Icelandic</v>
      </c>
      <c r="P74" s="264" t="str">
        <f>Raw!G74</f>
        <v>N</v>
      </c>
    </row>
    <row r="75">
      <c r="A75" s="249">
        <f>Raw!A75</f>
        <v>71</v>
      </c>
      <c r="B75" s="250" t="str">
        <f>Raw!B75</f>
        <v>ExARC Iron</v>
      </c>
      <c r="C75" s="251">
        <f>Raw!E75</f>
        <v>42693</v>
      </c>
      <c r="D75" s="250" t="str">
        <f>Raw!F75</f>
        <v>Viking Age</v>
      </c>
      <c r="E75" s="250" t="str">
        <f>Raw!D75</f>
        <v>Williamsburg VA</v>
      </c>
      <c r="F75" s="250" t="str">
        <f>Raw!F75</f>
        <v>Viking Age</v>
      </c>
      <c r="G75" s="250">
        <f>Display_All!N75</f>
        <v>65</v>
      </c>
      <c r="H75" s="250">
        <f>Display_All!O75</f>
        <v>45</v>
      </c>
      <c r="I75" s="250" t="str">
        <f>Display_All!P75</f>
        <v>37 to 33</v>
      </c>
      <c r="J75" s="250">
        <f>Display_All!Q75</f>
        <v>25</v>
      </c>
      <c r="K75" s="250" t="str">
        <f>Display_All!R75</f>
        <v/>
      </c>
      <c r="L75" s="250" t="str">
        <f>Display_All!T75</f>
        <v>6 to 4</v>
      </c>
      <c r="M75" s="250" t="str">
        <f>Display_All!U75</f>
        <v>28 x 12</v>
      </c>
      <c r="N75" s="279" t="str">
        <f>Display_All!Z75</f>
        <v>charcoal fines</v>
      </c>
      <c r="O75" s="264" t="str">
        <f>Raw!H75</f>
        <v>Teaching</v>
      </c>
      <c r="P75" s="264" t="str">
        <f>Raw!G75</f>
        <v>Y</v>
      </c>
    </row>
    <row r="76">
      <c r="A76" s="249">
        <f>Raw!A76</f>
        <v>72</v>
      </c>
      <c r="B76" s="250" t="str">
        <f>Raw!B76</f>
        <v>Intro Smelting</v>
      </c>
      <c r="C76" s="251">
        <f>Raw!E76</f>
        <v>42704</v>
      </c>
      <c r="D76" s="250" t="str">
        <f>Raw!F76</f>
        <v>Viking Age</v>
      </c>
      <c r="E76" s="250" t="str">
        <f>Raw!D76</f>
        <v>Wareham ON</v>
      </c>
      <c r="F76" s="250" t="str">
        <f>Raw!F76</f>
        <v>Viking Age</v>
      </c>
      <c r="G76" s="250">
        <f>Display_All!N76</f>
        <v>65</v>
      </c>
      <c r="H76" s="250">
        <f>Display_All!O76</f>
        <v>50</v>
      </c>
      <c r="I76" s="250" t="str">
        <f>Display_All!P76</f>
        <v>37 to 33</v>
      </c>
      <c r="J76" s="250">
        <f>Display_All!Q76</f>
        <v>25</v>
      </c>
      <c r="K76" s="250" t="str">
        <f>Display_All!R76</f>
        <v/>
      </c>
      <c r="L76" s="250" t="str">
        <f>Display_All!T76</f>
        <v>6 to 4</v>
      </c>
      <c r="M76" s="250" t="str">
        <f>Display_All!U76</f>
        <v>24 x 8</v>
      </c>
      <c r="N76" s="279" t="str">
        <f>Display_All!Z76</f>
        <v>charcoal fines</v>
      </c>
      <c r="O76" s="264" t="str">
        <f>Raw!H76</f>
        <v>Teaching</v>
      </c>
      <c r="P76" s="264" t="str">
        <f>Raw!G76</f>
        <v>N</v>
      </c>
    </row>
    <row r="77">
      <c r="A77" s="249">
        <f>Raw!A77</f>
        <v>73</v>
      </c>
      <c r="B77" s="250" t="str">
        <f>Raw!B77</f>
        <v>Intro Smelting</v>
      </c>
      <c r="C77" s="251">
        <f>Raw!E77</f>
        <v>42907</v>
      </c>
      <c r="D77" s="250" t="str">
        <f>Raw!F77</f>
        <v>Viking Age</v>
      </c>
      <c r="E77" s="250" t="str">
        <f>Raw!D77</f>
        <v>Milton ON</v>
      </c>
      <c r="F77" s="250" t="str">
        <f>Raw!F77</f>
        <v>Viking Age</v>
      </c>
      <c r="G77" s="250">
        <f>Display_All!N77</f>
        <v>77</v>
      </c>
      <c r="H77" s="250">
        <f>Display_All!O77</f>
        <v>61</v>
      </c>
      <c r="I77" s="250" t="str">
        <f>Display_All!P77</f>
        <v>41 to 35</v>
      </c>
      <c r="J77" s="250">
        <f>Display_All!Q77</f>
        <v>25</v>
      </c>
      <c r="K77" s="250" t="str">
        <f>Display_All!R77</f>
        <v/>
      </c>
      <c r="L77" s="250" t="str">
        <f>Display_All!T77</f>
        <v>8 to 5</v>
      </c>
      <c r="M77" s="250" t="str">
        <f>Display_All!U77</f>
        <v>17 x 10</v>
      </c>
      <c r="N77" s="279" t="str">
        <f>Display_All!Z77</f>
        <v>charcoal fines</v>
      </c>
      <c r="O77" s="264" t="str">
        <f>Raw!H77</f>
        <v>Teaching</v>
      </c>
      <c r="P77" s="264" t="str">
        <f>Raw!G77</f>
        <v>N</v>
      </c>
    </row>
    <row r="78">
      <c r="A78" s="249">
        <f>Raw!A78</f>
        <v>74</v>
      </c>
      <c r="B78" s="250" t="str">
        <f>Raw!B78</f>
        <v>Vinland 6</v>
      </c>
      <c r="C78" s="251">
        <f>Raw!E78</f>
        <v>42932</v>
      </c>
      <c r="D78" s="250" t="str">
        <f>Raw!F78</f>
        <v>Viking Age Vinland</v>
      </c>
      <c r="E78" s="250" t="str">
        <f>Raw!D78</f>
        <v>L'Anse aux Meadows NL</v>
      </c>
      <c r="F78" s="250" t="str">
        <f>Raw!F78</f>
        <v>Viking Age Vinland</v>
      </c>
      <c r="G78" s="250">
        <f>Display_All!N78</f>
        <v>64.5</v>
      </c>
      <c r="H78" s="250">
        <f>Display_All!O78</f>
        <v>42.5</v>
      </c>
      <c r="I78" s="250" t="str">
        <f>Display_All!P78</f>
        <v>NR</v>
      </c>
      <c r="J78" s="250">
        <f>Display_All!Q78</f>
        <v>23.5</v>
      </c>
      <c r="K78" s="250" t="str">
        <f>Display_All!R78</f>
        <v/>
      </c>
      <c r="L78" s="250" t="str">
        <f>Display_All!T78</f>
        <v>NR</v>
      </c>
      <c r="M78" s="250" t="str">
        <f>Display_All!U78</f>
        <v>2 x 20</v>
      </c>
      <c r="N78" s="279" t="str">
        <f>Display_All!Z78</f>
        <v>ash &amp; fines</v>
      </c>
      <c r="O78" s="264" t="str">
        <f>Raw!H78</f>
        <v>Vinland</v>
      </c>
      <c r="P78" s="264" t="str">
        <f>Raw!G78</f>
        <v>Y</v>
      </c>
    </row>
    <row r="79">
      <c r="A79" s="249">
        <f>Raw!A79</f>
        <v>75</v>
      </c>
      <c r="B79" s="250" t="str">
        <f>Raw!B79</f>
        <v>Celtic Iron</v>
      </c>
      <c r="C79" s="251">
        <f>Raw!E79</f>
        <v>42953</v>
      </c>
      <c r="D79" s="250" t="str">
        <f>Raw!F79</f>
        <v>Celtic Iron Age</v>
      </c>
      <c r="E79" s="250" t="str">
        <f>Raw!D79</f>
        <v>Aberfeldy Scotland</v>
      </c>
      <c r="F79" s="250" t="str">
        <f>Raw!F79</f>
        <v>Celtic Iron Age</v>
      </c>
      <c r="G79" s="250">
        <f>Display_All!N79</f>
        <v>62</v>
      </c>
      <c r="H79" s="250">
        <f>Display_All!O79</f>
        <v>46</v>
      </c>
      <c r="I79" s="250" t="str">
        <f>Display_All!P79</f>
        <v>42 to 30</v>
      </c>
      <c r="J79" s="250" t="str">
        <f>Display_All!Q79</f>
        <v>30 to 22</v>
      </c>
      <c r="K79" s="250" t="str">
        <f>Display_All!R79</f>
        <v>25 (E)</v>
      </c>
      <c r="L79" s="250" t="str">
        <f>Display_All!T79</f>
        <v>6 to 4</v>
      </c>
      <c r="M79" s="250" t="str">
        <f>Display_All!U79</f>
        <v>23 x 17</v>
      </c>
      <c r="N79" s="279" t="str">
        <f>Display_All!Z79</f>
        <v>sticks with cap</v>
      </c>
      <c r="O79" s="264" t="str">
        <f>Raw!H79</f>
        <v/>
      </c>
      <c r="P79" s="264" t="str">
        <f>Raw!G79</f>
        <v>Y</v>
      </c>
    </row>
    <row r="80">
      <c r="A80" s="249">
        <f>Raw!A80</f>
        <v>76</v>
      </c>
      <c r="B80" s="250" t="str">
        <f>Raw!B80</f>
        <v>Slag Pit 3</v>
      </c>
      <c r="C80" s="251">
        <f>Raw!E80</f>
        <v>43274</v>
      </c>
      <c r="D80" s="250" t="str">
        <f>Raw!F80</f>
        <v>Celtic Iron Age</v>
      </c>
      <c r="E80" s="250" t="str">
        <f>Raw!D80</f>
        <v>Wareham ON</v>
      </c>
      <c r="F80" s="250" t="str">
        <f>Raw!F80</f>
        <v>Celtic Iron Age</v>
      </c>
      <c r="G80" s="250">
        <f>Display_All!N80</f>
        <v>77</v>
      </c>
      <c r="H80" s="250">
        <f>Display_All!O80</f>
        <v>48</v>
      </c>
      <c r="I80" s="250" t="str">
        <f>Display_All!P80</f>
        <v>40 to 35</v>
      </c>
      <c r="J80" s="250" t="str">
        <f>Display_All!Q80</f>
        <v>29 to 25.5</v>
      </c>
      <c r="K80" s="250">
        <f>Display_All!R80</f>
        <v>28</v>
      </c>
      <c r="L80" s="250" t="str">
        <f>Display_All!T80</f>
        <v>NR to 5</v>
      </c>
      <c r="M80" s="250" t="str">
        <f>Display_All!U80</f>
        <v>23 x23</v>
      </c>
      <c r="N80" s="279" t="str">
        <f>Display_All!Z80</f>
        <v>weeds with cap</v>
      </c>
      <c r="O80" s="264" t="str">
        <f>Raw!H80</f>
        <v/>
      </c>
      <c r="P80" s="264" t="str">
        <f>Raw!G80</f>
        <v>N</v>
      </c>
    </row>
    <row r="81">
      <c r="A81" s="249">
        <f>Raw!A81</f>
        <v>77</v>
      </c>
      <c r="B81" s="250" t="str">
        <f>Raw!B81</f>
        <v>Viking Age Iron</v>
      </c>
      <c r="C81" s="251">
        <f>Raw!E81</f>
        <v>43281</v>
      </c>
      <c r="D81" s="250" t="str">
        <f>Raw!F81</f>
        <v>Viking Age</v>
      </c>
      <c r="E81" s="250" t="str">
        <f>Raw!D81</f>
        <v>Wareham ON</v>
      </c>
      <c r="F81" s="250" t="str">
        <f>Raw!F81</f>
        <v>Viking Age</v>
      </c>
      <c r="G81" s="250">
        <f>Display_All!N81</f>
        <v>67</v>
      </c>
      <c r="H81" s="250">
        <f>Display_All!O81</f>
        <v>51</v>
      </c>
      <c r="I81" s="250" t="str">
        <f>Display_All!P81</f>
        <v>50 to ?</v>
      </c>
      <c r="J81" s="250" t="str">
        <f>Display_All!Q81</f>
        <v>36 to 19</v>
      </c>
      <c r="K81" s="250">
        <f>Display_All!R81</f>
        <v>33</v>
      </c>
      <c r="L81" s="250" t="str">
        <f>Display_All!T81</f>
        <v>6 to NR</v>
      </c>
      <c r="M81" s="250" t="str">
        <f>Display_All!U81</f>
        <v>NR</v>
      </c>
      <c r="N81" s="279" t="str">
        <f>Display_All!Z81</f>
        <v>charcoal fines</v>
      </c>
      <c r="O81" s="264" t="str">
        <f>Raw!H81</f>
        <v>Teaching</v>
      </c>
      <c r="P81" s="264" t="str">
        <f>Raw!G81</f>
        <v>N</v>
      </c>
    </row>
    <row r="82">
      <c r="A82" s="249">
        <f>Raw!A82</f>
        <v>78</v>
      </c>
      <c r="B82" s="250" t="str">
        <f>Raw!B82</f>
        <v>CAMELOT</v>
      </c>
      <c r="C82" s="251">
        <f>Raw!E82</f>
        <v>43359</v>
      </c>
      <c r="D82" s="250" t="str">
        <f>Raw!F82</f>
        <v>Viking Age</v>
      </c>
      <c r="E82" s="250" t="str">
        <f>Raw!D82</f>
        <v>Waterloo ON</v>
      </c>
      <c r="F82" s="250" t="str">
        <f>Raw!F82</f>
        <v>Viking Age</v>
      </c>
      <c r="G82" s="250">
        <f>Display_All!N82</f>
        <v>60</v>
      </c>
      <c r="H82" s="250">
        <f>Display_All!O82</f>
        <v>41</v>
      </c>
      <c r="I82" s="290" t="str">
        <f>Display_All!P82</f>
        <v>40 to 35</v>
      </c>
      <c r="J82" s="250">
        <f>Display_All!Q82</f>
        <v>26</v>
      </c>
      <c r="K82" s="250" t="str">
        <f>Display_All!R82</f>
        <v/>
      </c>
      <c r="L82" s="250" t="str">
        <f>Display_All!T82</f>
        <v>7 to 4.5</v>
      </c>
      <c r="M82" s="250" t="str">
        <f>Display_All!U82</f>
        <v>NR</v>
      </c>
      <c r="N82" s="279" t="str">
        <f>Display_All!Z82</f>
        <v>charcoal fines</v>
      </c>
      <c r="O82" s="264" t="str">
        <f>Raw!H82</f>
        <v/>
      </c>
      <c r="P82" s="264" t="str">
        <f>Raw!G82</f>
        <v>Y</v>
      </c>
    </row>
    <row r="83">
      <c r="A83" s="249">
        <f>Raw!A83</f>
        <v>79</v>
      </c>
      <c r="B83" s="250" t="str">
        <f>Raw!B83</f>
        <v>Norse in America</v>
      </c>
      <c r="C83" s="251">
        <f>Raw!E83</f>
        <v>43386</v>
      </c>
      <c r="D83" s="250" t="str">
        <f>Raw!F83</f>
        <v>Viking Age</v>
      </c>
      <c r="E83" s="250" t="str">
        <f>Raw!D83</f>
        <v>Wareham ON</v>
      </c>
      <c r="F83" s="250" t="str">
        <f>Raw!F83</f>
        <v>Viking Age</v>
      </c>
      <c r="G83" s="250">
        <f>Display_All!N83</f>
        <v>73</v>
      </c>
      <c r="H83" s="250">
        <f>Display_All!O83</f>
        <v>50</v>
      </c>
      <c r="I83" s="250">
        <f>Display_All!P83</f>
        <v>39</v>
      </c>
      <c r="J83" s="250">
        <f>Display_All!Q83</f>
        <v>27</v>
      </c>
      <c r="K83" s="250" t="str">
        <f>Display_All!R83</f>
        <v/>
      </c>
      <c r="L83" s="250" t="str">
        <f>Display_All!T83</f>
        <v>NR to 6</v>
      </c>
      <c r="M83" s="250" t="str">
        <f>Display_All!U83</f>
        <v>26 x 18</v>
      </c>
      <c r="N83" s="279" t="str">
        <f>Display_All!Z83</f>
        <v>charcoal fines</v>
      </c>
      <c r="O83" s="264" t="str">
        <f>Raw!H83</f>
        <v/>
      </c>
      <c r="P83" s="264" t="str">
        <f>Raw!G83</f>
        <v>Y</v>
      </c>
    </row>
    <row r="84">
      <c r="A84" s="249">
        <f>Raw!A84</f>
        <v>80</v>
      </c>
      <c r="B84" s="250" t="str">
        <f>Raw!B84</f>
        <v>Roman Passive</v>
      </c>
      <c r="C84" s="251">
        <f>Raw!E84</f>
        <v>43391</v>
      </c>
      <c r="D84" s="250" t="str">
        <f>Raw!F84</f>
        <v>Roman</v>
      </c>
      <c r="E84" s="250" t="str">
        <f>Raw!D84</f>
        <v>Wareham ON</v>
      </c>
      <c r="F84" s="250" t="str">
        <f>Raw!F84</f>
        <v>Roman</v>
      </c>
      <c r="G84" s="250">
        <f>Display_All!N84</f>
        <v>185</v>
      </c>
      <c r="H84" s="250">
        <f>Display_All!O84</f>
        <v>165</v>
      </c>
      <c r="I84" s="250" t="str">
        <f>Display_All!P84</f>
        <v>47 to 37</v>
      </c>
      <c r="J84" s="250">
        <f>Display_All!Q84</f>
        <v>27</v>
      </c>
      <c r="K84" s="250" t="str">
        <f>Display_All!R84</f>
        <v/>
      </c>
      <c r="L84" s="250" t="str">
        <f>Display_All!T84</f>
        <v>10 to 5</v>
      </c>
      <c r="M84" s="250" t="str">
        <f>Display_All!U84</f>
        <v>none</v>
      </c>
      <c r="N84" s="279" t="str">
        <f>Display_All!Z84</f>
        <v>wood ash</v>
      </c>
      <c r="O84" s="264" t="str">
        <f>Raw!H84</f>
        <v/>
      </c>
      <c r="P84" s="264" t="str">
        <f>Raw!G84</f>
        <v>N</v>
      </c>
    </row>
    <row r="85">
      <c r="A85" s="249">
        <f>Raw!A85</f>
        <v>81</v>
      </c>
      <c r="B85" s="250" t="str">
        <f>Raw!B85</f>
        <v>Gromps</v>
      </c>
      <c r="C85" s="251">
        <f>Raw!E85</f>
        <v>43407</v>
      </c>
      <c r="D85" s="250" t="str">
        <f>Raw!F85</f>
        <v>Viking Age</v>
      </c>
      <c r="E85" s="250" t="str">
        <f>Raw!D85</f>
        <v>Wareham ON</v>
      </c>
      <c r="F85" s="250" t="str">
        <f>Raw!F85</f>
        <v>Viking Age</v>
      </c>
      <c r="G85" s="250">
        <f>Display_All!N85</f>
        <v>70</v>
      </c>
      <c r="H85" s="250">
        <f>Display_All!O85</f>
        <v>50</v>
      </c>
      <c r="I85" s="250">
        <f>Display_All!P85</f>
        <v>40</v>
      </c>
      <c r="J85" s="250">
        <f>Display_All!Q85</f>
        <v>30</v>
      </c>
      <c r="K85" s="250" t="str">
        <f>Display_All!R85</f>
        <v/>
      </c>
      <c r="L85" s="250">
        <f>Display_All!T85</f>
        <v>5</v>
      </c>
      <c r="M85" s="250" t="str">
        <f>Display_All!U85</f>
        <v>none</v>
      </c>
      <c r="N85" s="279" t="str">
        <f>Display_All!Z85</f>
        <v>charcoal fines</v>
      </c>
      <c r="O85" s="264" t="str">
        <f>Raw!H85</f>
        <v/>
      </c>
      <c r="P85" s="264" t="str">
        <f>Raw!G85</f>
        <v>N</v>
      </c>
    </row>
    <row r="86">
      <c r="A86" s="249">
        <f>Raw!A86</f>
        <v>82</v>
      </c>
      <c r="B86" s="250" t="str">
        <f>Raw!B86</f>
        <v>Stone Block A</v>
      </c>
      <c r="C86" s="251">
        <f>Raw!E86</f>
        <v>43638</v>
      </c>
      <c r="D86" s="250" t="str">
        <f>Raw!F86</f>
        <v>Viking Age</v>
      </c>
      <c r="E86" s="250" t="str">
        <f>Raw!D86</f>
        <v>Wareham ON</v>
      </c>
      <c r="F86" s="250" t="str">
        <f>Raw!F86</f>
        <v>Viking Age</v>
      </c>
      <c r="G86" s="250">
        <f>Display_All!N86</f>
        <v>100</v>
      </c>
      <c r="H86" s="250">
        <f>Display_All!O86</f>
        <v>70</v>
      </c>
      <c r="I86" s="250" t="str">
        <f>Display_All!P86</f>
        <v>60 to 45</v>
      </c>
      <c r="J86" s="250" t="str">
        <f>Display_All!Q86</f>
        <v>30 to 20</v>
      </c>
      <c r="K86" s="250">
        <f>Display_All!R86</f>
        <v>25</v>
      </c>
      <c r="L86" s="250" t="str">
        <f>Display_All!T86</f>
        <v>15 to 10</v>
      </c>
      <c r="M86" s="250" t="str">
        <f>Display_All!U86</f>
        <v>30 x 18</v>
      </c>
      <c r="N86" s="279" t="str">
        <f>Display_All!Z86</f>
        <v>wood ash</v>
      </c>
      <c r="O86" s="264" t="str">
        <f>Raw!H86</f>
        <v/>
      </c>
      <c r="P86" s="264" t="str">
        <f>Raw!G86</f>
        <v>N</v>
      </c>
    </row>
    <row r="87">
      <c r="A87" s="249">
        <f>Raw!A87</f>
        <v>83</v>
      </c>
      <c r="B87" s="250" t="str">
        <f>Raw!B87</f>
        <v>Block / Slag Bowl</v>
      </c>
      <c r="C87" s="251">
        <f>Raw!E87</f>
        <v>43751</v>
      </c>
      <c r="D87" s="250" t="str">
        <f>Raw!F87</f>
        <v>Viking Age</v>
      </c>
      <c r="E87" s="250" t="str">
        <f>Raw!D87</f>
        <v>Wareham ON</v>
      </c>
      <c r="F87" s="250" t="str">
        <f>Raw!F87</f>
        <v>Viking Age</v>
      </c>
      <c r="G87" s="250">
        <f>Display_All!N87</f>
        <v>100</v>
      </c>
      <c r="H87" s="250">
        <f>Display_All!O87</f>
        <v>70</v>
      </c>
      <c r="I87" s="250" t="str">
        <f>Display_All!P87</f>
        <v>60 to 45</v>
      </c>
      <c r="J87" s="250" t="str">
        <f>Display_All!Q87</f>
        <v>30 to 20</v>
      </c>
      <c r="K87" s="250">
        <f>Display_All!R87</f>
        <v>25</v>
      </c>
      <c r="L87" s="250" t="str">
        <f>Display_All!T87</f>
        <v>15 to 10</v>
      </c>
      <c r="M87" s="250" t="str">
        <f>Display_All!U87</f>
        <v>30 x 20</v>
      </c>
      <c r="N87" s="279" t="str">
        <f>Display_All!Z87</f>
        <v>previous bowl</v>
      </c>
      <c r="O87" s="264" t="str">
        <f>Raw!H87</f>
        <v/>
      </c>
      <c r="P87" s="264" t="str">
        <f>Raw!G87</f>
        <v>N</v>
      </c>
    </row>
    <row r="88">
      <c r="A88" s="249">
        <f>Raw!A88</f>
        <v>84</v>
      </c>
      <c r="B88" s="250" t="str">
        <f>Raw!B88</f>
        <v>Stone Block C</v>
      </c>
      <c r="C88" s="251">
        <f>Raw!E88</f>
        <v>43768</v>
      </c>
      <c r="D88" s="250" t="str">
        <f>Raw!F88</f>
        <v>Viking Age</v>
      </c>
      <c r="E88" s="250" t="str">
        <f>Raw!D88</f>
        <v>Wareham ON</v>
      </c>
      <c r="F88" s="250" t="str">
        <f>Raw!F88</f>
        <v>Viking Age</v>
      </c>
      <c r="G88" s="250">
        <f>Display_All!N88</f>
        <v>100</v>
      </c>
      <c r="H88" s="250">
        <f>Display_All!O88</f>
        <v>70</v>
      </c>
      <c r="I88" s="250" t="str">
        <f>Display_All!P88</f>
        <v>60 to 45</v>
      </c>
      <c r="J88" s="250" t="str">
        <f>Display_All!Q88</f>
        <v>30 to 20</v>
      </c>
      <c r="K88" s="250">
        <f>Display_All!R88</f>
        <v>25</v>
      </c>
      <c r="L88" s="250" t="str">
        <f>Display_All!T88</f>
        <v>15 to 10</v>
      </c>
      <c r="M88" s="250" t="str">
        <f>Display_All!U88</f>
        <v>NR</v>
      </c>
      <c r="N88" s="279" t="str">
        <f>Display_All!Z88</f>
        <v>charcoal fines</v>
      </c>
      <c r="O88" s="264" t="str">
        <f>Raw!H88</f>
        <v/>
      </c>
      <c r="P88" s="264" t="str">
        <f>Raw!G88</f>
        <v>N</v>
      </c>
    </row>
    <row r="89">
      <c r="A89" s="249" t="str">
        <f>Raw!A89</f>
        <v>85 / D31</v>
      </c>
      <c r="B89" s="250" t="str">
        <f>Raw!B89</f>
        <v>Bones</v>
      </c>
      <c r="C89" s="251">
        <f>Raw!E89</f>
        <v>44002</v>
      </c>
      <c r="D89" s="250" t="str">
        <f>Raw!F89</f>
        <v>Viking Age</v>
      </c>
      <c r="E89" s="250" t="str">
        <f>Raw!D89</f>
        <v>Wareham ON</v>
      </c>
      <c r="F89" s="250" t="str">
        <f>Raw!F89</f>
        <v>Viking Age</v>
      </c>
      <c r="G89" s="250">
        <f>Display_All!N89</f>
        <v>66</v>
      </c>
      <c r="H89" s="250">
        <f>Display_All!O89</f>
        <v>45</v>
      </c>
      <c r="I89" s="250" t="str">
        <f>Display_All!P89</f>
        <v>42 to 36</v>
      </c>
      <c r="J89" s="250">
        <f>Display_All!Q89</f>
        <v>28</v>
      </c>
      <c r="K89" s="250" t="str">
        <f>Display_All!R89</f>
        <v/>
      </c>
      <c r="L89" s="250" t="str">
        <f>Display_All!T89</f>
        <v>7 to 4</v>
      </c>
      <c r="M89" s="250" t="str">
        <f>Display_All!U89</f>
        <v>20 x 20</v>
      </c>
      <c r="N89" s="279" t="str">
        <f>Display_All!Z89</f>
        <v>charcoal fines</v>
      </c>
      <c r="O89" s="264" t="str">
        <f>Raw!H89</f>
        <v/>
      </c>
      <c r="P89" s="264" t="str">
        <f>Raw!G89</f>
        <v>N</v>
      </c>
    </row>
    <row r="90">
      <c r="A90" s="249">
        <f>Raw!A90</f>
        <v>86</v>
      </c>
      <c r="B90" s="250" t="str">
        <f>Raw!B90</f>
        <v>Smelting Course</v>
      </c>
      <c r="C90" s="251">
        <f>Raw!E90</f>
        <v>44115</v>
      </c>
      <c r="D90" s="250" t="str">
        <f>Raw!F90</f>
        <v>Viking Age</v>
      </c>
      <c r="E90" s="250" t="str">
        <f>Raw!D90</f>
        <v>Wareham ON</v>
      </c>
      <c r="F90" s="250" t="str">
        <f>Raw!F90</f>
        <v>Viking Age</v>
      </c>
      <c r="G90" s="250">
        <f>Display_All!N90</f>
        <v>100</v>
      </c>
      <c r="H90" s="250">
        <f>Display_All!O90</f>
        <v>70</v>
      </c>
      <c r="I90" s="250" t="str">
        <f>Display_All!P90</f>
        <v>60 to 45</v>
      </c>
      <c r="J90" s="250" t="str">
        <f>Display_All!Q90</f>
        <v>30 to 20</v>
      </c>
      <c r="K90" s="250">
        <f>Display_All!R90</f>
        <v>25</v>
      </c>
      <c r="L90" s="250" t="str">
        <f>Display_All!T90</f>
        <v>15 to 10</v>
      </c>
      <c r="M90" s="250" t="str">
        <f>Display_All!U90</f>
        <v>30 x 18</v>
      </c>
      <c r="N90" s="279" t="str">
        <f>Display_All!Z90</f>
        <v>charcoal fines</v>
      </c>
      <c r="O90" s="264" t="str">
        <f>Raw!H90</f>
        <v>Teaching</v>
      </c>
      <c r="P90" s="264" t="str">
        <f>Raw!G90</f>
        <v>N</v>
      </c>
    </row>
    <row r="91">
      <c r="A91" s="249" t="str">
        <f>Raw!A91</f>
        <v>87 / D32</v>
      </c>
      <c r="B91" s="250" t="str">
        <f>Raw!B91</f>
        <v>65 for 65</v>
      </c>
      <c r="C91" s="251">
        <f>Raw!E91</f>
        <v>44135</v>
      </c>
      <c r="D91" s="250" t="str">
        <f>Raw!F91</f>
        <v>Viking Age</v>
      </c>
      <c r="E91" s="250" t="str">
        <f>Raw!D91</f>
        <v>Wareham ON</v>
      </c>
      <c r="F91" s="250" t="str">
        <f>Raw!F91</f>
        <v>Viking Age</v>
      </c>
      <c r="G91" s="250">
        <f>Display_All!N91</f>
        <v>100</v>
      </c>
      <c r="H91" s="250">
        <f>Display_All!O91</f>
        <v>70</v>
      </c>
      <c r="I91" s="250" t="str">
        <f>Display_All!P91</f>
        <v>60 to 45</v>
      </c>
      <c r="J91" s="250" t="str">
        <f>Display_All!Q91</f>
        <v>30 to 20</v>
      </c>
      <c r="K91" s="250">
        <f>Display_All!R91</f>
        <v>25</v>
      </c>
      <c r="L91" s="250" t="str">
        <f>Display_All!T91</f>
        <v>15 to 10</v>
      </c>
      <c r="M91" s="250" t="str">
        <f>Display_All!U91</f>
        <v>22 x 15</v>
      </c>
      <c r="N91" s="279" t="str">
        <f>Display_All!Z91</f>
        <v>charcoal fines</v>
      </c>
      <c r="O91" s="264" t="str">
        <f>Raw!H91</f>
        <v/>
      </c>
      <c r="P91" s="264" t="str">
        <f>Raw!G91</f>
        <v>N</v>
      </c>
    </row>
    <row r="92">
      <c r="A92" s="249" t="str">
        <f>Raw!A92</f>
        <v>88 / D33</v>
      </c>
      <c r="B92" s="250" t="str">
        <f>Raw!B92</f>
        <v>Icelandic Clay A</v>
      </c>
      <c r="C92" s="251">
        <f>Raw!E92</f>
        <v>44366</v>
      </c>
      <c r="D92" s="250" t="str">
        <f>Raw!F92</f>
        <v>Viking Age Icelandic</v>
      </c>
      <c r="E92" s="250" t="str">
        <f>Raw!D92</f>
        <v>Wareham ON</v>
      </c>
      <c r="F92" s="250" t="str">
        <f>Raw!F92</f>
        <v>Viking Age Icelandic</v>
      </c>
      <c r="G92" s="250">
        <f>Display_All!N92</f>
        <v>75</v>
      </c>
      <c r="H92" s="250">
        <f>Display_All!O92</f>
        <v>50</v>
      </c>
      <c r="I92" s="250" t="str">
        <f>Display_All!P92</f>
        <v>160 x 150</v>
      </c>
      <c r="J92" s="250">
        <f>Display_All!Q92</f>
        <v>28</v>
      </c>
      <c r="K92" s="250" t="str">
        <f>Display_All!R92</f>
        <v/>
      </c>
      <c r="L92" s="250">
        <f>Display_All!T92</f>
        <v>3</v>
      </c>
      <c r="M92" s="250" t="str">
        <f>Display_All!U92</f>
        <v>NR x 12</v>
      </c>
      <c r="N92" s="279" t="str">
        <f>Display_All!Z92</f>
        <v>charcoal fines</v>
      </c>
      <c r="O92" s="264" t="str">
        <f>Raw!H92</f>
        <v>Icelandic</v>
      </c>
      <c r="P92" s="264" t="str">
        <f>Raw!G92</f>
        <v>N</v>
      </c>
    </row>
    <row r="93">
      <c r="A93" s="249" t="str">
        <f>Raw!A93</f>
        <v>89 / D34</v>
      </c>
      <c r="B93" s="250" t="str">
        <f>Raw!B93</f>
        <v>Icelandic Clay B</v>
      </c>
      <c r="C93" s="251">
        <f>Raw!E93</f>
        <v>44443</v>
      </c>
      <c r="D93" s="250" t="str">
        <f>Raw!F93</f>
        <v>Viking Age Icelandic</v>
      </c>
      <c r="E93" s="250" t="str">
        <f>Raw!D93</f>
        <v>Wareham ON</v>
      </c>
      <c r="F93" s="250" t="str">
        <f>Raw!F93</f>
        <v>Viking Age Icelandic</v>
      </c>
      <c r="G93" s="250">
        <f>Display_All!N93</f>
        <v>75</v>
      </c>
      <c r="H93" s="250">
        <f>Display_All!O93</f>
        <v>43</v>
      </c>
      <c r="I93" s="250" t="str">
        <f>Display_All!P93</f>
        <v>160 x 150</v>
      </c>
      <c r="J93" s="250">
        <f>Display_All!Q93</f>
        <v>28</v>
      </c>
      <c r="K93" s="250" t="str">
        <f>Display_All!R93</f>
        <v/>
      </c>
      <c r="L93" s="250">
        <f>Display_All!T93</f>
        <v>3</v>
      </c>
      <c r="M93" s="250" t="str">
        <f>Display_All!U93</f>
        <v>23 x 16</v>
      </c>
      <c r="N93" s="279" t="str">
        <f>Display_All!Z93</f>
        <v>charcoal fines</v>
      </c>
      <c r="O93" s="264" t="str">
        <f>Raw!H93</f>
        <v>Icelandic</v>
      </c>
      <c r="P93" s="264" t="str">
        <f>Raw!G93</f>
        <v>N</v>
      </c>
    </row>
    <row r="94">
      <c r="A94" s="249" t="str">
        <f>Raw!A94</f>
        <v>90 / D35</v>
      </c>
      <c r="B94" s="250" t="str">
        <f>Raw!B94</f>
        <v>Wind &amp; Weather</v>
      </c>
      <c r="C94" s="251">
        <f>Raw!E94</f>
        <v>44497</v>
      </c>
      <c r="D94" s="250" t="str">
        <f>Raw!F94</f>
        <v>Viking Age</v>
      </c>
      <c r="E94" s="250" t="str">
        <f>Raw!D94</f>
        <v>Wareham ON</v>
      </c>
      <c r="F94" s="250" t="str">
        <f>Raw!F94</f>
        <v>Viking Age</v>
      </c>
      <c r="G94" s="250">
        <f>Display_All!N94</f>
        <v>77</v>
      </c>
      <c r="H94" s="250">
        <f>Display_All!O94</f>
        <v>59</v>
      </c>
      <c r="I94" s="250" t="str">
        <f>Display_All!P94</f>
        <v>42 to 34</v>
      </c>
      <c r="J94" s="250">
        <f>Display_All!Q94</f>
        <v>28</v>
      </c>
      <c r="K94" s="250" t="str">
        <f>Display_All!R94</f>
        <v/>
      </c>
      <c r="L94" s="250" t="str">
        <f>Display_All!T94</f>
        <v>7 to 3</v>
      </c>
      <c r="M94" s="250" t="str">
        <f>Display_All!U94</f>
        <v>22 x 15</v>
      </c>
      <c r="N94" s="279" t="str">
        <f>Display_All!Z94</f>
        <v>charcoal fines</v>
      </c>
      <c r="O94" s="264" t="str">
        <f>Raw!H94</f>
        <v>Air</v>
      </c>
      <c r="P94" s="264" t="str">
        <f>Raw!G94</f>
        <v>N</v>
      </c>
    </row>
    <row r="95">
      <c r="A95" s="249" t="str">
        <f>Raw!A95</f>
        <v>91 / D36</v>
      </c>
      <c r="B95" s="250" t="str">
        <f>Raw!B95</f>
        <v>Low &amp; Longer A</v>
      </c>
      <c r="C95" s="251">
        <f>Raw!E95</f>
        <v>44734</v>
      </c>
      <c r="D95" s="250" t="str">
        <f>Raw!F95</f>
        <v>Viking Age</v>
      </c>
      <c r="E95" s="250" t="str">
        <f>Raw!D95</f>
        <v>Wareham ON</v>
      </c>
      <c r="F95" s="250" t="str">
        <f>Raw!F95</f>
        <v>Viking Age</v>
      </c>
      <c r="G95" s="250">
        <f>Display_All!N95</f>
        <v>59</v>
      </c>
      <c r="H95" s="250">
        <f>Display_All!O95</f>
        <v>45</v>
      </c>
      <c r="I95" s="250" t="str">
        <f>Display_All!P95</f>
        <v>39 to 33</v>
      </c>
      <c r="J95" s="250">
        <f>Display_All!Q95</f>
        <v>25</v>
      </c>
      <c r="K95" s="250" t="str">
        <f>Display_All!R95</f>
        <v/>
      </c>
      <c r="L95" s="250" t="str">
        <f>Display_All!T95</f>
        <v>7 to 4</v>
      </c>
      <c r="M95" s="250" t="str">
        <f>Display_All!U95</f>
        <v>18 x 10</v>
      </c>
      <c r="N95" s="279" t="str">
        <f>Display_All!Z95</f>
        <v>charcoal fines</v>
      </c>
      <c r="O95" s="264" t="str">
        <f>Raw!H95</f>
        <v>Air</v>
      </c>
      <c r="P95" s="264" t="str">
        <f>Raw!G95</f>
        <v>N</v>
      </c>
    </row>
    <row r="96">
      <c r="A96" s="249">
        <f>Raw!A96</f>
        <v>92</v>
      </c>
      <c r="B96" s="250" t="str">
        <f>Raw!B96</f>
        <v>Low &amp; Longer B</v>
      </c>
      <c r="C96" s="251">
        <f>Raw!E96</f>
        <v>44863</v>
      </c>
      <c r="D96" s="250" t="str">
        <f>Raw!F96</f>
        <v>Viking Age</v>
      </c>
      <c r="E96" s="250" t="str">
        <f>Raw!D96</f>
        <v>Wareham ON</v>
      </c>
      <c r="F96" s="250" t="str">
        <f>Raw!F96</f>
        <v>Viking Age</v>
      </c>
      <c r="G96" s="250">
        <f>Display_All!N96</f>
        <v>59</v>
      </c>
      <c r="H96" s="250">
        <f>Display_All!O96</f>
        <v>45</v>
      </c>
      <c r="I96" s="250" t="str">
        <f>Display_All!P96</f>
        <v>39 to 33</v>
      </c>
      <c r="J96" s="250">
        <f>Display_All!Q96</f>
        <v>25</v>
      </c>
      <c r="K96" s="250" t="str">
        <f>Display_All!R96</f>
        <v/>
      </c>
      <c r="L96" s="250" t="str">
        <f>Display_All!T96</f>
        <v>7 to 4</v>
      </c>
      <c r="M96" s="250" t="str">
        <f>Display_All!U96</f>
        <v>18 x 10</v>
      </c>
      <c r="N96" s="279" t="str">
        <f>Display_All!Z96</f>
        <v>charcoal fines</v>
      </c>
      <c r="O96" s="264" t="str">
        <f>Raw!H96</f>
        <v>Air</v>
      </c>
      <c r="P96" s="264" t="str">
        <f>Raw!G96</f>
        <v>N</v>
      </c>
    </row>
    <row r="97">
      <c r="A97" s="249">
        <f>Raw!A97</f>
        <v>93</v>
      </c>
      <c r="B97" s="250" t="str">
        <f>Raw!B97</f>
        <v>Caherconnell</v>
      </c>
      <c r="C97" s="251">
        <f>Raw!E97</f>
        <v>45165</v>
      </c>
      <c r="D97" s="250" t="str">
        <f>Raw!F97</f>
        <v>Irish ?</v>
      </c>
      <c r="E97" s="250" t="str">
        <f>Raw!D97</f>
        <v>Caherconnell Ireland</v>
      </c>
      <c r="F97" s="250" t="str">
        <f>Raw!F97</f>
        <v>Irish ?</v>
      </c>
      <c r="G97" s="250">
        <f>Display_All!N97</f>
        <v>69</v>
      </c>
      <c r="H97" s="250">
        <f>Display_All!O97</f>
        <v>53</v>
      </c>
      <c r="I97" s="250" t="str">
        <f>Display_All!P97</f>
        <v>NR</v>
      </c>
      <c r="J97" s="250" t="str">
        <f>Display_All!Q97</f>
        <v>35 to 30</v>
      </c>
      <c r="K97" s="250" t="str">
        <f>Display_All!R97</f>
        <v>28.5 (E)</v>
      </c>
      <c r="L97" s="250" t="str">
        <f>Display_All!T97</f>
        <v>NR</v>
      </c>
      <c r="M97" s="250" t="str">
        <f>Display_All!U97</f>
        <v>NR</v>
      </c>
      <c r="N97" s="279" t="str">
        <f>Display_All!Z97</f>
        <v>thin ash</v>
      </c>
      <c r="O97" s="264" t="str">
        <f>Raw!H97</f>
        <v/>
      </c>
      <c r="P97" s="264" t="str">
        <f>Raw!G97</f>
        <v>Y</v>
      </c>
    </row>
    <row r="98">
      <c r="A98" s="249" t="str">
        <f>Raw!A98</f>
        <v>94 / D37</v>
      </c>
      <c r="B98" s="250" t="str">
        <f>Raw!B98</f>
        <v>Plusing Air</v>
      </c>
      <c r="C98" s="251">
        <f>Raw!E98</f>
        <v>45227</v>
      </c>
      <c r="D98" s="250" t="str">
        <f>Raw!F98</f>
        <v>Viking Age</v>
      </c>
      <c r="E98" s="250" t="str">
        <f>Raw!D98</f>
        <v>Wareham ON</v>
      </c>
      <c r="F98" s="250" t="str">
        <f>Raw!F98</f>
        <v>Viking Age</v>
      </c>
      <c r="G98" s="250">
        <f>Display_All!N98</f>
        <v>62</v>
      </c>
      <c r="H98" s="250">
        <f>Display_All!O98</f>
        <v>45</v>
      </c>
      <c r="I98" s="250" t="str">
        <f>Display_All!P98</f>
        <v>39 to 32</v>
      </c>
      <c r="J98" s="250">
        <f>Display_All!Q98</f>
        <v>25</v>
      </c>
      <c r="K98" s="250" t="str">
        <f>Display_All!R98</f>
        <v/>
      </c>
      <c r="L98" s="250" t="str">
        <f>Display_All!T98</f>
        <v>7 to 4</v>
      </c>
      <c r="M98" s="250" t="str">
        <f>Display_All!U98</f>
        <v>22 x 10</v>
      </c>
      <c r="N98" s="279" t="str">
        <f>Display_All!Z98</f>
        <v>charcoal fines</v>
      </c>
      <c r="O98" s="264" t="str">
        <f>Raw!H98</f>
        <v>Air</v>
      </c>
      <c r="P98" s="264" t="str">
        <f>Raw!G98</f>
        <v>N</v>
      </c>
    </row>
    <row r="99">
      <c r="A99" s="249" t="str">
        <f>Raw!A99</f>
        <v>95 / D38</v>
      </c>
      <c r="B99" s="250" t="str">
        <f>Raw!B99</f>
        <v>Pulsing Air Demo</v>
      </c>
      <c r="C99" s="251">
        <f>Raw!E99</f>
        <v>45464</v>
      </c>
      <c r="D99" s="250" t="str">
        <f>Raw!F99</f>
        <v>Viking Age</v>
      </c>
      <c r="E99" s="250" t="str">
        <f>Raw!D99</f>
        <v>Tiverton ON</v>
      </c>
      <c r="F99" s="250" t="str">
        <f>Raw!F99</f>
        <v>Viking Age</v>
      </c>
      <c r="G99" s="250">
        <f>Display_All!N99</f>
        <v>72</v>
      </c>
      <c r="H99" s="250">
        <f>Display_All!O99</f>
        <v>59</v>
      </c>
      <c r="I99" s="250" t="str">
        <f>Display_All!P99</f>
        <v>35 to 30</v>
      </c>
      <c r="J99" s="250">
        <f>Display_All!Q99</f>
        <v>25</v>
      </c>
      <c r="K99" s="250" t="str">
        <f>Display_All!R99</f>
        <v/>
      </c>
      <c r="L99" s="250" t="str">
        <f>Display_All!T99</f>
        <v>5 to 2.5</v>
      </c>
      <c r="M99" s="250" t="str">
        <f>Display_All!U99</f>
        <v>20 x 9</v>
      </c>
      <c r="N99" s="279" t="str">
        <f>Display_All!Z99</f>
        <v>charcoal fines</v>
      </c>
      <c r="O99" s="264" t="str">
        <f>Raw!H99</f>
        <v>Air</v>
      </c>
      <c r="P99" s="264" t="str">
        <f>Raw!G99</f>
        <v>Y</v>
      </c>
    </row>
    <row r="100">
      <c r="A100" s="249" t="str">
        <f>Raw!A100</f>
        <v>96 / D39</v>
      </c>
      <c r="B100" s="250" t="str">
        <f>Raw!B100</f>
        <v>Pulsing Air Followup</v>
      </c>
      <c r="C100" s="251">
        <f>Raw!E100</f>
        <v>45578</v>
      </c>
      <c r="D100" s="250" t="str">
        <f>Raw!F100</f>
        <v>Viking Age</v>
      </c>
      <c r="E100" s="250" t="str">
        <f>Raw!D100</f>
        <v>Wareham ON</v>
      </c>
      <c r="F100" s="250" t="str">
        <f>Raw!F100</f>
        <v>Viking Age</v>
      </c>
      <c r="G100" s="250">
        <f>Display_All!N100</f>
        <v>61</v>
      </c>
      <c r="H100" s="250">
        <f>Display_All!O100</f>
        <v>43</v>
      </c>
      <c r="I100" s="250">
        <f>Display_All!P100</f>
        <v>33</v>
      </c>
      <c r="J100" s="250">
        <f>Display_All!Q100</f>
        <v>23</v>
      </c>
      <c r="K100" s="250">
        <f>Display_All!R100</f>
        <v>22</v>
      </c>
      <c r="L100" s="250">
        <f>Display_All!T100</f>
        <v>5</v>
      </c>
      <c r="M100" s="250" t="str">
        <f>Display_All!U100</f>
        <v>16 x 10</v>
      </c>
      <c r="N100" s="279" t="str">
        <f>Display_All!Z100</f>
        <v>charcoal fines</v>
      </c>
      <c r="O100" s="264"/>
      <c r="P100" s="264"/>
    </row>
    <row r="101">
      <c r="A101" s="249">
        <f>Raw!A101</f>
        <v>97</v>
      </c>
      <c r="B101" s="250" t="str">
        <f>Raw!B101</f>
        <v>Artfire One</v>
      </c>
      <c r="C101" s="251">
        <f>Raw!E101</f>
        <v>45584</v>
      </c>
      <c r="D101" s="250" t="str">
        <f>Raw!F101</f>
        <v>Viking Age</v>
      </c>
      <c r="E101" s="250" t="str">
        <f>Raw!D101</f>
        <v/>
      </c>
      <c r="F101" s="250" t="str">
        <f>Raw!F101</f>
        <v>Viking Age</v>
      </c>
      <c r="G101" s="250">
        <f>Display_All!N101</f>
        <v>86</v>
      </c>
      <c r="H101" s="250">
        <f>Display_All!O101</f>
        <v>43</v>
      </c>
      <c r="I101" s="250">
        <f>Display_All!P101</f>
        <v>39</v>
      </c>
      <c r="J101" s="250">
        <f>Display_All!Q101</f>
        <v>29</v>
      </c>
      <c r="K101" s="250">
        <f>Display_All!R101</f>
        <v>29</v>
      </c>
      <c r="L101" s="250">
        <f>Display_All!T101</f>
        <v>5</v>
      </c>
      <c r="M101" s="250" t="str">
        <f>Display_All!U101</f>
        <v>11 x 20</v>
      </c>
      <c r="N101" s="279" t="str">
        <f>Display_All!Z101</f>
        <v/>
      </c>
    </row>
    <row r="102">
      <c r="A102" s="249" t="str">
        <f>Raw!A102</f>
        <v>98 / D40</v>
      </c>
      <c r="B102" s="250" t="str">
        <f>Raw!B102</f>
        <v>Return to Icelandic</v>
      </c>
      <c r="C102" s="251">
        <f>Raw!E102</f>
        <v>45599</v>
      </c>
      <c r="D102" s="250" t="str">
        <f>Raw!F102</f>
        <v>Viking Age</v>
      </c>
      <c r="E102" s="250" t="str">
        <f>Raw!D102</f>
        <v>Wareham ON</v>
      </c>
      <c r="F102" s="250" t="str">
        <f>Raw!F102</f>
        <v>Viking Age</v>
      </c>
      <c r="G102" s="250">
        <f>Display_All!N102</f>
        <v>63</v>
      </c>
      <c r="H102" s="250">
        <f>Display_All!O102</f>
        <v>40</v>
      </c>
      <c r="I102" s="250" t="str">
        <f>Display_All!P102</f>
        <v/>
      </c>
      <c r="J102" s="250" t="str">
        <f>Display_All!Q102</f>
        <v>28 by 40</v>
      </c>
      <c r="K102" s="250">
        <f>Display_All!R102</f>
        <v>28</v>
      </c>
      <c r="L102" s="250" t="str">
        <f>Display_All!T102</f>
        <v/>
      </c>
      <c r="M102" s="250" t="str">
        <f>Display_All!U102</f>
        <v/>
      </c>
      <c r="N102" s="279" t="str">
        <f>Display_All!Z102</f>
        <v/>
      </c>
    </row>
    <row r="103">
      <c r="A103" s="249">
        <f>Raw!A103</f>
        <v>99</v>
      </c>
      <c r="B103" s="250" t="str">
        <f>Raw!B103</f>
        <v>Smelting Course</v>
      </c>
      <c r="C103" s="251">
        <f>Raw!E103</f>
        <v>45605</v>
      </c>
      <c r="D103" s="250" t="str">
        <f>Raw!F103</f>
        <v>Viking Age</v>
      </c>
      <c r="E103" s="250" t="str">
        <f>Raw!D103</f>
        <v>Wareham ON</v>
      </c>
      <c r="F103" s="250" t="str">
        <f>Raw!F103</f>
        <v>Viking Age</v>
      </c>
      <c r="G103" s="250">
        <f>Display_All!N103</f>
        <v>61</v>
      </c>
      <c r="H103" s="250">
        <f>Display_All!O103</f>
        <v>40</v>
      </c>
      <c r="I103" s="250" t="str">
        <f>Display_All!P103</f>
        <v>33 to 29</v>
      </c>
      <c r="J103" s="250">
        <f>Display_All!Q103</f>
        <v>23</v>
      </c>
      <c r="K103" s="250">
        <f>Display_All!R103</f>
        <v>23</v>
      </c>
      <c r="L103" s="250" t="str">
        <f>Display_All!T103</f>
        <v>3 to 5</v>
      </c>
      <c r="M103" s="250" t="str">
        <f>Display_All!U103</f>
        <v/>
      </c>
      <c r="N103" s="279" t="str">
        <f>Display_All!Z103</f>
        <v>thin ash</v>
      </c>
    </row>
    <row r="104">
      <c r="A104" s="265">
        <f>Raw!A104</f>
        <v>100</v>
      </c>
      <c r="B104" s="266" t="str">
        <f>Raw!B104</f>
        <v/>
      </c>
      <c r="C104" s="267" t="str">
        <f>Raw!E104</f>
        <v/>
      </c>
      <c r="D104" s="266" t="str">
        <f>Raw!F104</f>
        <v/>
      </c>
      <c r="E104" s="266" t="str">
        <f>Raw!D104</f>
        <v/>
      </c>
      <c r="F104" s="266" t="str">
        <f>Raw!F104</f>
        <v/>
      </c>
      <c r="G104" s="266" t="str">
        <f>Display_All!N104</f>
        <v/>
      </c>
      <c r="H104" s="266" t="str">
        <f>Display_All!O104</f>
        <v/>
      </c>
      <c r="I104" s="266" t="str">
        <f>Display_All!P104</f>
        <v/>
      </c>
      <c r="J104" s="266" t="str">
        <f>Display_All!Q104</f>
        <v/>
      </c>
      <c r="K104" s="266" t="str">
        <f>Display_All!R104</f>
        <v/>
      </c>
      <c r="L104" s="266" t="str">
        <f>Display_All!T104</f>
        <v/>
      </c>
      <c r="M104" s="266" t="str">
        <f>Display_All!U104</f>
        <v/>
      </c>
      <c r="N104" s="280" t="str">
        <f>Display_All!Z104</f>
        <v/>
      </c>
    </row>
    <row r="107">
      <c r="C107" s="291" t="s">
        <v>348</v>
      </c>
      <c r="D107" s="292" t="s">
        <v>249</v>
      </c>
      <c r="E107" s="293" t="s">
        <v>111</v>
      </c>
      <c r="F107" s="294" t="s">
        <v>1120</v>
      </c>
    </row>
  </sheetData>
  <conditionalFormatting sqref="A2:D104 E2:F98 G2:N104">
    <cfRule type="expression" dxfId="13" priority="1">
      <formula>$O2="Vinland"</formula>
    </cfRule>
  </conditionalFormatting>
  <conditionalFormatting sqref="A2:D104 E2:F98 G2:N104">
    <cfRule type="expression" dxfId="9" priority="2">
      <formula>$O2="Teaching"</formula>
    </cfRule>
  </conditionalFormatting>
  <conditionalFormatting sqref="A2:D104 E2:F98 G2:N104">
    <cfRule type="expression" dxfId="14" priority="3">
      <formula>$O2="Icelandic"</formula>
    </cfRule>
  </conditionalFormatting>
  <conditionalFormatting sqref="A2:D104 E2:F98 G2:N104">
    <cfRule type="expression" dxfId="15" priority="4">
      <formula>$O2="Turf-to-Tools"</formula>
    </cfRule>
  </conditionalFormatting>
  <conditionalFormatting sqref="A1">
    <cfRule type="notContainsBlanks" dxfId="16" priority="5">
      <formula>LEN(TRIM(A1))&gt;0</formula>
    </cfRule>
  </conditionalFormatting>
  <drawing r:id="rId1"/>
</worksheet>
</file>